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WA Rate Case 2020 UG-200568\Testimony\Myhrum\Supplemental 07.24.20\"/>
    </mc:Choice>
  </mc:AlternateContent>
  <xr:revisionPtr revIDLastSave="0" documentId="13_ncr:1_{BFF31DAB-C7E9-4BC8-896F-532A32E4D5F8}" xr6:coauthVersionLast="44" xr6:coauthVersionMax="44" xr10:uidLastSave="{00000000-0000-0000-0000-000000000000}"/>
  <bookViews>
    <workbookView xWindow="-28920" yWindow="-120" windowWidth="29040" windowHeight="15840" activeTab="1" xr2:uid="{500D63F1-FD6F-41A0-A54D-85D1A6CF84F6}"/>
  </bookViews>
  <sheets>
    <sheet name="IDM-7 Cover Page" sheetId="22" r:id="rId1"/>
    <sheet name="Exh IDM-7 - Revenue Summary" sheetId="1" r:id="rId2"/>
    <sheet name="IDM-8 Cover Page" sheetId="23" r:id="rId3"/>
    <sheet name="Exh IDM-8 - Revenue Adjustments" sheetId="21" r:id="rId4"/>
    <sheet name="IDM-9 Cover Page" sheetId="24" r:id="rId5"/>
    <sheet name="Exh IDM-9 -Revenue Distribution" sheetId="18" r:id="rId6"/>
    <sheet name="IDM-10 Cover Page" sheetId="25" r:id="rId7"/>
    <sheet name="Exh IDM-10 Decoup. Exhibit" sheetId="20" r:id="rId8"/>
    <sheet name="WORKPAPERS---&gt;" sheetId="11" r:id="rId9"/>
    <sheet name="Index" sheetId="26" r:id="rId10"/>
    <sheet name="1501 Summary" sheetId="27" r:id="rId11"/>
    <sheet name="Revenue Reconcilliation" sheetId="29" r:id="rId12"/>
    <sheet name="End of Period Calculations" sheetId="17" r:id="rId13"/>
    <sheet name="Allocation Report Summary 2019" sheetId="30" r:id="rId14"/>
    <sheet name="Weather Normalization" sheetId="16" r:id="rId15"/>
    <sheet name="WACAP 2019" sheetId="31" r:id="rId16"/>
    <sheet name="2020 New Customers" sheetId="33" r:id="rId17"/>
    <sheet name="Billing Correction" sheetId="34" r:id="rId18"/>
  </sheets>
  <externalReferences>
    <externalReference r:id="rId19"/>
    <externalReference r:id="rId20"/>
    <externalReference r:id="rId21"/>
  </externalReferences>
  <definedNames>
    <definedName name="MONTANA_DAKOTA_UTILITIES_CO." localSheetId="10">#REF!</definedName>
    <definedName name="MONTANA_DAKOTA_UTILITIES_CO." localSheetId="6">#REF!</definedName>
    <definedName name="MONTANA_DAKOTA_UTILITIES_CO." localSheetId="2">#REF!</definedName>
    <definedName name="MONTANA_DAKOTA_UTILITIES_CO." localSheetId="4">#REF!</definedName>
    <definedName name="MONTANA_DAKOTA_UTILITIES_CO.">#REF!</definedName>
    <definedName name="_xlnm.Print_Area" localSheetId="10">'1501 Summary'!$A$1:$AE$432</definedName>
    <definedName name="_xlnm.Print_Area" localSheetId="16">'2020 New Customers'!$A$1:$Q$20</definedName>
    <definedName name="_xlnm.Print_Area" localSheetId="13">'Allocation Report Summary 2019'!$A$1:$P$29</definedName>
    <definedName name="_xlnm.Print_Area" localSheetId="17">'Billing Correction'!$A$1:$E$39</definedName>
    <definedName name="_xlnm.Print_Area" localSheetId="7">'Exh IDM-10 Decoup. Exhibit'!$A$1:$P$67</definedName>
    <definedName name="_xlnm.Print_Area" localSheetId="1">'Exh IDM-7 - Revenue Summary'!$A$1:$AK$605</definedName>
    <definedName name="_xlnm.Print_Area" localSheetId="6">'IDM-10 Cover Page'!$A$1:$A$34</definedName>
    <definedName name="_xlnm.Print_Area" localSheetId="0">'IDM-7 Cover Page'!$A$1:$A$32</definedName>
    <definedName name="_xlnm.Print_Area" localSheetId="2">'IDM-8 Cover Page'!$A$1:$A$34</definedName>
    <definedName name="_xlnm.Print_Area" localSheetId="4">'IDM-9 Cover Page'!$A$1:$A$34</definedName>
    <definedName name="_xlnm.Print_Area" localSheetId="9">Index!$A$1:$G$21</definedName>
    <definedName name="_xlnm.Print_Area" localSheetId="15">'WACAP 2019'!$A$1:$AF$200</definedName>
    <definedName name="_xlnm.Print_Titles" localSheetId="1">'Exh IDM-7 - Revenue Summary'!$1:$5</definedName>
    <definedName name="RATE" localSheetId="10">#REF!</definedName>
    <definedName name="RATE" localSheetId="6">#REF!</definedName>
    <definedName name="RATE" localSheetId="2">#REF!</definedName>
    <definedName name="RATE" localSheetId="4">#REF!</definedName>
    <definedName name="RATE">#REF!</definedName>
    <definedName name="RATE_VARIANCE" localSheetId="10">#REF!</definedName>
    <definedName name="RATE_VARIANCE" localSheetId="6">#REF!</definedName>
    <definedName name="RATE_VARIANCE" localSheetId="2">#REF!</definedName>
    <definedName name="RATE_VARIANCE" localSheetId="4">#REF!</definedName>
    <definedName name="RATE_VARIANCE">#REF!</definedName>
    <definedName name="SUMMARY_CURRENT" localSheetId="10">#REF!</definedName>
    <definedName name="SUMMARY_CURRENT" localSheetId="6">#REF!</definedName>
    <definedName name="SUMMARY_CURRENT" localSheetId="2">#REF!</definedName>
    <definedName name="SUMMARY_CURRENT" localSheetId="4">#REF!</definedName>
    <definedName name="SUMMARY_CURRENT">#REF!</definedName>
    <definedName name="SUMMARY_PRIOR" localSheetId="10">#REF!</definedName>
    <definedName name="SUMMARY_PRIOR" localSheetId="6">#REF!</definedName>
    <definedName name="SUMMARY_PRIOR" localSheetId="2">#REF!</definedName>
    <definedName name="SUMMARY_PRIOR" localSheetId="4">#REF!</definedName>
    <definedName name="SUMMARY_PRIOR">#REF!</definedName>
    <definedName name="VOLUME" localSheetId="10">#REF!</definedName>
    <definedName name="VOLUME" localSheetId="6">#REF!</definedName>
    <definedName name="VOLUME" localSheetId="2">#REF!</definedName>
    <definedName name="VOLUME" localSheetId="4">#REF!</definedName>
    <definedName name="VOLUM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87" i="1" l="1"/>
  <c r="Q320" i="1"/>
  <c r="D14" i="21"/>
  <c r="D11" i="21"/>
  <c r="D8" i="21"/>
  <c r="D5" i="21"/>
  <c r="D17" i="21" l="1"/>
  <c r="AJ116" i="1"/>
  <c r="D26" i="21" l="1"/>
  <c r="AC116" i="17" l="1"/>
  <c r="AC107" i="17"/>
  <c r="X117" i="1" l="1"/>
  <c r="X118" i="1"/>
  <c r="X116" i="1"/>
  <c r="C315" i="1" l="1"/>
  <c r="G315" i="1"/>
  <c r="K315" i="1" s="1"/>
  <c r="G316" i="1"/>
  <c r="AB116" i="17" l="1"/>
  <c r="V146" i="17" s="1"/>
  <c r="X134" i="17"/>
  <c r="D134" i="17"/>
  <c r="V136" i="17"/>
  <c r="X147" i="17" l="1"/>
  <c r="Z147" i="17"/>
  <c r="X148" i="17"/>
  <c r="Z148" i="17"/>
  <c r="X146" i="17"/>
  <c r="Z146" i="17"/>
  <c r="X149" i="17"/>
  <c r="Z149" i="17"/>
  <c r="D146" i="17"/>
  <c r="D116" i="17"/>
  <c r="S314" i="1"/>
  <c r="AJ314" i="1" l="1"/>
  <c r="AI43" i="1"/>
  <c r="F6" i="33" l="1"/>
  <c r="F116" i="17"/>
  <c r="X117" i="17"/>
  <c r="X108" i="17"/>
  <c r="X109" i="17"/>
  <c r="AA46" i="17"/>
  <c r="AA47" i="17"/>
  <c r="AA92" i="17"/>
  <c r="AA93" i="17"/>
  <c r="X107" i="17"/>
  <c r="W116" i="1"/>
  <c r="W119" i="1" s="1"/>
  <c r="W117" i="1"/>
  <c r="Y117" i="1" s="1"/>
  <c r="W118" i="1"/>
  <c r="Y118" i="1" s="1"/>
  <c r="AA33" i="17"/>
  <c r="X110" i="17" s="1"/>
  <c r="AA110" i="17" s="1"/>
  <c r="Z107" i="17"/>
  <c r="AB47" i="17"/>
  <c r="AB46" i="17"/>
  <c r="AB45" i="17"/>
  <c r="AB44" i="17"/>
  <c r="AA44" i="17"/>
  <c r="AA45" i="17"/>
  <c r="AA90" i="17"/>
  <c r="D90" i="17"/>
  <c r="AB436" i="27"/>
  <c r="AB434" i="27"/>
  <c r="AB435" i="27" s="1"/>
  <c r="Z436" i="27"/>
  <c r="Z434" i="27"/>
  <c r="Z435" i="27" s="1"/>
  <c r="X436" i="27"/>
  <c r="X434" i="27"/>
  <c r="X435" i="27" s="1"/>
  <c r="V436" i="27"/>
  <c r="V434" i="27"/>
  <c r="V435" i="27" s="1"/>
  <c r="T436" i="27"/>
  <c r="T434" i="27"/>
  <c r="T435" i="27" s="1"/>
  <c r="R436" i="27"/>
  <c r="R434" i="27"/>
  <c r="R435" i="27" s="1"/>
  <c r="P436" i="27"/>
  <c r="P434" i="27"/>
  <c r="P435" i="27" s="1"/>
  <c r="N436" i="27"/>
  <c r="N434" i="27"/>
  <c r="N435" i="27" s="1"/>
  <c r="L436" i="27"/>
  <c r="L434" i="27"/>
  <c r="L435" i="27" s="1"/>
  <c r="J436" i="27"/>
  <c r="J434" i="27"/>
  <c r="J435" i="27" s="1"/>
  <c r="H436" i="27"/>
  <c r="H434" i="27"/>
  <c r="H435" i="27" s="1"/>
  <c r="F435" i="27"/>
  <c r="F436" i="27"/>
  <c r="D92" i="17"/>
  <c r="D91" i="17"/>
  <c r="F434" i="27"/>
  <c r="S315" i="1"/>
  <c r="W317" i="1" l="1"/>
  <c r="Y317" i="1" s="1"/>
  <c r="W319" i="1"/>
  <c r="W318" i="1"/>
  <c r="Z119" i="17"/>
  <c r="X116" i="17"/>
  <c r="X119" i="17"/>
  <c r="X118" i="17"/>
  <c r="Z117" i="17"/>
  <c r="Z116" i="17"/>
  <c r="Z118" i="17"/>
  <c r="Y116" i="1"/>
  <c r="Y119" i="1" s="1"/>
  <c r="AE320" i="1" l="1"/>
  <c r="AG320" i="1" s="1"/>
  <c r="AG321" i="1" s="1"/>
  <c r="AF320" i="1"/>
  <c r="F7" i="33"/>
  <c r="AF74" i="27"/>
  <c r="AG128" i="27"/>
  <c r="AF128" i="27"/>
  <c r="AF154" i="27"/>
  <c r="P320" i="1"/>
  <c r="C38" i="34"/>
  <c r="O320" i="1" s="1"/>
  <c r="Q321" i="1" l="1"/>
  <c r="AA107" i="17" l="1"/>
  <c r="V52" i="17"/>
  <c r="X52" i="17"/>
  <c r="Z36" i="17"/>
  <c r="X36" i="17"/>
  <c r="AB36" i="17"/>
  <c r="AA36" i="17"/>
  <c r="X35" i="17"/>
  <c r="X34" i="17"/>
  <c r="X33" i="17"/>
  <c r="AA35" i="17"/>
  <c r="AA34" i="17"/>
  <c r="AA51" i="17"/>
  <c r="AA50" i="17"/>
  <c r="AA49" i="17"/>
  <c r="AA48" i="17"/>
  <c r="AA52" i="17"/>
  <c r="Z128" i="27"/>
  <c r="D107" i="17"/>
  <c r="AB91" i="17" l="1"/>
  <c r="AB90" i="17"/>
  <c r="AD15" i="17"/>
  <c r="AB107" i="17"/>
  <c r="I6" i="33"/>
  <c r="H6" i="33"/>
  <c r="E6" i="33"/>
  <c r="E7" i="33" s="1"/>
  <c r="D6" i="33"/>
  <c r="C6" i="33"/>
  <c r="AB93" i="17"/>
  <c r="AB92" i="17"/>
  <c r="AA91" i="17"/>
  <c r="AB50" i="17"/>
  <c r="AB51" i="17"/>
  <c r="X48" i="17"/>
  <c r="V36" i="17"/>
  <c r="AB35" i="17"/>
  <c r="AB34" i="17"/>
  <c r="AB33" i="17"/>
  <c r="X30" i="17"/>
  <c r="H7" i="33"/>
  <c r="G7" i="33"/>
  <c r="AB49" i="17" l="1"/>
  <c r="AB48" i="17"/>
  <c r="AB52" i="17"/>
  <c r="Y318" i="1" l="1"/>
  <c r="Y319" i="1"/>
  <c r="D30" i="17" l="1"/>
  <c r="Y320" i="1" l="1"/>
  <c r="Y321" i="1" s="1"/>
  <c r="Y589" i="1" s="1"/>
  <c r="W321" i="1"/>
  <c r="C37" i="34"/>
  <c r="H16" i="16" l="1"/>
  <c r="G20" i="30"/>
  <c r="G19" i="30"/>
  <c r="F26" i="17" l="1"/>
  <c r="H26" i="17"/>
  <c r="J26" i="17"/>
  <c r="L26" i="17"/>
  <c r="N26" i="17"/>
  <c r="P26" i="17"/>
  <c r="R26" i="17"/>
  <c r="T26" i="17"/>
  <c r="V26" i="17"/>
  <c r="X26" i="17"/>
  <c r="Y26" i="17"/>
  <c r="Z26" i="17"/>
  <c r="F27" i="17"/>
  <c r="H27" i="17"/>
  <c r="J27" i="17"/>
  <c r="L27" i="17"/>
  <c r="N27" i="17"/>
  <c r="P27" i="17"/>
  <c r="R27" i="17"/>
  <c r="T27" i="17"/>
  <c r="V27" i="17"/>
  <c r="X27" i="17"/>
  <c r="Y27" i="17"/>
  <c r="Z27" i="17"/>
  <c r="F28" i="17"/>
  <c r="H28" i="17"/>
  <c r="J28" i="17"/>
  <c r="L28" i="17"/>
  <c r="N28" i="17"/>
  <c r="P28" i="17"/>
  <c r="R28" i="17"/>
  <c r="T28" i="17"/>
  <c r="V28" i="17"/>
  <c r="X28" i="17"/>
  <c r="Y28" i="17"/>
  <c r="Z28" i="17"/>
  <c r="D28" i="17"/>
  <c r="D27" i="17"/>
  <c r="D26" i="17"/>
  <c r="H251" i="1"/>
  <c r="H252" i="1"/>
  <c r="AD77" i="27"/>
  <c r="AD78" i="27"/>
  <c r="Q62" i="29" l="1"/>
  <c r="AC95" i="27"/>
  <c r="AA95" i="27"/>
  <c r="E251" i="1"/>
  <c r="C251" i="1" s="1"/>
  <c r="G251" i="1" s="1"/>
  <c r="I251" i="1" s="1"/>
  <c r="E252" i="1"/>
  <c r="C252" i="1" s="1"/>
  <c r="G252" i="1" s="1"/>
  <c r="I252" i="1" s="1"/>
  <c r="E250" i="1"/>
  <c r="C250" i="1" s="1"/>
  <c r="C253" i="1" s="1"/>
  <c r="G253" i="1" s="1"/>
  <c r="AB77" i="27"/>
  <c r="AB76" i="27"/>
  <c r="AB75" i="27"/>
  <c r="AB74" i="27"/>
  <c r="Z77" i="27"/>
  <c r="Z76" i="27"/>
  <c r="Z75" i="27"/>
  <c r="Z74" i="27"/>
  <c r="AD75" i="27"/>
  <c r="AD76" i="27"/>
  <c r="X77" i="27"/>
  <c r="X76" i="27"/>
  <c r="X75" i="27"/>
  <c r="X74" i="27"/>
  <c r="V77" i="27"/>
  <c r="V76" i="27"/>
  <c r="V75" i="27"/>
  <c r="V74" i="27"/>
  <c r="T77" i="27"/>
  <c r="T76" i="27"/>
  <c r="T75" i="27"/>
  <c r="T74" i="27"/>
  <c r="R77" i="27"/>
  <c r="R76" i="27"/>
  <c r="R75" i="27"/>
  <c r="R74" i="27"/>
  <c r="P77" i="27"/>
  <c r="P76" i="27"/>
  <c r="P75" i="27"/>
  <c r="P74" i="27"/>
  <c r="N77" i="27"/>
  <c r="N76" i="27"/>
  <c r="N75" i="27"/>
  <c r="N74" i="27"/>
  <c r="L77" i="27"/>
  <c r="L76" i="27"/>
  <c r="L75" i="27"/>
  <c r="L74" i="27"/>
  <c r="J77" i="27"/>
  <c r="J76" i="27"/>
  <c r="J75" i="27"/>
  <c r="J74" i="27"/>
  <c r="H77" i="27"/>
  <c r="H76" i="27"/>
  <c r="H75" i="27"/>
  <c r="H74" i="27"/>
  <c r="F77" i="27"/>
  <c r="F76" i="27"/>
  <c r="F75" i="27"/>
  <c r="F74" i="27"/>
  <c r="C7" i="33" l="1"/>
  <c r="C8" i="33" s="1"/>
  <c r="C9" i="33" s="1"/>
  <c r="C10" i="33" s="1"/>
  <c r="C11" i="33" s="1"/>
  <c r="C12" i="33" s="1"/>
  <c r="C13" i="33" s="1"/>
  <c r="C14" i="33" s="1"/>
  <c r="C15" i="33" s="1"/>
  <c r="C16" i="33" s="1"/>
  <c r="C17" i="33" s="1"/>
  <c r="C18" i="33" s="1"/>
  <c r="AD99" i="17" s="1"/>
  <c r="D7" i="33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AD100" i="17" s="1"/>
  <c r="F8" i="33"/>
  <c r="F9" i="33" s="1"/>
  <c r="F10" i="33" s="1"/>
  <c r="F11" i="33" s="1"/>
  <c r="F12" i="33" s="1"/>
  <c r="F13" i="33" s="1"/>
  <c r="F14" i="33" s="1"/>
  <c r="F15" i="33" s="1"/>
  <c r="F16" i="33" s="1"/>
  <c r="F17" i="33" s="1"/>
  <c r="F18" i="33" s="1"/>
  <c r="G8" i="33"/>
  <c r="G9" i="33" s="1"/>
  <c r="G10" i="33" s="1"/>
  <c r="G11" i="33" s="1"/>
  <c r="G12" i="33" s="1"/>
  <c r="G13" i="33" s="1"/>
  <c r="H8" i="33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I7" i="33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AD112" i="17" s="1"/>
  <c r="E8" i="33"/>
  <c r="E9" i="33" s="1"/>
  <c r="E10" i="33" s="1"/>
  <c r="E11" i="33" s="1"/>
  <c r="E12" i="33" s="1"/>
  <c r="E13" i="33" s="1"/>
  <c r="E14" i="33" s="1"/>
  <c r="E15" i="33" s="1"/>
  <c r="E16" i="33" s="1"/>
  <c r="E17" i="33" s="1"/>
  <c r="E18" i="33" s="1"/>
  <c r="AD102" i="17" s="1"/>
  <c r="AD107" i="17" l="1"/>
  <c r="AE80" i="1"/>
  <c r="J12" i="20"/>
  <c r="AE43" i="1"/>
  <c r="AJ43" i="1" s="1"/>
  <c r="J10" i="20"/>
  <c r="AE7" i="1"/>
  <c r="J8" i="20"/>
  <c r="G14" i="33"/>
  <c r="G15" i="33" s="1"/>
  <c r="G16" i="33" s="1"/>
  <c r="G17" i="33" s="1"/>
  <c r="G18" i="33" s="1"/>
  <c r="AC112" i="17"/>
  <c r="AC102" i="17"/>
  <c r="AC100" i="17"/>
  <c r="AC99" i="17"/>
  <c r="AE115" i="1" l="1"/>
  <c r="AJ115" i="1" s="1"/>
  <c r="J14" i="20"/>
  <c r="D7" i="17"/>
  <c r="AD88" i="31"/>
  <c r="AD141" i="31"/>
  <c r="AD140" i="31"/>
  <c r="AD126" i="31"/>
  <c r="AD125" i="31"/>
  <c r="AD102" i="31" l="1"/>
  <c r="AE88" i="31"/>
  <c r="AD71" i="31"/>
  <c r="AD59" i="31"/>
  <c r="AD21" i="31"/>
  <c r="K10" i="31"/>
  <c r="D11" i="31"/>
  <c r="E11" i="31"/>
  <c r="F11" i="31"/>
  <c r="F13" i="31" s="1"/>
  <c r="G11" i="31"/>
  <c r="G13" i="31" s="1"/>
  <c r="H11" i="31"/>
  <c r="H13" i="31" s="1"/>
  <c r="I11" i="31"/>
  <c r="I13" i="31" s="1"/>
  <c r="J11" i="31"/>
  <c r="K11" i="31"/>
  <c r="L11" i="31"/>
  <c r="M11" i="31"/>
  <c r="O11" i="31"/>
  <c r="O13" i="31" s="1"/>
  <c r="P11" i="31"/>
  <c r="P13" i="31" s="1"/>
  <c r="D13" i="31"/>
  <c r="E13" i="31"/>
  <c r="J13" i="31"/>
  <c r="K13" i="31"/>
  <c r="L13" i="31"/>
  <c r="M13" i="31"/>
  <c r="N13" i="31"/>
  <c r="D14" i="31"/>
  <c r="N14" i="31"/>
  <c r="X18" i="31"/>
  <c r="X20" i="31" s="1"/>
  <c r="AB20" i="31" s="1"/>
  <c r="V19" i="31"/>
  <c r="X19" i="31"/>
  <c r="AB19" i="31" s="1"/>
  <c r="V20" i="31"/>
  <c r="D21" i="31"/>
  <c r="E22" i="31" s="1"/>
  <c r="E23" i="31" s="1"/>
  <c r="E21" i="31"/>
  <c r="F22" i="31" s="1"/>
  <c r="F21" i="31"/>
  <c r="G22" i="31" s="1"/>
  <c r="H21" i="31"/>
  <c r="I21" i="31"/>
  <c r="J21" i="31"/>
  <c r="K21" i="31"/>
  <c r="L21" i="31"/>
  <c r="M22" i="31" s="1"/>
  <c r="M23" i="31" s="1"/>
  <c r="M21" i="31"/>
  <c r="O22" i="31" s="1"/>
  <c r="O21" i="31"/>
  <c r="P22" i="31" s="1"/>
  <c r="P21" i="31"/>
  <c r="D22" i="31"/>
  <c r="AD22" i="31" s="1"/>
  <c r="H22" i="31"/>
  <c r="H23" i="31" s="1"/>
  <c r="I22" i="31"/>
  <c r="I23" i="31" s="1"/>
  <c r="J22" i="31"/>
  <c r="J23" i="31" s="1"/>
  <c r="K22" i="31"/>
  <c r="K23" i="31" s="1"/>
  <c r="L22" i="31"/>
  <c r="F23" i="31"/>
  <c r="G23" i="31"/>
  <c r="L23" i="31"/>
  <c r="O23" i="31"/>
  <c r="P23" i="31"/>
  <c r="D24" i="31"/>
  <c r="E24" i="31"/>
  <c r="F24" i="31"/>
  <c r="F25" i="31" s="1"/>
  <c r="F174" i="31" s="1"/>
  <c r="G24" i="31"/>
  <c r="H24" i="31"/>
  <c r="I24" i="31"/>
  <c r="J24" i="31"/>
  <c r="K24" i="31"/>
  <c r="L24" i="31"/>
  <c r="L25" i="31" s="1"/>
  <c r="M24" i="31"/>
  <c r="O24" i="31"/>
  <c r="P24" i="31"/>
  <c r="N25" i="31"/>
  <c r="D26" i="31"/>
  <c r="N26" i="31"/>
  <c r="V28" i="31"/>
  <c r="X33" i="31" s="1"/>
  <c r="AB33" i="31" s="1"/>
  <c r="V29" i="31"/>
  <c r="V34" i="31" s="1"/>
  <c r="V30" i="31"/>
  <c r="W30" i="31"/>
  <c r="AB32" i="31"/>
  <c r="X34" i="31"/>
  <c r="AB34" i="31" s="1"/>
  <c r="V35" i="31"/>
  <c r="X35" i="31"/>
  <c r="AB35" i="31" s="1"/>
  <c r="D36" i="31"/>
  <c r="E36" i="31"/>
  <c r="F36" i="31"/>
  <c r="G36" i="31"/>
  <c r="H36" i="31"/>
  <c r="I36" i="31"/>
  <c r="J36" i="31"/>
  <c r="K36" i="31"/>
  <c r="L36" i="31"/>
  <c r="M36" i="31"/>
  <c r="O36" i="31"/>
  <c r="P36" i="31"/>
  <c r="V36" i="31"/>
  <c r="X36" i="31"/>
  <c r="AB36" i="31" s="1"/>
  <c r="D37" i="31"/>
  <c r="D38" i="31" s="1"/>
  <c r="E37" i="31"/>
  <c r="E38" i="31" s="1"/>
  <c r="F37" i="31"/>
  <c r="F38" i="31" s="1"/>
  <c r="G37" i="31"/>
  <c r="H37" i="31"/>
  <c r="H38" i="31" s="1"/>
  <c r="I37" i="31"/>
  <c r="J37" i="31"/>
  <c r="K37" i="31"/>
  <c r="K38" i="31" s="1"/>
  <c r="L37" i="31"/>
  <c r="L38" i="31" s="1"/>
  <c r="M37" i="31"/>
  <c r="M38" i="31" s="1"/>
  <c r="O37" i="31"/>
  <c r="O38" i="31" s="1"/>
  <c r="P37" i="31"/>
  <c r="N38" i="31"/>
  <c r="D39" i="31"/>
  <c r="N39" i="31"/>
  <c r="V41" i="31"/>
  <c r="X46" i="31" s="1"/>
  <c r="AB46" i="31" s="1"/>
  <c r="V42" i="31"/>
  <c r="V43" i="31"/>
  <c r="AB45" i="31"/>
  <c r="V48" i="31"/>
  <c r="X48" i="31"/>
  <c r="AB48" i="31" s="1"/>
  <c r="D49" i="31"/>
  <c r="E49" i="31"/>
  <c r="F49" i="31"/>
  <c r="G49" i="31"/>
  <c r="H49" i="31"/>
  <c r="I49" i="31"/>
  <c r="J49" i="31"/>
  <c r="K49" i="31"/>
  <c r="L49" i="31"/>
  <c r="M49" i="31"/>
  <c r="O49" i="31"/>
  <c r="P49" i="31"/>
  <c r="V49" i="31"/>
  <c r="X49" i="31"/>
  <c r="AB49" i="31"/>
  <c r="D50" i="31"/>
  <c r="D51" i="31" s="1"/>
  <c r="E50" i="31"/>
  <c r="E51" i="31" s="1"/>
  <c r="F50" i="31"/>
  <c r="F51" i="31" s="1"/>
  <c r="G50" i="31"/>
  <c r="G51" i="31" s="1"/>
  <c r="H50" i="31"/>
  <c r="H51" i="31" s="1"/>
  <c r="I50" i="31"/>
  <c r="J50" i="31"/>
  <c r="K50" i="31"/>
  <c r="K51" i="31" s="1"/>
  <c r="L50" i="31"/>
  <c r="L51" i="31" s="1"/>
  <c r="M50" i="31"/>
  <c r="M51" i="31" s="1"/>
  <c r="O50" i="31"/>
  <c r="O51" i="31" s="1"/>
  <c r="P50" i="31"/>
  <c r="N51" i="31"/>
  <c r="D52" i="31"/>
  <c r="N52" i="31"/>
  <c r="X57" i="31"/>
  <c r="X59" i="31" s="1"/>
  <c r="AB59" i="31" s="1"/>
  <c r="V58" i="31"/>
  <c r="X58" i="31"/>
  <c r="AB58" i="31"/>
  <c r="V59" i="31"/>
  <c r="D60" i="31"/>
  <c r="D61" i="31" s="1"/>
  <c r="E60" i="31"/>
  <c r="F60" i="31"/>
  <c r="F61" i="31" s="1"/>
  <c r="G60" i="31"/>
  <c r="G61" i="31" s="1"/>
  <c r="H60" i="31"/>
  <c r="H61" i="31" s="1"/>
  <c r="I60" i="31"/>
  <c r="I61" i="31" s="1"/>
  <c r="J60" i="31"/>
  <c r="K60" i="31"/>
  <c r="L60" i="31"/>
  <c r="M60" i="31"/>
  <c r="O60" i="31"/>
  <c r="O61" i="31" s="1"/>
  <c r="P60" i="31"/>
  <c r="E61" i="31"/>
  <c r="J61" i="31"/>
  <c r="K61" i="31"/>
  <c r="L61" i="31"/>
  <c r="M61" i="31"/>
  <c r="P61" i="31"/>
  <c r="D62" i="31"/>
  <c r="E62" i="31"/>
  <c r="E63" i="31" s="1"/>
  <c r="F62" i="31"/>
  <c r="G62" i="31"/>
  <c r="H62" i="31"/>
  <c r="I62" i="31"/>
  <c r="J62" i="31"/>
  <c r="J63" i="31" s="1"/>
  <c r="K62" i="31"/>
  <c r="K63" i="31" s="1"/>
  <c r="L62" i="31"/>
  <c r="L63" i="31" s="1"/>
  <c r="M62" i="31"/>
  <c r="O62" i="31"/>
  <c r="P62" i="31"/>
  <c r="P63" i="31" s="1"/>
  <c r="N63" i="31"/>
  <c r="D64" i="31"/>
  <c r="N64" i="31"/>
  <c r="V66" i="31"/>
  <c r="V70" i="31"/>
  <c r="X70" i="31"/>
  <c r="AB70" i="31" s="1"/>
  <c r="D71" i="31"/>
  <c r="E71" i="31"/>
  <c r="F72" i="31" s="1"/>
  <c r="F71" i="31"/>
  <c r="G71" i="31"/>
  <c r="H71" i="31"/>
  <c r="I71" i="31"/>
  <c r="I73" i="31" s="1"/>
  <c r="J71" i="31"/>
  <c r="K71" i="31"/>
  <c r="L71" i="31"/>
  <c r="M71" i="31"/>
  <c r="O72" i="31" s="1"/>
  <c r="O71" i="31"/>
  <c r="P71" i="31"/>
  <c r="V71" i="31"/>
  <c r="X71" i="31"/>
  <c r="Z71" i="31"/>
  <c r="D72" i="31"/>
  <c r="D73" i="31" s="1"/>
  <c r="E72" i="31"/>
  <c r="G72" i="31"/>
  <c r="I72" i="31"/>
  <c r="L72" i="31"/>
  <c r="L73" i="31" s="1"/>
  <c r="M72" i="31"/>
  <c r="P72" i="31"/>
  <c r="E73" i="31"/>
  <c r="F73" i="31"/>
  <c r="M73" i="31"/>
  <c r="O73" i="31"/>
  <c r="D74" i="31"/>
  <c r="E74" i="31"/>
  <c r="E75" i="31" s="1"/>
  <c r="F74" i="31"/>
  <c r="G74" i="31"/>
  <c r="H74" i="31"/>
  <c r="I74" i="31"/>
  <c r="J74" i="31"/>
  <c r="K74" i="31"/>
  <c r="L74" i="31"/>
  <c r="M74" i="31"/>
  <c r="M75" i="31" s="1"/>
  <c r="O74" i="31"/>
  <c r="P74" i="31"/>
  <c r="N75" i="31"/>
  <c r="D76" i="31"/>
  <c r="N76" i="31"/>
  <c r="V78" i="31"/>
  <c r="V79" i="31"/>
  <c r="E88" i="31"/>
  <c r="E89" i="31" s="1"/>
  <c r="F88" i="31"/>
  <c r="F89" i="31" s="1"/>
  <c r="G88" i="31"/>
  <c r="H88" i="31"/>
  <c r="I88" i="31"/>
  <c r="J88" i="31"/>
  <c r="K88" i="31"/>
  <c r="K89" i="31" s="1"/>
  <c r="L88" i="31"/>
  <c r="L89" i="31" s="1"/>
  <c r="M88" i="31"/>
  <c r="M89" i="31" s="1"/>
  <c r="O88" i="31"/>
  <c r="O89" i="31" s="1"/>
  <c r="P88" i="31"/>
  <c r="D89" i="31"/>
  <c r="G89" i="31"/>
  <c r="H89" i="31"/>
  <c r="I89" i="31"/>
  <c r="J89" i="31"/>
  <c r="P89" i="31"/>
  <c r="D90" i="31"/>
  <c r="D91" i="31" s="1"/>
  <c r="D93" i="31" s="1"/>
  <c r="E90" i="31"/>
  <c r="F90" i="31"/>
  <c r="G90" i="31"/>
  <c r="G91" i="31" s="1"/>
  <c r="G93" i="31" s="1"/>
  <c r="H90" i="31"/>
  <c r="H91" i="31" s="1"/>
  <c r="H93" i="31" s="1"/>
  <c r="I90" i="31"/>
  <c r="I91" i="31" s="1"/>
  <c r="I93" i="31" s="1"/>
  <c r="J90" i="31"/>
  <c r="K90" i="31"/>
  <c r="L90" i="31"/>
  <c r="M90" i="31"/>
  <c r="O90" i="31"/>
  <c r="P90" i="31"/>
  <c r="N91" i="31"/>
  <c r="N92" i="31"/>
  <c r="V96" i="31"/>
  <c r="X101" i="31" s="1"/>
  <c r="AB101" i="31" s="1"/>
  <c r="AB98" i="31"/>
  <c r="V100" i="31"/>
  <c r="X100" i="31"/>
  <c r="AB100" i="31"/>
  <c r="V101" i="31"/>
  <c r="D102" i="31"/>
  <c r="E102" i="31"/>
  <c r="F102" i="31"/>
  <c r="G102" i="31"/>
  <c r="H102" i="31"/>
  <c r="H104" i="31" s="1"/>
  <c r="I102" i="31"/>
  <c r="J102" i="31"/>
  <c r="K103" i="31" s="1"/>
  <c r="K104" i="31" s="1"/>
  <c r="K102" i="31"/>
  <c r="L102" i="31"/>
  <c r="M103" i="31" s="1"/>
  <c r="M104" i="31" s="1"/>
  <c r="M102" i="31"/>
  <c r="O102" i="31"/>
  <c r="P102" i="31"/>
  <c r="V102" i="31"/>
  <c r="X102" i="31"/>
  <c r="Z102" i="31"/>
  <c r="D103" i="31"/>
  <c r="AD103" i="31" s="1"/>
  <c r="E103" i="31"/>
  <c r="F103" i="31"/>
  <c r="H103" i="31"/>
  <c r="I103" i="31"/>
  <c r="L103" i="31"/>
  <c r="O103" i="31"/>
  <c r="E104" i="31"/>
  <c r="L104" i="31"/>
  <c r="D105" i="31"/>
  <c r="E105" i="31"/>
  <c r="F105" i="31"/>
  <c r="G105" i="31"/>
  <c r="H105" i="31"/>
  <c r="I105" i="31"/>
  <c r="J105" i="31"/>
  <c r="K105" i="31"/>
  <c r="L105" i="31"/>
  <c r="M105" i="31"/>
  <c r="O105" i="31"/>
  <c r="P105" i="31"/>
  <c r="N106" i="31"/>
  <c r="D107" i="31"/>
  <c r="N107" i="31"/>
  <c r="D114" i="31"/>
  <c r="D116" i="31" s="1"/>
  <c r="E114" i="31"/>
  <c r="E116" i="31" s="1"/>
  <c r="F114" i="31"/>
  <c r="F116" i="31" s="1"/>
  <c r="G114" i="31"/>
  <c r="H114" i="31"/>
  <c r="I114" i="31"/>
  <c r="J114" i="31"/>
  <c r="K114" i="31"/>
  <c r="K116" i="31" s="1"/>
  <c r="L114" i="31"/>
  <c r="L116" i="31" s="1"/>
  <c r="M114" i="31"/>
  <c r="M116" i="31" s="1"/>
  <c r="O114" i="31"/>
  <c r="O116" i="31" s="1"/>
  <c r="P114" i="31"/>
  <c r="G116" i="31"/>
  <c r="H116" i="31"/>
  <c r="I116" i="31"/>
  <c r="J116" i="31"/>
  <c r="N116" i="31"/>
  <c r="P116" i="31"/>
  <c r="D117" i="31"/>
  <c r="N117" i="31"/>
  <c r="V119" i="31"/>
  <c r="V120" i="31"/>
  <c r="W121" i="31" s="1"/>
  <c r="V121" i="31"/>
  <c r="X122" i="31"/>
  <c r="X127" i="31" s="1"/>
  <c r="AB127" i="31" s="1"/>
  <c r="AB123" i="31"/>
  <c r="V124" i="31"/>
  <c r="X124" i="31"/>
  <c r="AB124" i="31" s="1"/>
  <c r="V125" i="31"/>
  <c r="X125" i="31"/>
  <c r="AB125" i="31" s="1"/>
  <c r="V126" i="31"/>
  <c r="X126" i="31"/>
  <c r="AB126" i="31"/>
  <c r="D127" i="31"/>
  <c r="AD127" i="31" s="1"/>
  <c r="E127" i="31"/>
  <c r="F127" i="31"/>
  <c r="G127" i="31"/>
  <c r="H127" i="31"/>
  <c r="I127" i="31"/>
  <c r="J127" i="31"/>
  <c r="J129" i="31" s="1"/>
  <c r="K127" i="31"/>
  <c r="K129" i="31" s="1"/>
  <c r="L127" i="31"/>
  <c r="M127" i="31"/>
  <c r="O127" i="31"/>
  <c r="P127" i="31"/>
  <c r="V127" i="31"/>
  <c r="Z127" i="31"/>
  <c r="D128" i="31"/>
  <c r="AD128" i="31" s="1"/>
  <c r="E128" i="31"/>
  <c r="F128" i="31"/>
  <c r="G128" i="31"/>
  <c r="H128" i="31"/>
  <c r="I128" i="31"/>
  <c r="J128" i="31"/>
  <c r="K128" i="31"/>
  <c r="L128" i="31"/>
  <c r="M128" i="31"/>
  <c r="O128" i="31"/>
  <c r="P128" i="31"/>
  <c r="E129" i="31"/>
  <c r="F129" i="31"/>
  <c r="G129" i="31"/>
  <c r="H129" i="31"/>
  <c r="M129" i="31"/>
  <c r="O129" i="31"/>
  <c r="P129" i="31"/>
  <c r="D130" i="31"/>
  <c r="E130" i="31"/>
  <c r="E131" i="31" s="1"/>
  <c r="F130" i="31"/>
  <c r="F131" i="31" s="1"/>
  <c r="F177" i="31" s="1"/>
  <c r="G130" i="31"/>
  <c r="G131" i="31" s="1"/>
  <c r="G177" i="31" s="1"/>
  <c r="H130" i="31"/>
  <c r="I130" i="31"/>
  <c r="J130" i="31"/>
  <c r="K130" i="31"/>
  <c r="L130" i="31"/>
  <c r="M130" i="31"/>
  <c r="O130" i="31"/>
  <c r="O131" i="31" s="1"/>
  <c r="O177" i="31" s="1"/>
  <c r="O194" i="31" s="1"/>
  <c r="P130" i="31"/>
  <c r="N131" i="31"/>
  <c r="N177" i="31" s="1"/>
  <c r="D132" i="31"/>
  <c r="N132" i="31"/>
  <c r="V135" i="31"/>
  <c r="V138" i="31" s="1"/>
  <c r="V136" i="31"/>
  <c r="W136" i="31"/>
  <c r="X137" i="31"/>
  <c r="X138" i="31"/>
  <c r="AB138" i="31" s="1"/>
  <c r="V139" i="31"/>
  <c r="X139" i="31"/>
  <c r="AB139" i="31" s="1"/>
  <c r="V140" i="31"/>
  <c r="X140" i="31"/>
  <c r="AB140" i="31"/>
  <c r="D142" i="31"/>
  <c r="AD142" i="31" s="1"/>
  <c r="E142" i="31"/>
  <c r="F142" i="31"/>
  <c r="F144" i="31" s="1"/>
  <c r="G142" i="31"/>
  <c r="H142" i="31"/>
  <c r="I142" i="31"/>
  <c r="J142" i="31"/>
  <c r="J144" i="31" s="1"/>
  <c r="K142" i="31"/>
  <c r="L142" i="31"/>
  <c r="M142" i="31"/>
  <c r="O142" i="31"/>
  <c r="O144" i="31" s="1"/>
  <c r="P142" i="31"/>
  <c r="D143" i="31"/>
  <c r="E143" i="31"/>
  <c r="E144" i="31" s="1"/>
  <c r="F143" i="31"/>
  <c r="G143" i="31"/>
  <c r="G144" i="31" s="1"/>
  <c r="H143" i="31"/>
  <c r="H144" i="31" s="1"/>
  <c r="I143" i="31"/>
  <c r="J143" i="31"/>
  <c r="K143" i="31"/>
  <c r="L143" i="31"/>
  <c r="M143" i="31"/>
  <c r="O143" i="31"/>
  <c r="P143" i="31"/>
  <c r="P144" i="31" s="1"/>
  <c r="I144" i="31"/>
  <c r="K144" i="31"/>
  <c r="L144" i="31"/>
  <c r="M144" i="31"/>
  <c r="D145" i="31"/>
  <c r="E145" i="31"/>
  <c r="E146" i="31" s="1"/>
  <c r="F145" i="31"/>
  <c r="G145" i="31"/>
  <c r="H145" i="31"/>
  <c r="I145" i="31"/>
  <c r="I146" i="31" s="1"/>
  <c r="J145" i="31"/>
  <c r="K145" i="31"/>
  <c r="K146" i="31" s="1"/>
  <c r="L145" i="31"/>
  <c r="M145" i="31"/>
  <c r="M146" i="31" s="1"/>
  <c r="O145" i="31"/>
  <c r="P145" i="31"/>
  <c r="N146" i="31"/>
  <c r="D147" i="31"/>
  <c r="N147" i="31"/>
  <c r="D157" i="31"/>
  <c r="E157" i="31"/>
  <c r="F157" i="31"/>
  <c r="G157" i="31"/>
  <c r="H157" i="31"/>
  <c r="I157" i="31"/>
  <c r="J157" i="31"/>
  <c r="K157" i="31"/>
  <c r="L157" i="31"/>
  <c r="M157" i="31"/>
  <c r="M159" i="31" s="1"/>
  <c r="M161" i="31" s="1"/>
  <c r="O157" i="31"/>
  <c r="P157" i="31"/>
  <c r="D158" i="31"/>
  <c r="E158" i="31"/>
  <c r="F158" i="31"/>
  <c r="F159" i="31" s="1"/>
  <c r="G158" i="31"/>
  <c r="G159" i="31" s="1"/>
  <c r="G161" i="31" s="1"/>
  <c r="H158" i="31"/>
  <c r="H159" i="31" s="1"/>
  <c r="I158" i="31"/>
  <c r="I159" i="31" s="1"/>
  <c r="I161" i="31" s="1"/>
  <c r="J158" i="31"/>
  <c r="K158" i="31"/>
  <c r="L158" i="31"/>
  <c r="M158" i="31"/>
  <c r="O158" i="31"/>
  <c r="O159" i="31" s="1"/>
  <c r="O161" i="31" s="1"/>
  <c r="P158" i="31"/>
  <c r="P159" i="31" s="1"/>
  <c r="E159" i="31"/>
  <c r="E161" i="31" s="1"/>
  <c r="J159" i="31"/>
  <c r="J161" i="31" s="1"/>
  <c r="K159" i="31"/>
  <c r="K161" i="31" s="1"/>
  <c r="L159" i="31"/>
  <c r="L161" i="31" s="1"/>
  <c r="F161" i="31"/>
  <c r="H161" i="31"/>
  <c r="N161" i="31"/>
  <c r="P161" i="31"/>
  <c r="D162" i="31"/>
  <c r="N162" i="31"/>
  <c r="D23" i="31" l="1"/>
  <c r="G25" i="31"/>
  <c r="G174" i="31" s="1"/>
  <c r="D159" i="31"/>
  <c r="D161" i="31" s="1"/>
  <c r="D163" i="31" s="1"/>
  <c r="D164" i="31" s="1"/>
  <c r="N118" i="31"/>
  <c r="D75" i="31"/>
  <c r="N108" i="31"/>
  <c r="M131" i="31"/>
  <c r="M177" i="31" s="1"/>
  <c r="M194" i="31" s="1"/>
  <c r="H175" i="31"/>
  <c r="N148" i="31"/>
  <c r="P38" i="31"/>
  <c r="G38" i="31"/>
  <c r="G175" i="31" s="1"/>
  <c r="D25" i="31"/>
  <c r="D27" i="31" s="1"/>
  <c r="D28" i="31" s="1"/>
  <c r="E26" i="31" s="1"/>
  <c r="M63" i="31"/>
  <c r="L175" i="31"/>
  <c r="L192" i="31" s="1"/>
  <c r="K175" i="31"/>
  <c r="I38" i="31"/>
  <c r="N174" i="31"/>
  <c r="N133" i="31"/>
  <c r="N65" i="31"/>
  <c r="AE22" i="31"/>
  <c r="K131" i="31"/>
  <c r="K177" i="31" s="1"/>
  <c r="L106" i="31"/>
  <c r="M106" i="31"/>
  <c r="P91" i="31"/>
  <c r="M91" i="31"/>
  <c r="E91" i="31"/>
  <c r="E93" i="31" s="1"/>
  <c r="E94" i="31" s="1"/>
  <c r="I75" i="31"/>
  <c r="D144" i="31"/>
  <c r="D146" i="31" s="1"/>
  <c r="D148" i="31" s="1"/>
  <c r="D149" i="31" s="1"/>
  <c r="AD143" i="31"/>
  <c r="J131" i="31"/>
  <c r="J177" i="31" s="1"/>
  <c r="E106" i="31"/>
  <c r="E176" i="31" s="1"/>
  <c r="N93" i="31"/>
  <c r="M175" i="31"/>
  <c r="M192" i="31" s="1"/>
  <c r="D168" i="31"/>
  <c r="D104" i="31"/>
  <c r="D106" i="31" s="1"/>
  <c r="D108" i="31" s="1"/>
  <c r="D109" i="31" s="1"/>
  <c r="L75" i="31"/>
  <c r="G63" i="31"/>
  <c r="N15" i="31"/>
  <c r="AD60" i="31"/>
  <c r="D53" i="31"/>
  <c r="D54" i="31" s="1"/>
  <c r="E52" i="31" s="1"/>
  <c r="E53" i="31" s="1"/>
  <c r="E54" i="31" s="1"/>
  <c r="F52" i="31" s="1"/>
  <c r="F53" i="31" s="1"/>
  <c r="F54" i="31" s="1"/>
  <c r="O63" i="31"/>
  <c r="F63" i="31"/>
  <c r="P51" i="31"/>
  <c r="M25" i="31"/>
  <c r="M174" i="31" s="1"/>
  <c r="M191" i="31" s="1"/>
  <c r="E25" i="31"/>
  <c r="E174" i="31" s="1"/>
  <c r="J25" i="31"/>
  <c r="J174" i="31" s="1"/>
  <c r="AD72" i="31"/>
  <c r="J146" i="31"/>
  <c r="J178" i="31" s="1"/>
  <c r="N176" i="31"/>
  <c r="D63" i="31"/>
  <c r="E175" i="31"/>
  <c r="I25" i="31"/>
  <c r="I174" i="31" s="1"/>
  <c r="D77" i="31"/>
  <c r="D78" i="31" s="1"/>
  <c r="E76" i="31" s="1"/>
  <c r="E77" i="31" s="1"/>
  <c r="E78" i="31" s="1"/>
  <c r="D40" i="31"/>
  <c r="D41" i="31" s="1"/>
  <c r="E39" i="31" s="1"/>
  <c r="D175" i="31"/>
  <c r="J91" i="31"/>
  <c r="J93" i="31" s="1"/>
  <c r="P25" i="31"/>
  <c r="P174" i="31" s="1"/>
  <c r="D118" i="31"/>
  <c r="D119" i="31" s="1"/>
  <c r="E117" i="31" s="1"/>
  <c r="E118" i="31" s="1"/>
  <c r="E119" i="31" s="1"/>
  <c r="O75" i="31"/>
  <c r="H131" i="31"/>
  <c r="H177" i="31" s="1"/>
  <c r="F75" i="31"/>
  <c r="J51" i="31"/>
  <c r="N168" i="31"/>
  <c r="K106" i="31"/>
  <c r="O91" i="31"/>
  <c r="I51" i="31"/>
  <c r="L91" i="31"/>
  <c r="L93" i="31" s="1"/>
  <c r="L146" i="31"/>
  <c r="L178" i="31" s="1"/>
  <c r="L195" i="31" s="1"/>
  <c r="F146" i="31"/>
  <c r="F178" i="31" s="1"/>
  <c r="O25" i="31"/>
  <c r="O174" i="31" s="1"/>
  <c r="O191" i="31" s="1"/>
  <c r="O146" i="31"/>
  <c r="O178" i="31" s="1"/>
  <c r="O195" i="31" s="1"/>
  <c r="P131" i="31"/>
  <c r="P177" i="31" s="1"/>
  <c r="E162" i="31"/>
  <c r="E163" i="31" s="1"/>
  <c r="E164" i="31" s="1"/>
  <c r="I178" i="31"/>
  <c r="K178" i="31"/>
  <c r="F175" i="31"/>
  <c r="H146" i="31"/>
  <c r="I104" i="31"/>
  <c r="I106" i="31" s="1"/>
  <c r="J103" i="31"/>
  <c r="J104" i="31" s="1"/>
  <c r="J106" i="31" s="1"/>
  <c r="E177" i="31"/>
  <c r="P146" i="31"/>
  <c r="L174" i="31"/>
  <c r="L191" i="31" s="1"/>
  <c r="M178" i="31"/>
  <c r="M195" i="31" s="1"/>
  <c r="E178" i="31"/>
  <c r="R116" i="31"/>
  <c r="V47" i="31"/>
  <c r="W43" i="31"/>
  <c r="X47" i="31"/>
  <c r="AB47" i="31" s="1"/>
  <c r="N163" i="31"/>
  <c r="N178" i="31"/>
  <c r="G146" i="31"/>
  <c r="N53" i="31"/>
  <c r="N175" i="31"/>
  <c r="N167" i="31"/>
  <c r="N173" i="31" s="1"/>
  <c r="L129" i="31"/>
  <c r="L131" i="31" s="1"/>
  <c r="D129" i="31"/>
  <c r="D131" i="31" s="1"/>
  <c r="AB102" i="31"/>
  <c r="K91" i="31"/>
  <c r="K93" i="31" s="1"/>
  <c r="V99" i="31"/>
  <c r="X99" i="31"/>
  <c r="AB99" i="31" s="1"/>
  <c r="AB71" i="31"/>
  <c r="K72" i="31"/>
  <c r="K73" i="31" s="1"/>
  <c r="K75" i="31" s="1"/>
  <c r="H25" i="31"/>
  <c r="D15" i="31"/>
  <c r="D16" i="31" s="1"/>
  <c r="H106" i="31"/>
  <c r="N77" i="31"/>
  <c r="N40" i="31"/>
  <c r="R13" i="31"/>
  <c r="D65" i="31"/>
  <c r="D66" i="31" s="1"/>
  <c r="I129" i="31"/>
  <c r="I131" i="31" s="1"/>
  <c r="J72" i="31"/>
  <c r="J73" i="31" s="1"/>
  <c r="J75" i="31" s="1"/>
  <c r="P73" i="31"/>
  <c r="P75" i="31" s="1"/>
  <c r="H72" i="31"/>
  <c r="H73" i="31" s="1"/>
  <c r="H75" i="31" s="1"/>
  <c r="G73" i="31"/>
  <c r="G75" i="31" s="1"/>
  <c r="I63" i="31"/>
  <c r="O175" i="31"/>
  <c r="O192" i="31" s="1"/>
  <c r="P103" i="31"/>
  <c r="P104" i="31" s="1"/>
  <c r="P106" i="31" s="1"/>
  <c r="O104" i="31"/>
  <c r="O106" i="31" s="1"/>
  <c r="G103" i="31"/>
  <c r="G104" i="31" s="1"/>
  <c r="G106" i="31" s="1"/>
  <c r="F104" i="31"/>
  <c r="F106" i="31" s="1"/>
  <c r="W96" i="31"/>
  <c r="H63" i="31"/>
  <c r="F91" i="31"/>
  <c r="F93" i="31" s="1"/>
  <c r="J38" i="31"/>
  <c r="N27" i="31"/>
  <c r="K25" i="31"/>
  <c r="V46" i="31"/>
  <c r="V33" i="31"/>
  <c r="E27" i="31" l="1"/>
  <c r="E28" i="31" s="1"/>
  <c r="R161" i="31"/>
  <c r="F167" i="31"/>
  <c r="F173" i="31" s="1"/>
  <c r="D167" i="31"/>
  <c r="P175" i="31"/>
  <c r="R38" i="31"/>
  <c r="D174" i="31"/>
  <c r="D176" i="31"/>
  <c r="D178" i="31"/>
  <c r="L176" i="31"/>
  <c r="L193" i="31" s="1"/>
  <c r="M176" i="31"/>
  <c r="M193" i="31" s="1"/>
  <c r="L167" i="31"/>
  <c r="L173" i="31" s="1"/>
  <c r="L190" i="31" s="1"/>
  <c r="AD167" i="31"/>
  <c r="M593" i="1" s="1"/>
  <c r="M167" i="31"/>
  <c r="M173" i="31" s="1"/>
  <c r="M190" i="31" s="1"/>
  <c r="R146" i="31"/>
  <c r="E167" i="31"/>
  <c r="E173" i="31" s="1"/>
  <c r="R51" i="31"/>
  <c r="I175" i="31"/>
  <c r="P167" i="31"/>
  <c r="P173" i="31" s="1"/>
  <c r="G52" i="31"/>
  <c r="G53" i="31" s="1"/>
  <c r="G54" i="31" s="1"/>
  <c r="F76" i="31"/>
  <c r="F26" i="31"/>
  <c r="F27" i="31" s="1"/>
  <c r="F28" i="31" s="1"/>
  <c r="J167" i="31"/>
  <c r="J173" i="31" s="1"/>
  <c r="J176" i="31"/>
  <c r="H167" i="31"/>
  <c r="H173" i="31" s="1"/>
  <c r="H174" i="31"/>
  <c r="H178" i="31"/>
  <c r="E107" i="31"/>
  <c r="J175" i="31"/>
  <c r="G178" i="31"/>
  <c r="E14" i="31"/>
  <c r="R106" i="31"/>
  <c r="O167" i="31"/>
  <c r="O173" i="31" s="1"/>
  <c r="O190" i="31" s="1"/>
  <c r="K167" i="31"/>
  <c r="K173" i="31" s="1"/>
  <c r="K174" i="31"/>
  <c r="G176" i="31"/>
  <c r="G167" i="31"/>
  <c r="G173" i="31" s="1"/>
  <c r="R91" i="31"/>
  <c r="O176" i="31"/>
  <c r="O193" i="31" s="1"/>
  <c r="E147" i="31"/>
  <c r="H176" i="31"/>
  <c r="P178" i="31"/>
  <c r="I177" i="31"/>
  <c r="R131" i="31"/>
  <c r="R63" i="31"/>
  <c r="F94" i="31"/>
  <c r="G94" i="31" s="1"/>
  <c r="H94" i="31" s="1"/>
  <c r="I94" i="31" s="1"/>
  <c r="J94" i="31" s="1"/>
  <c r="K94" i="31" s="1"/>
  <c r="L94" i="31" s="1"/>
  <c r="L177" i="31"/>
  <c r="L194" i="31" s="1"/>
  <c r="F176" i="31"/>
  <c r="F117" i="31"/>
  <c r="F118" i="31" s="1"/>
  <c r="F119" i="31" s="1"/>
  <c r="E40" i="31"/>
  <c r="E41" i="31" s="1"/>
  <c r="F162" i="31"/>
  <c r="F163" i="31" s="1"/>
  <c r="F164" i="31" s="1"/>
  <c r="I176" i="31"/>
  <c r="I167" i="31"/>
  <c r="I173" i="31" s="1"/>
  <c r="R25" i="31"/>
  <c r="D173" i="31"/>
  <c r="D169" i="31"/>
  <c r="P176" i="31"/>
  <c r="E64" i="31"/>
  <c r="R75" i="31"/>
  <c r="K176" i="31"/>
  <c r="D133" i="31"/>
  <c r="D134" i="31" s="1"/>
  <c r="D177" i="31"/>
  <c r="S178" i="31" l="1"/>
  <c r="S175" i="31"/>
  <c r="S174" i="31"/>
  <c r="S177" i="31"/>
  <c r="S176" i="31"/>
  <c r="H52" i="31"/>
  <c r="S173" i="31"/>
  <c r="F39" i="31"/>
  <c r="E15" i="31"/>
  <c r="E16" i="31" s="1"/>
  <c r="F77" i="31"/>
  <c r="F78" i="31" s="1"/>
  <c r="G162" i="31"/>
  <c r="G163" i="31" s="1"/>
  <c r="G164" i="31" s="1"/>
  <c r="G117" i="31"/>
  <c r="G118" i="31" s="1"/>
  <c r="G119" i="31" s="1"/>
  <c r="G26" i="31"/>
  <c r="E148" i="31"/>
  <c r="E149" i="31" s="1"/>
  <c r="E65" i="31"/>
  <c r="E66" i="31" s="1"/>
  <c r="M92" i="31"/>
  <c r="E132" i="31"/>
  <c r="E168" i="31" s="1"/>
  <c r="E169" i="31" s="1"/>
  <c r="R167" i="31"/>
  <c r="E108" i="31"/>
  <c r="E109" i="31" s="1"/>
  <c r="H162" i="31" l="1"/>
  <c r="F107" i="31"/>
  <c r="F64" i="31"/>
  <c r="F14" i="31"/>
  <c r="F40" i="31"/>
  <c r="F41" i="31" s="1"/>
  <c r="F147" i="31"/>
  <c r="E133" i="31"/>
  <c r="E134" i="31" s="1"/>
  <c r="M93" i="31"/>
  <c r="M94" i="31" s="1"/>
  <c r="N94" i="31" s="1"/>
  <c r="H117" i="31"/>
  <c r="H53" i="31"/>
  <c r="H54" i="31" s="1"/>
  <c r="G76" i="31"/>
  <c r="G27" i="31"/>
  <c r="G28" i="31" s="1"/>
  <c r="G77" i="31" l="1"/>
  <c r="G78" i="31" s="1"/>
  <c r="F65" i="31"/>
  <c r="F66" i="31" s="1"/>
  <c r="F108" i="31"/>
  <c r="F109" i="31" s="1"/>
  <c r="H118" i="31"/>
  <c r="H119" i="31" s="1"/>
  <c r="G39" i="31"/>
  <c r="H163" i="31"/>
  <c r="H164" i="31" s="1"/>
  <c r="F132" i="31"/>
  <c r="F168" i="31" s="1"/>
  <c r="F169" i="31" s="1"/>
  <c r="F148" i="31"/>
  <c r="F149" i="31" s="1"/>
  <c r="I52" i="31"/>
  <c r="H26" i="31"/>
  <c r="O92" i="31"/>
  <c r="F15" i="31"/>
  <c r="F16" i="31" s="1"/>
  <c r="G16" i="31" s="1"/>
  <c r="H16" i="31" s="1"/>
  <c r="I16" i="31" s="1"/>
  <c r="J16" i="31" s="1"/>
  <c r="K16" i="31" s="1"/>
  <c r="L16" i="31" s="1"/>
  <c r="M16" i="31" s="1"/>
  <c r="F133" i="31" l="1"/>
  <c r="F134" i="31" s="1"/>
  <c r="G107" i="31"/>
  <c r="O93" i="31"/>
  <c r="O94" i="31" s="1"/>
  <c r="I162" i="31"/>
  <c r="I163" i="31" s="1"/>
  <c r="I164" i="31" s="1"/>
  <c r="G64" i="31"/>
  <c r="I117" i="31"/>
  <c r="I118" i="31" s="1"/>
  <c r="I119" i="31" s="1"/>
  <c r="H27" i="31"/>
  <c r="H28" i="31" s="1"/>
  <c r="G40" i="31"/>
  <c r="G41" i="31" s="1"/>
  <c r="G14" i="31"/>
  <c r="G147" i="31"/>
  <c r="I53" i="31"/>
  <c r="I54" i="31" s="1"/>
  <c r="H76" i="31"/>
  <c r="J117" i="31" l="1"/>
  <c r="J118" i="31" s="1"/>
  <c r="J119" i="31" s="1"/>
  <c r="P92" i="31"/>
  <c r="I26" i="31"/>
  <c r="G148" i="31"/>
  <c r="G149" i="31" s="1"/>
  <c r="H39" i="31"/>
  <c r="G65" i="31"/>
  <c r="G66" i="31" s="1"/>
  <c r="G132" i="31"/>
  <c r="G168" i="31" s="1"/>
  <c r="G169" i="31" s="1"/>
  <c r="J162" i="31"/>
  <c r="J163" i="31" s="1"/>
  <c r="J164" i="31" s="1"/>
  <c r="J52" i="31"/>
  <c r="G108" i="31"/>
  <c r="G109" i="31" s="1"/>
  <c r="H77" i="31"/>
  <c r="H78" i="31" s="1"/>
  <c r="K162" i="31" l="1"/>
  <c r="K163" i="31" s="1"/>
  <c r="K164" i="31" s="1"/>
  <c r="K117" i="31"/>
  <c r="K118" i="31" s="1"/>
  <c r="K119" i="31" s="1"/>
  <c r="H64" i="31"/>
  <c r="H65" i="31" s="1"/>
  <c r="H66" i="31" s="1"/>
  <c r="I27" i="31"/>
  <c r="I28" i="31" s="1"/>
  <c r="J53" i="31"/>
  <c r="J54" i="31" s="1"/>
  <c r="H107" i="31"/>
  <c r="H108" i="31" s="1"/>
  <c r="H109" i="31" s="1"/>
  <c r="P93" i="31"/>
  <c r="P94" i="31" s="1"/>
  <c r="R92" i="31"/>
  <c r="R93" i="31" s="1"/>
  <c r="I76" i="31"/>
  <c r="I77" i="31" s="1"/>
  <c r="I78" i="31" s="1"/>
  <c r="H147" i="31"/>
  <c r="H148" i="31" s="1"/>
  <c r="H149" i="31" s="1"/>
  <c r="H40" i="31"/>
  <c r="H41" i="31" s="1"/>
  <c r="G133" i="31"/>
  <c r="G134" i="31" s="1"/>
  <c r="L117" i="31" l="1"/>
  <c r="L118" i="31" s="1"/>
  <c r="L119" i="31" s="1"/>
  <c r="I107" i="31"/>
  <c r="I108" i="31" s="1"/>
  <c r="I109" i="31" s="1"/>
  <c r="I147" i="31"/>
  <c r="I148" i="31" s="1"/>
  <c r="I149" i="31" s="1"/>
  <c r="I64" i="31"/>
  <c r="I65" i="31" s="1"/>
  <c r="I66" i="31" s="1"/>
  <c r="L162" i="31"/>
  <c r="L163" i="31" s="1"/>
  <c r="L164" i="31" s="1"/>
  <c r="H132" i="31"/>
  <c r="J26" i="31"/>
  <c r="J27" i="31" s="1"/>
  <c r="J28" i="31" s="1"/>
  <c r="I39" i="31"/>
  <c r="I40" i="31" s="1"/>
  <c r="I41" i="31" s="1"/>
  <c r="H15" i="31"/>
  <c r="J76" i="31"/>
  <c r="J77" i="31" s="1"/>
  <c r="J78" i="31" s="1"/>
  <c r="K52" i="31"/>
  <c r="K53" i="31" s="1"/>
  <c r="K54" i="31" s="1"/>
  <c r="J147" i="31" l="1"/>
  <c r="J148" i="31" s="1"/>
  <c r="J149" i="31" s="1"/>
  <c r="M162" i="31"/>
  <c r="M163" i="31" s="1"/>
  <c r="M164" i="31" s="1"/>
  <c r="N164" i="31" s="1"/>
  <c r="L52" i="31"/>
  <c r="L53" i="31" s="1"/>
  <c r="L54" i="31" s="1"/>
  <c r="K76" i="31"/>
  <c r="K77" i="31" s="1"/>
  <c r="K78" i="31" s="1"/>
  <c r="J107" i="31"/>
  <c r="J108" i="31" s="1"/>
  <c r="J109" i="31" s="1"/>
  <c r="J64" i="31"/>
  <c r="J65" i="31" s="1"/>
  <c r="J66" i="31" s="1"/>
  <c r="J39" i="31"/>
  <c r="J40" i="31" s="1"/>
  <c r="J41" i="31" s="1"/>
  <c r="M117" i="31"/>
  <c r="M118" i="31" s="1"/>
  <c r="M119" i="31" s="1"/>
  <c r="N119" i="31" s="1"/>
  <c r="K26" i="31"/>
  <c r="K27" i="31" s="1"/>
  <c r="K28" i="31" s="1"/>
  <c r="H133" i="31"/>
  <c r="H134" i="31" s="1"/>
  <c r="H168" i="31"/>
  <c r="H169" i="31" s="1"/>
  <c r="K64" i="31" l="1"/>
  <c r="K65" i="31" s="1"/>
  <c r="K66" i="31" s="1"/>
  <c r="M52" i="31"/>
  <c r="M53" i="31" s="1"/>
  <c r="M54" i="31" s="1"/>
  <c r="N54" i="31" s="1"/>
  <c r="K107" i="31"/>
  <c r="K108" i="31" s="1"/>
  <c r="K109" i="31" s="1"/>
  <c r="O162" i="31"/>
  <c r="O163" i="31" s="1"/>
  <c r="O164" i="31" s="1"/>
  <c r="L76" i="31"/>
  <c r="L77" i="31" s="1"/>
  <c r="L78" i="31" s="1"/>
  <c r="L26" i="31"/>
  <c r="L27" i="31" s="1"/>
  <c r="L28" i="31" s="1"/>
  <c r="O117" i="31"/>
  <c r="O118" i="31" s="1"/>
  <c r="O119" i="31" s="1"/>
  <c r="K147" i="31"/>
  <c r="K148" i="31" s="1"/>
  <c r="K149" i="31" s="1"/>
  <c r="K39" i="31"/>
  <c r="K40" i="31" s="1"/>
  <c r="K41" i="31" s="1"/>
  <c r="I15" i="31"/>
  <c r="I132" i="31"/>
  <c r="I168" i="31" s="1"/>
  <c r="I169" i="31" s="1"/>
  <c r="M76" i="31" l="1"/>
  <c r="M77" i="31" s="1"/>
  <c r="M78" i="31" s="1"/>
  <c r="N78" i="31" s="1"/>
  <c r="P162" i="31"/>
  <c r="L147" i="31"/>
  <c r="L148" i="31" s="1"/>
  <c r="L149" i="31" s="1"/>
  <c r="M26" i="31"/>
  <c r="M27" i="31" s="1"/>
  <c r="M28" i="31" s="1"/>
  <c r="N28" i="31" s="1"/>
  <c r="P117" i="31"/>
  <c r="L64" i="31"/>
  <c r="L65" i="31" s="1"/>
  <c r="L66" i="31" s="1"/>
  <c r="I133" i="31"/>
  <c r="I134" i="31" s="1"/>
  <c r="L107" i="31"/>
  <c r="L108" i="31" s="1"/>
  <c r="L109" i="31" s="1"/>
  <c r="L39" i="31"/>
  <c r="L40" i="31" s="1"/>
  <c r="L41" i="31" s="1"/>
  <c r="O52" i="31"/>
  <c r="O53" i="31" s="1"/>
  <c r="O54" i="31" s="1"/>
  <c r="M64" i="31" l="1"/>
  <c r="M65" i="31" s="1"/>
  <c r="M66" i="31" s="1"/>
  <c r="N66" i="31" s="1"/>
  <c r="O26" i="31"/>
  <c r="O27" i="31" s="1"/>
  <c r="O28" i="31" s="1"/>
  <c r="M147" i="31"/>
  <c r="M148" i="31" s="1"/>
  <c r="M149" i="31" s="1"/>
  <c r="N149" i="31" s="1"/>
  <c r="P52" i="31"/>
  <c r="M39" i="31"/>
  <c r="M40" i="31" s="1"/>
  <c r="M41" i="31" s="1"/>
  <c r="N41" i="31" s="1"/>
  <c r="O76" i="31"/>
  <c r="O77" i="31" s="1"/>
  <c r="O78" i="31" s="1"/>
  <c r="P163" i="31"/>
  <c r="P164" i="31" s="1"/>
  <c r="R162" i="31"/>
  <c r="R163" i="31" s="1"/>
  <c r="M107" i="31"/>
  <c r="M108" i="31" s="1"/>
  <c r="M109" i="31" s="1"/>
  <c r="N109" i="31" s="1"/>
  <c r="J132" i="31"/>
  <c r="J133" i="31" s="1"/>
  <c r="J134" i="31" s="1"/>
  <c r="J15" i="31"/>
  <c r="P118" i="31"/>
  <c r="P119" i="31" s="1"/>
  <c r="R117" i="31"/>
  <c r="R118" i="31" s="1"/>
  <c r="O147" i="31" l="1"/>
  <c r="O148" i="31" s="1"/>
  <c r="O149" i="31" s="1"/>
  <c r="P76" i="31"/>
  <c r="K132" i="31"/>
  <c r="K133" i="31" s="1"/>
  <c r="K134" i="31" s="1"/>
  <c r="P26" i="31"/>
  <c r="O107" i="31"/>
  <c r="O108" i="31" s="1"/>
  <c r="O109" i="31" s="1"/>
  <c r="O64" i="31"/>
  <c r="O65" i="31" s="1"/>
  <c r="O66" i="31" s="1"/>
  <c r="J168" i="31"/>
  <c r="J169" i="31" s="1"/>
  <c r="P53" i="31"/>
  <c r="P54" i="31" s="1"/>
  <c r="R52" i="31"/>
  <c r="R53" i="31" s="1"/>
  <c r="O39" i="31"/>
  <c r="O40" i="31" s="1"/>
  <c r="O41" i="31" s="1"/>
  <c r="P64" i="31" l="1"/>
  <c r="L132" i="31"/>
  <c r="L133" i="31" s="1"/>
  <c r="L134" i="31" s="1"/>
  <c r="P107" i="31"/>
  <c r="P39" i="31"/>
  <c r="P147" i="31"/>
  <c r="P77" i="31"/>
  <c r="P78" i="31" s="1"/>
  <c r="R76" i="31"/>
  <c r="R77" i="31" s="1"/>
  <c r="K168" i="31"/>
  <c r="K169" i="31" s="1"/>
  <c r="K15" i="31"/>
  <c r="P27" i="31"/>
  <c r="P28" i="31" s="1"/>
  <c r="R26" i="31"/>
  <c r="R27" i="31" s="1"/>
  <c r="M132" i="31" l="1"/>
  <c r="M133" i="31" s="1"/>
  <c r="M134" i="31" s="1"/>
  <c r="N134" i="31" s="1"/>
  <c r="P40" i="31"/>
  <c r="P41" i="31" s="1"/>
  <c r="R39" i="31"/>
  <c r="R40" i="31" s="1"/>
  <c r="P108" i="31"/>
  <c r="P109" i="31" s="1"/>
  <c r="R107" i="31"/>
  <c r="R108" i="31" s="1"/>
  <c r="P148" i="31"/>
  <c r="P149" i="31" s="1"/>
  <c r="R147" i="31"/>
  <c r="R148" i="31" s="1"/>
  <c r="P65" i="31"/>
  <c r="P66" i="31" s="1"/>
  <c r="R64" i="31"/>
  <c r="R65" i="31" s="1"/>
  <c r="O132" i="31" l="1"/>
  <c r="O133" i="31" s="1"/>
  <c r="O134" i="31" s="1"/>
  <c r="L168" i="31"/>
  <c r="L169" i="31" s="1"/>
  <c r="L15" i="31"/>
  <c r="P132" i="31" l="1"/>
  <c r="M168" i="31" l="1"/>
  <c r="M169" i="31" s="1"/>
  <c r="N169" i="31" s="1"/>
  <c r="M15" i="31"/>
  <c r="N16" i="31" s="1"/>
  <c r="P133" i="31"/>
  <c r="P134" i="31" s="1"/>
  <c r="R132" i="31"/>
  <c r="R133" i="31" s="1"/>
  <c r="O14" i="31" l="1"/>
  <c r="O168" i="31" l="1"/>
  <c r="O169" i="31" s="1"/>
  <c r="O15" i="31"/>
  <c r="O16" i="31" s="1"/>
  <c r="P14" i="31" l="1"/>
  <c r="P168" i="31" l="1"/>
  <c r="P169" i="31" s="1"/>
  <c r="P15" i="31"/>
  <c r="P16" i="31" s="1"/>
  <c r="R14" i="31"/>
  <c r="R168" i="31" l="1"/>
  <c r="R169" i="31" s="1"/>
  <c r="R15" i="31"/>
  <c r="E4" i="16" l="1"/>
  <c r="H117" i="1" l="1"/>
  <c r="H118" i="1"/>
  <c r="H152" i="1"/>
  <c r="H153" i="1"/>
  <c r="H151" i="1"/>
  <c r="H150" i="1"/>
  <c r="H116" i="1" l="1"/>
  <c r="H115" i="1"/>
  <c r="E362" i="1" l="1"/>
  <c r="E361" i="1"/>
  <c r="E360" i="1"/>
  <c r="E359" i="1"/>
  <c r="E358" i="1"/>
  <c r="E355" i="1"/>
  <c r="E354" i="1"/>
  <c r="AB112" i="17" l="1"/>
  <c r="J16" i="20" s="1"/>
  <c r="AB102" i="17"/>
  <c r="AB100" i="17"/>
  <c r="AB99" i="17"/>
  <c r="F64" i="17"/>
  <c r="F68" i="17" s="1"/>
  <c r="H64" i="17"/>
  <c r="H68" i="17" s="1"/>
  <c r="J64" i="17"/>
  <c r="J68" i="17" s="1"/>
  <c r="L64" i="17"/>
  <c r="L68" i="17" s="1"/>
  <c r="N64" i="17"/>
  <c r="N68" i="17" s="1"/>
  <c r="P64" i="17"/>
  <c r="P68" i="17" s="1"/>
  <c r="F65" i="17"/>
  <c r="H65" i="17"/>
  <c r="J65" i="17"/>
  <c r="J69" i="17" s="1"/>
  <c r="L65" i="17"/>
  <c r="N65" i="17"/>
  <c r="P65" i="17"/>
  <c r="F66" i="17"/>
  <c r="H66" i="17"/>
  <c r="J66" i="17"/>
  <c r="J70" i="17" s="1"/>
  <c r="L66" i="17"/>
  <c r="L70" i="17" s="1"/>
  <c r="N66" i="17"/>
  <c r="P66" i="17"/>
  <c r="F67" i="17"/>
  <c r="F71" i="17" s="1"/>
  <c r="H67" i="17"/>
  <c r="H71" i="17" s="1"/>
  <c r="J67" i="17"/>
  <c r="J71" i="17" s="1"/>
  <c r="L67" i="17"/>
  <c r="L71" i="17" s="1"/>
  <c r="N67" i="17"/>
  <c r="N71" i="17" s="1"/>
  <c r="P67" i="17"/>
  <c r="P71" i="17" s="1"/>
  <c r="F74" i="17"/>
  <c r="F78" i="17" s="1"/>
  <c r="H74" i="17"/>
  <c r="H78" i="17" s="1"/>
  <c r="J74" i="17"/>
  <c r="J78" i="17" s="1"/>
  <c r="L74" i="17"/>
  <c r="L78" i="17" s="1"/>
  <c r="N74" i="17"/>
  <c r="N78" i="17" s="1"/>
  <c r="P74" i="17"/>
  <c r="P78" i="17" s="1"/>
  <c r="F75" i="17"/>
  <c r="F79" i="17" s="1"/>
  <c r="H75" i="17"/>
  <c r="H79" i="17" s="1"/>
  <c r="J75" i="17"/>
  <c r="J79" i="17" s="1"/>
  <c r="L75" i="17"/>
  <c r="L79" i="17" s="1"/>
  <c r="N75" i="17"/>
  <c r="N79" i="17" s="1"/>
  <c r="P75" i="17"/>
  <c r="P79" i="17" s="1"/>
  <c r="F76" i="17"/>
  <c r="F80" i="17" s="1"/>
  <c r="H76" i="17"/>
  <c r="H80" i="17" s="1"/>
  <c r="J76" i="17"/>
  <c r="J80" i="17" s="1"/>
  <c r="L76" i="17"/>
  <c r="N76" i="17"/>
  <c r="N80" i="17" s="1"/>
  <c r="P76" i="17"/>
  <c r="P80" i="17" s="1"/>
  <c r="Z76" i="17"/>
  <c r="Z80" i="17" s="1"/>
  <c r="F77" i="17"/>
  <c r="F81" i="17" s="1"/>
  <c r="H77" i="17"/>
  <c r="H81" i="17" s="1"/>
  <c r="J77" i="17"/>
  <c r="J81" i="17" s="1"/>
  <c r="L77" i="17"/>
  <c r="L81" i="17" s="1"/>
  <c r="N77" i="17"/>
  <c r="N81" i="17" s="1"/>
  <c r="P77" i="17"/>
  <c r="P81" i="17" s="1"/>
  <c r="F85" i="17"/>
  <c r="F87" i="17" s="1"/>
  <c r="H85" i="17"/>
  <c r="H87" i="17" s="1"/>
  <c r="J85" i="17"/>
  <c r="J87" i="17" s="1"/>
  <c r="L85" i="17"/>
  <c r="N85" i="17"/>
  <c r="N87" i="17" s="1"/>
  <c r="P85" i="17"/>
  <c r="R85" i="17"/>
  <c r="R87" i="17" s="1"/>
  <c r="T85" i="17"/>
  <c r="V85" i="17"/>
  <c r="V87" i="17" s="1"/>
  <c r="X85" i="17"/>
  <c r="Z85" i="17"/>
  <c r="Z87" i="17" s="1"/>
  <c r="F86" i="17"/>
  <c r="H86" i="17"/>
  <c r="H88" i="17" s="1"/>
  <c r="J86" i="17"/>
  <c r="J88" i="17" s="1"/>
  <c r="L86" i="17"/>
  <c r="L88" i="17" s="1"/>
  <c r="N86" i="17"/>
  <c r="P86" i="17"/>
  <c r="P88" i="17" s="1"/>
  <c r="R86" i="17"/>
  <c r="T86" i="17"/>
  <c r="T88" i="17" s="1"/>
  <c r="V86" i="17"/>
  <c r="X86" i="17"/>
  <c r="X88" i="17" s="1"/>
  <c r="Z86" i="17"/>
  <c r="F54" i="17"/>
  <c r="F58" i="17" s="1"/>
  <c r="H54" i="17"/>
  <c r="H58" i="17" s="1"/>
  <c r="J54" i="17"/>
  <c r="J58" i="17" s="1"/>
  <c r="L54" i="17"/>
  <c r="L58" i="17" s="1"/>
  <c r="N54" i="17"/>
  <c r="N58" i="17" s="1"/>
  <c r="P54" i="17"/>
  <c r="P58" i="17" s="1"/>
  <c r="F55" i="17"/>
  <c r="F59" i="17" s="1"/>
  <c r="H55" i="17"/>
  <c r="H59" i="17" s="1"/>
  <c r="J55" i="17"/>
  <c r="J59" i="17" s="1"/>
  <c r="L55" i="17"/>
  <c r="L59" i="17" s="1"/>
  <c r="N55" i="17"/>
  <c r="P55" i="17"/>
  <c r="P59" i="17" s="1"/>
  <c r="F56" i="17"/>
  <c r="F60" i="17" s="1"/>
  <c r="H56" i="17"/>
  <c r="H60" i="17" s="1"/>
  <c r="J56" i="17"/>
  <c r="J60" i="17" s="1"/>
  <c r="L56" i="17"/>
  <c r="L60" i="17" s="1"/>
  <c r="N56" i="17"/>
  <c r="N60" i="17" s="1"/>
  <c r="P56" i="17"/>
  <c r="P60" i="17" s="1"/>
  <c r="F57" i="17"/>
  <c r="F61" i="17" s="1"/>
  <c r="H57" i="17"/>
  <c r="H61" i="17" s="1"/>
  <c r="J57" i="17"/>
  <c r="J61" i="17" s="1"/>
  <c r="L57" i="17"/>
  <c r="L61" i="17" s="1"/>
  <c r="N57" i="17"/>
  <c r="N61" i="17" s="1"/>
  <c r="P57" i="17"/>
  <c r="P61" i="17" s="1"/>
  <c r="F44" i="17"/>
  <c r="H44" i="17"/>
  <c r="H48" i="17" s="1"/>
  <c r="J44" i="17"/>
  <c r="L44" i="17"/>
  <c r="L48" i="17" s="1"/>
  <c r="N44" i="17"/>
  <c r="P44" i="17"/>
  <c r="P48" i="17" s="1"/>
  <c r="F45" i="17"/>
  <c r="F49" i="17" s="1"/>
  <c r="H45" i="17"/>
  <c r="J45" i="17"/>
  <c r="J49" i="17" s="1"/>
  <c r="L45" i="17"/>
  <c r="N45" i="17"/>
  <c r="N49" i="17" s="1"/>
  <c r="P45" i="17"/>
  <c r="P49" i="17" s="1"/>
  <c r="F46" i="17"/>
  <c r="H46" i="17"/>
  <c r="H50" i="17" s="1"/>
  <c r="J46" i="17"/>
  <c r="J50" i="17" s="1"/>
  <c r="L46" i="17"/>
  <c r="L50" i="17" s="1"/>
  <c r="N46" i="17"/>
  <c r="P46" i="17"/>
  <c r="P50" i="17" s="1"/>
  <c r="F47" i="17"/>
  <c r="H47" i="17"/>
  <c r="J47" i="17"/>
  <c r="L47" i="17"/>
  <c r="N47" i="17"/>
  <c r="P47" i="17"/>
  <c r="F48" i="17"/>
  <c r="F38" i="17"/>
  <c r="F139" i="17" s="1"/>
  <c r="H38" i="17"/>
  <c r="H139" i="17" s="1"/>
  <c r="J38" i="17"/>
  <c r="J139" i="17" s="1"/>
  <c r="L38" i="17"/>
  <c r="L139" i="17" s="1"/>
  <c r="N38" i="17"/>
  <c r="N139" i="17" s="1"/>
  <c r="P38" i="17"/>
  <c r="P139" i="17" s="1"/>
  <c r="F39" i="17"/>
  <c r="F140" i="17" s="1"/>
  <c r="H39" i="17"/>
  <c r="H140" i="17" s="1"/>
  <c r="J39" i="17"/>
  <c r="J140" i="17" s="1"/>
  <c r="L39" i="17"/>
  <c r="L140" i="17" s="1"/>
  <c r="N39" i="17"/>
  <c r="N140" i="17" s="1"/>
  <c r="P39" i="17"/>
  <c r="P140" i="17" s="1"/>
  <c r="F30" i="17"/>
  <c r="F33" i="17" s="1"/>
  <c r="H30" i="17"/>
  <c r="H33" i="17" s="1"/>
  <c r="J30" i="17"/>
  <c r="J33" i="17" s="1"/>
  <c r="L30" i="17"/>
  <c r="L33" i="17" s="1"/>
  <c r="N30" i="17"/>
  <c r="N33" i="17" s="1"/>
  <c r="P30" i="17"/>
  <c r="P33" i="17" s="1"/>
  <c r="F31" i="17"/>
  <c r="F34" i="17" s="1"/>
  <c r="H31" i="17"/>
  <c r="H34" i="17" s="1"/>
  <c r="J31" i="17"/>
  <c r="J34" i="17" s="1"/>
  <c r="L31" i="17"/>
  <c r="L34" i="17" s="1"/>
  <c r="N31" i="17"/>
  <c r="N34" i="17" s="1"/>
  <c r="P31" i="17"/>
  <c r="P34" i="17" s="1"/>
  <c r="F32" i="17"/>
  <c r="F35" i="17" s="1"/>
  <c r="H32" i="17"/>
  <c r="H35" i="17" s="1"/>
  <c r="J32" i="17"/>
  <c r="J35" i="17" s="1"/>
  <c r="L32" i="17"/>
  <c r="L35" i="17" s="1"/>
  <c r="N32" i="17"/>
  <c r="N35" i="17" s="1"/>
  <c r="P32" i="17"/>
  <c r="P35" i="17" s="1"/>
  <c r="F13" i="17"/>
  <c r="H13" i="17"/>
  <c r="J13" i="17"/>
  <c r="L13" i="17"/>
  <c r="N13" i="17"/>
  <c r="P13" i="17"/>
  <c r="T13" i="17"/>
  <c r="F14" i="17"/>
  <c r="H14" i="17"/>
  <c r="J14" i="17"/>
  <c r="L14" i="17"/>
  <c r="N14" i="17"/>
  <c r="P14" i="17"/>
  <c r="T14" i="17"/>
  <c r="F16" i="17"/>
  <c r="H16" i="17"/>
  <c r="J16" i="17"/>
  <c r="L16" i="17"/>
  <c r="N16" i="17"/>
  <c r="P16" i="17"/>
  <c r="F17" i="17"/>
  <c r="H17" i="17"/>
  <c r="J17" i="17"/>
  <c r="L17" i="17"/>
  <c r="N17" i="17"/>
  <c r="P17" i="17"/>
  <c r="F18" i="17"/>
  <c r="F22" i="17" s="1"/>
  <c r="F131" i="17" s="1"/>
  <c r="H18" i="17"/>
  <c r="H22" i="17" s="1"/>
  <c r="H131" i="17" s="1"/>
  <c r="J18" i="17"/>
  <c r="J22" i="17" s="1"/>
  <c r="J131" i="17" s="1"/>
  <c r="L18" i="17"/>
  <c r="L22" i="17" s="1"/>
  <c r="L131" i="17" s="1"/>
  <c r="N18" i="17"/>
  <c r="N22" i="17" s="1"/>
  <c r="N131" i="17" s="1"/>
  <c r="P18" i="17"/>
  <c r="P22" i="17" s="1"/>
  <c r="P131" i="17" s="1"/>
  <c r="D86" i="17"/>
  <c r="D88" i="17" s="1"/>
  <c r="D85" i="17"/>
  <c r="D87" i="17" s="1"/>
  <c r="AD255" i="27"/>
  <c r="AD250" i="27"/>
  <c r="AD251" i="27"/>
  <c r="AD252" i="27"/>
  <c r="AD253" i="27"/>
  <c r="AD254" i="27"/>
  <c r="AD249" i="27"/>
  <c r="AD220" i="27"/>
  <c r="AB254" i="27"/>
  <c r="AB253" i="27"/>
  <c r="AB252" i="27"/>
  <c r="AB250" i="27"/>
  <c r="AB249" i="27"/>
  <c r="Z254" i="27"/>
  <c r="Z253" i="27"/>
  <c r="Z252" i="27"/>
  <c r="Z250" i="27"/>
  <c r="Z249" i="27"/>
  <c r="X254" i="27"/>
  <c r="X253" i="27"/>
  <c r="X252" i="27"/>
  <c r="X250" i="27"/>
  <c r="X249" i="27"/>
  <c r="V254" i="27"/>
  <c r="V253" i="27"/>
  <c r="V252" i="27"/>
  <c r="V250" i="27"/>
  <c r="V249" i="27"/>
  <c r="T254" i="27"/>
  <c r="T253" i="27"/>
  <c r="T252" i="27"/>
  <c r="T250" i="27"/>
  <c r="T249" i="27"/>
  <c r="R254" i="27"/>
  <c r="R253" i="27"/>
  <c r="R252" i="27"/>
  <c r="R250" i="27"/>
  <c r="R249" i="27"/>
  <c r="P254" i="27"/>
  <c r="P253" i="27"/>
  <c r="P252" i="27"/>
  <c r="P250" i="27"/>
  <c r="P249" i="27"/>
  <c r="N254" i="27"/>
  <c r="N253" i="27"/>
  <c r="N252" i="27"/>
  <c r="N250" i="27"/>
  <c r="N249" i="27"/>
  <c r="L254" i="27"/>
  <c r="L253" i="27"/>
  <c r="L252" i="27"/>
  <c r="L250" i="27"/>
  <c r="L249" i="27"/>
  <c r="J254" i="27"/>
  <c r="J253" i="27"/>
  <c r="J252" i="27"/>
  <c r="J250" i="27"/>
  <c r="J249" i="27"/>
  <c r="H254" i="27"/>
  <c r="H253" i="27"/>
  <c r="H252" i="27"/>
  <c r="H250" i="27"/>
  <c r="H249" i="27"/>
  <c r="F254" i="27"/>
  <c r="F253" i="27"/>
  <c r="F252" i="27"/>
  <c r="F250" i="27"/>
  <c r="F249" i="27"/>
  <c r="D75" i="17"/>
  <c r="D79" i="17" s="1"/>
  <c r="D76" i="17"/>
  <c r="D80" i="17" s="1"/>
  <c r="D77" i="17"/>
  <c r="D81" i="17" s="1"/>
  <c r="D74" i="17"/>
  <c r="D78" i="17" s="1"/>
  <c r="D65" i="17"/>
  <c r="D66" i="17"/>
  <c r="D67" i="17"/>
  <c r="D71" i="17" s="1"/>
  <c r="D64" i="17"/>
  <c r="D68" i="17" s="1"/>
  <c r="D55" i="17"/>
  <c r="D59" i="17" s="1"/>
  <c r="D56" i="17"/>
  <c r="D60" i="17" s="1"/>
  <c r="D57" i="17"/>
  <c r="D61" i="17" s="1"/>
  <c r="D54" i="17"/>
  <c r="D45" i="17"/>
  <c r="D49" i="17" s="1"/>
  <c r="D46" i="17"/>
  <c r="D50" i="17" s="1"/>
  <c r="D47" i="17"/>
  <c r="D44" i="17"/>
  <c r="D48" i="17" s="1"/>
  <c r="D39" i="17"/>
  <c r="D140" i="17" s="1"/>
  <c r="D38" i="17"/>
  <c r="D139" i="17" s="1"/>
  <c r="D31" i="17"/>
  <c r="D34" i="17" s="1"/>
  <c r="D32" i="17"/>
  <c r="D35" i="17" s="1"/>
  <c r="J20" i="17" l="1"/>
  <c r="J129" i="17" s="1"/>
  <c r="L21" i="17"/>
  <c r="L130" i="17" s="1"/>
  <c r="H93" i="17"/>
  <c r="H149" i="17" s="1"/>
  <c r="P93" i="17"/>
  <c r="P149" i="17" s="1"/>
  <c r="N51" i="17"/>
  <c r="N93" i="17"/>
  <c r="N149" i="17" s="1"/>
  <c r="L51" i="17"/>
  <c r="L93" i="17"/>
  <c r="L149" i="17" s="1"/>
  <c r="J51" i="17"/>
  <c r="J93" i="17"/>
  <c r="J149" i="17" s="1"/>
  <c r="D93" i="17"/>
  <c r="D149" i="17" s="1"/>
  <c r="F51" i="17"/>
  <c r="F93" i="17"/>
  <c r="F149" i="17" s="1"/>
  <c r="D33" i="17"/>
  <c r="D36" i="17"/>
  <c r="J89" i="17"/>
  <c r="F21" i="17"/>
  <c r="F130" i="17" s="1"/>
  <c r="P20" i="17"/>
  <c r="P129" i="17" s="1"/>
  <c r="N21" i="17"/>
  <c r="N130" i="17" s="1"/>
  <c r="J40" i="17"/>
  <c r="J112" i="17" s="1"/>
  <c r="H141" i="17"/>
  <c r="J90" i="17"/>
  <c r="J146" i="17" s="1"/>
  <c r="P21" i="17"/>
  <c r="P130" i="17" s="1"/>
  <c r="L20" i="17"/>
  <c r="L129" i="17" s="1"/>
  <c r="L141" i="17"/>
  <c r="H40" i="17"/>
  <c r="H112" i="17" s="1"/>
  <c r="N20" i="17"/>
  <c r="N129" i="17" s="1"/>
  <c r="N141" i="17"/>
  <c r="J141" i="17"/>
  <c r="D141" i="17"/>
  <c r="H20" i="17"/>
  <c r="H129" i="17" s="1"/>
  <c r="T89" i="17"/>
  <c r="J21" i="17"/>
  <c r="J130" i="17" s="1"/>
  <c r="J132" i="17" s="1"/>
  <c r="F33" i="20" s="1"/>
  <c r="F20" i="17"/>
  <c r="F129" i="17" s="1"/>
  <c r="F141" i="17"/>
  <c r="H21" i="17"/>
  <c r="H130" i="17" s="1"/>
  <c r="P141" i="17"/>
  <c r="N70" i="17"/>
  <c r="F70" i="17"/>
  <c r="V89" i="17"/>
  <c r="V88" i="17"/>
  <c r="L69" i="17"/>
  <c r="L72" i="17" s="1"/>
  <c r="N89" i="17"/>
  <c r="N88" i="17"/>
  <c r="N69" i="17"/>
  <c r="S7" i="1"/>
  <c r="T7" i="1" s="1"/>
  <c r="U7" i="1" s="1"/>
  <c r="F89" i="17"/>
  <c r="F88" i="17"/>
  <c r="F69" i="17"/>
  <c r="D70" i="17"/>
  <c r="Z89" i="17"/>
  <c r="Z88" i="17"/>
  <c r="R89" i="17"/>
  <c r="R88" i="17"/>
  <c r="D69" i="17"/>
  <c r="P70" i="17"/>
  <c r="H70" i="17"/>
  <c r="J72" i="17"/>
  <c r="P69" i="17"/>
  <c r="H69" i="17"/>
  <c r="P87" i="17"/>
  <c r="L41" i="17"/>
  <c r="L113" i="17" s="1"/>
  <c r="P91" i="17"/>
  <c r="P147" i="17" s="1"/>
  <c r="H91" i="17"/>
  <c r="H147" i="17" s="1"/>
  <c r="N90" i="17"/>
  <c r="N146" i="17" s="1"/>
  <c r="F90" i="17"/>
  <c r="F146" i="17" s="1"/>
  <c r="L83" i="17"/>
  <c r="J91" i="17"/>
  <c r="J147" i="17" s="1"/>
  <c r="P90" i="17"/>
  <c r="P146" i="17" s="1"/>
  <c r="D89" i="17"/>
  <c r="P19" i="17"/>
  <c r="P23" i="17" s="1"/>
  <c r="H19" i="17"/>
  <c r="H23" i="17" s="1"/>
  <c r="P92" i="17"/>
  <c r="P148" i="17" s="1"/>
  <c r="H92" i="17"/>
  <c r="H148" i="17" s="1"/>
  <c r="L87" i="17"/>
  <c r="J92" i="17"/>
  <c r="J148" i="17" s="1"/>
  <c r="H49" i="17"/>
  <c r="N92" i="17"/>
  <c r="N148" i="17" s="1"/>
  <c r="F52" i="17"/>
  <c r="N48" i="17"/>
  <c r="L52" i="17"/>
  <c r="D51" i="17"/>
  <c r="L62" i="17"/>
  <c r="X87" i="17"/>
  <c r="D62" i="17"/>
  <c r="L92" i="17"/>
  <c r="L148" i="17" s="1"/>
  <c r="H90" i="17"/>
  <c r="H146" i="17" s="1"/>
  <c r="D147" i="17"/>
  <c r="L80" i="17"/>
  <c r="N42" i="17"/>
  <c r="P51" i="17"/>
  <c r="H51" i="17"/>
  <c r="N50" i="17"/>
  <c r="N62" i="17"/>
  <c r="D148" i="17"/>
  <c r="J48" i="17"/>
  <c r="T87" i="17"/>
  <c r="L89" i="17"/>
  <c r="J19" i="17"/>
  <c r="J23" i="17" s="1"/>
  <c r="L42" i="17"/>
  <c r="F41" i="17"/>
  <c r="F113" i="17" s="1"/>
  <c r="J42" i="17"/>
  <c r="P40" i="17"/>
  <c r="P112" i="17" s="1"/>
  <c r="N52" i="17"/>
  <c r="J52" i="17"/>
  <c r="P52" i="17"/>
  <c r="H52" i="17"/>
  <c r="N59" i="17"/>
  <c r="J62" i="17"/>
  <c r="N91" i="17"/>
  <c r="N147" i="17" s="1"/>
  <c r="F91" i="17"/>
  <c r="F147" i="17" s="1"/>
  <c r="L90" i="17"/>
  <c r="L146" i="17" s="1"/>
  <c r="P62" i="17"/>
  <c r="P83" i="17"/>
  <c r="H83" i="17"/>
  <c r="L49" i="17"/>
  <c r="H62" i="17"/>
  <c r="D40" i="17"/>
  <c r="D112" i="17" s="1"/>
  <c r="L19" i="17"/>
  <c r="L23" i="17" s="1"/>
  <c r="F42" i="17"/>
  <c r="L40" i="17"/>
  <c r="L112" i="17" s="1"/>
  <c r="P42" i="17"/>
  <c r="H42" i="17"/>
  <c r="N40" i="17"/>
  <c r="N112" i="17" s="1"/>
  <c r="F40" i="17"/>
  <c r="F112" i="17" s="1"/>
  <c r="F114" i="17" s="1"/>
  <c r="F50" i="17"/>
  <c r="F62" i="17"/>
  <c r="F92" i="17"/>
  <c r="F148" i="17" s="1"/>
  <c r="L91" i="17"/>
  <c r="L147" i="17" s="1"/>
  <c r="D41" i="17"/>
  <c r="D113" i="17" s="1"/>
  <c r="N41" i="17"/>
  <c r="N113" i="17" s="1"/>
  <c r="X89" i="17"/>
  <c r="P89" i="17"/>
  <c r="H89" i="17"/>
  <c r="N83" i="17"/>
  <c r="F83" i="17"/>
  <c r="J83" i="17"/>
  <c r="J41" i="17"/>
  <c r="J113" i="17" s="1"/>
  <c r="P41" i="17"/>
  <c r="P113" i="17" s="1"/>
  <c r="H41" i="17"/>
  <c r="H113" i="17" s="1"/>
  <c r="F19" i="17"/>
  <c r="F23" i="17" s="1"/>
  <c r="N19" i="17"/>
  <c r="N23" i="17" s="1"/>
  <c r="D42" i="17"/>
  <c r="D52" i="17"/>
  <c r="D83" i="17"/>
  <c r="D58" i="17"/>
  <c r="L132" i="17" l="1"/>
  <c r="F34" i="20" s="1"/>
  <c r="F150" i="17"/>
  <c r="F132" i="17"/>
  <c r="F31" i="20" s="1"/>
  <c r="P72" i="17"/>
  <c r="L150" i="17"/>
  <c r="N150" i="17"/>
  <c r="H150" i="17"/>
  <c r="D150" i="17"/>
  <c r="J150" i="17"/>
  <c r="H114" i="17"/>
  <c r="P150" i="17"/>
  <c r="J114" i="17"/>
  <c r="N72" i="17"/>
  <c r="P132" i="17"/>
  <c r="F36" i="20" s="1"/>
  <c r="F72" i="17"/>
  <c r="N132" i="17"/>
  <c r="F35" i="20" s="1"/>
  <c r="L114" i="17"/>
  <c r="H72" i="17"/>
  <c r="D72" i="17"/>
  <c r="D114" i="17"/>
  <c r="H132" i="17"/>
  <c r="F32" i="20" s="1"/>
  <c r="N114" i="17"/>
  <c r="P114" i="17"/>
  <c r="D17" i="17"/>
  <c r="D18" i="17"/>
  <c r="D22" i="17" s="1"/>
  <c r="D131" i="17" s="1"/>
  <c r="D16" i="17"/>
  <c r="D14" i="17"/>
  <c r="D13" i="17"/>
  <c r="D21" i="17" l="1"/>
  <c r="D130" i="17" s="1"/>
  <c r="D20" i="17"/>
  <c r="D102" i="17" s="1"/>
  <c r="AB325" i="27"/>
  <c r="Z57" i="17" s="1"/>
  <c r="Z61" i="17" s="1"/>
  <c r="AB324" i="27"/>
  <c r="Z56" i="17" s="1"/>
  <c r="Z60" i="17" s="1"/>
  <c r="AB323" i="27"/>
  <c r="Z55" i="17" s="1"/>
  <c r="Z59" i="17" s="1"/>
  <c r="AB322" i="27"/>
  <c r="Z54" i="17" s="1"/>
  <c r="AB321" i="27"/>
  <c r="AB320" i="27"/>
  <c r="AB319" i="27"/>
  <c r="Z325" i="27"/>
  <c r="X57" i="17" s="1"/>
  <c r="X61" i="17" s="1"/>
  <c r="Z324" i="27"/>
  <c r="X56" i="17" s="1"/>
  <c r="X60" i="17" s="1"/>
  <c r="Z323" i="27"/>
  <c r="X55" i="17" s="1"/>
  <c r="X59" i="17" s="1"/>
  <c r="Z322" i="27"/>
  <c r="X54" i="17" s="1"/>
  <c r="Z321" i="27"/>
  <c r="Z320" i="27"/>
  <c r="Z319" i="27"/>
  <c r="X325" i="27"/>
  <c r="V57" i="17" s="1"/>
  <c r="V61" i="17" s="1"/>
  <c r="X324" i="27"/>
  <c r="V56" i="17" s="1"/>
  <c r="V60" i="17" s="1"/>
  <c r="X323" i="27"/>
  <c r="V55" i="17" s="1"/>
  <c r="V59" i="17" s="1"/>
  <c r="X322" i="27"/>
  <c r="V54" i="17" s="1"/>
  <c r="X321" i="27"/>
  <c r="X320" i="27"/>
  <c r="X319" i="27"/>
  <c r="V325" i="27"/>
  <c r="T57" i="17" s="1"/>
  <c r="T61" i="17" s="1"/>
  <c r="V324" i="27"/>
  <c r="T56" i="17" s="1"/>
  <c r="T60" i="17" s="1"/>
  <c r="V323" i="27"/>
  <c r="T55" i="17" s="1"/>
  <c r="T59" i="17" s="1"/>
  <c r="V322" i="27"/>
  <c r="T54" i="17" s="1"/>
  <c r="V321" i="27"/>
  <c r="V320" i="27"/>
  <c r="V319" i="27"/>
  <c r="T325" i="27"/>
  <c r="R57" i="17" s="1"/>
  <c r="R61" i="17" s="1"/>
  <c r="T324" i="27"/>
  <c r="R56" i="17" s="1"/>
  <c r="R60" i="17" s="1"/>
  <c r="T323" i="27"/>
  <c r="R55" i="17" s="1"/>
  <c r="R59" i="17" s="1"/>
  <c r="T322" i="27"/>
  <c r="R54" i="17" s="1"/>
  <c r="T321" i="27"/>
  <c r="T320" i="27"/>
  <c r="T319" i="27"/>
  <c r="R325" i="27"/>
  <c r="R324" i="27"/>
  <c r="R323" i="27"/>
  <c r="R322" i="27"/>
  <c r="R321" i="27"/>
  <c r="R320" i="27"/>
  <c r="R319" i="27"/>
  <c r="P325" i="27"/>
  <c r="P324" i="27"/>
  <c r="P323" i="27"/>
  <c r="P322" i="27"/>
  <c r="P321" i="27"/>
  <c r="P320" i="27"/>
  <c r="P319" i="27"/>
  <c r="N325" i="27"/>
  <c r="N324" i="27"/>
  <c r="N323" i="27"/>
  <c r="N322" i="27"/>
  <c r="N321" i="27"/>
  <c r="N320" i="27"/>
  <c r="N319" i="27"/>
  <c r="L325" i="27"/>
  <c r="L324" i="27"/>
  <c r="L323" i="27"/>
  <c r="L322" i="27"/>
  <c r="L321" i="27"/>
  <c r="L320" i="27"/>
  <c r="L319" i="27"/>
  <c r="J325" i="27"/>
  <c r="J324" i="27"/>
  <c r="J323" i="27"/>
  <c r="J322" i="27"/>
  <c r="J321" i="27"/>
  <c r="J320" i="27"/>
  <c r="J319" i="27"/>
  <c r="H325" i="27"/>
  <c r="H324" i="27"/>
  <c r="H323" i="27"/>
  <c r="H322" i="27"/>
  <c r="H321" i="27"/>
  <c r="H320" i="27"/>
  <c r="H319" i="27"/>
  <c r="F325" i="27"/>
  <c r="F324" i="27"/>
  <c r="F323" i="27"/>
  <c r="F322" i="27"/>
  <c r="F321" i="27"/>
  <c r="F320" i="27"/>
  <c r="F319" i="27"/>
  <c r="AB345" i="27"/>
  <c r="Z67" i="17" s="1"/>
  <c r="Z71" i="17" s="1"/>
  <c r="AB344" i="27"/>
  <c r="Z66" i="17" s="1"/>
  <c r="AB343" i="27"/>
  <c r="Z65" i="17" s="1"/>
  <c r="AB342" i="27"/>
  <c r="Z64" i="17" s="1"/>
  <c r="Z68" i="17" s="1"/>
  <c r="AB341" i="27"/>
  <c r="AB340" i="27"/>
  <c r="AB339" i="27"/>
  <c r="Z345" i="27"/>
  <c r="X67" i="17" s="1"/>
  <c r="X71" i="17" s="1"/>
  <c r="Z344" i="27"/>
  <c r="X66" i="17" s="1"/>
  <c r="Z343" i="27"/>
  <c r="X65" i="17" s="1"/>
  <c r="Z342" i="27"/>
  <c r="X64" i="17" s="1"/>
  <c r="X68" i="17" s="1"/>
  <c r="Z341" i="27"/>
  <c r="Z340" i="27"/>
  <c r="Z339" i="27"/>
  <c r="X345" i="27"/>
  <c r="V67" i="17" s="1"/>
  <c r="V71" i="17" s="1"/>
  <c r="X344" i="27"/>
  <c r="V66" i="17" s="1"/>
  <c r="X343" i="27"/>
  <c r="V65" i="17" s="1"/>
  <c r="X342" i="27"/>
  <c r="V64" i="17" s="1"/>
  <c r="V68" i="17" s="1"/>
  <c r="X341" i="27"/>
  <c r="X340" i="27"/>
  <c r="X339" i="27"/>
  <c r="V345" i="27"/>
  <c r="T67" i="17" s="1"/>
  <c r="T71" i="17" s="1"/>
  <c r="V344" i="27"/>
  <c r="T66" i="17" s="1"/>
  <c r="V343" i="27"/>
  <c r="T65" i="17" s="1"/>
  <c r="V342" i="27"/>
  <c r="T64" i="17" s="1"/>
  <c r="T68" i="17" s="1"/>
  <c r="V341" i="27"/>
  <c r="V340" i="27"/>
  <c r="V339" i="27"/>
  <c r="T345" i="27"/>
  <c r="R67" i="17" s="1"/>
  <c r="R71" i="17" s="1"/>
  <c r="T344" i="27"/>
  <c r="R66" i="17" s="1"/>
  <c r="T343" i="27"/>
  <c r="R65" i="17" s="1"/>
  <c r="T342" i="27"/>
  <c r="R64" i="17" s="1"/>
  <c r="R68" i="17" s="1"/>
  <c r="T341" i="27"/>
  <c r="T340" i="27"/>
  <c r="T339" i="27"/>
  <c r="AB363" i="27"/>
  <c r="Z77" i="17" s="1"/>
  <c r="Z81" i="17" s="1"/>
  <c r="AB362" i="27"/>
  <c r="AB361" i="27"/>
  <c r="Z75" i="17" s="1"/>
  <c r="Z79" i="17" s="1"/>
  <c r="AB360" i="27"/>
  <c r="Z74" i="17" s="1"/>
  <c r="AB359" i="27"/>
  <c r="AB358" i="27"/>
  <c r="Z363" i="27"/>
  <c r="X77" i="17" s="1"/>
  <c r="X81" i="17" s="1"/>
  <c r="Z362" i="27"/>
  <c r="X76" i="17" s="1"/>
  <c r="X80" i="17" s="1"/>
  <c r="Z361" i="27"/>
  <c r="X75" i="17" s="1"/>
  <c r="X79" i="17" s="1"/>
  <c r="Z360" i="27"/>
  <c r="X74" i="17" s="1"/>
  <c r="Z359" i="27"/>
  <c r="Z358" i="27"/>
  <c r="X363" i="27"/>
  <c r="V77" i="17" s="1"/>
  <c r="V81" i="17" s="1"/>
  <c r="X362" i="27"/>
  <c r="V76" i="17" s="1"/>
  <c r="V80" i="17" s="1"/>
  <c r="X361" i="27"/>
  <c r="V75" i="17" s="1"/>
  <c r="V79" i="17" s="1"/>
  <c r="X360" i="27"/>
  <c r="V74" i="17" s="1"/>
  <c r="X359" i="27"/>
  <c r="X358" i="27"/>
  <c r="V363" i="27"/>
  <c r="T77" i="17" s="1"/>
  <c r="T81" i="17" s="1"/>
  <c r="V362" i="27"/>
  <c r="T76" i="17" s="1"/>
  <c r="T80" i="17" s="1"/>
  <c r="V361" i="27"/>
  <c r="T75" i="17" s="1"/>
  <c r="T79" i="17" s="1"/>
  <c r="V360" i="27"/>
  <c r="T74" i="17" s="1"/>
  <c r="V359" i="27"/>
  <c r="V358" i="27"/>
  <c r="T363" i="27"/>
  <c r="R77" i="17" s="1"/>
  <c r="R81" i="17" s="1"/>
  <c r="T362" i="27"/>
  <c r="R76" i="17" s="1"/>
  <c r="R80" i="17" s="1"/>
  <c r="T361" i="27"/>
  <c r="R75" i="17" s="1"/>
  <c r="R79" i="17" s="1"/>
  <c r="T360" i="27"/>
  <c r="R74" i="17" s="1"/>
  <c r="T359" i="27"/>
  <c r="T358" i="27"/>
  <c r="R363" i="27"/>
  <c r="R362" i="27"/>
  <c r="R361" i="27"/>
  <c r="R360" i="27"/>
  <c r="R359" i="27"/>
  <c r="R358" i="27"/>
  <c r="P363" i="27"/>
  <c r="P362" i="27"/>
  <c r="P361" i="27"/>
  <c r="P360" i="27"/>
  <c r="P359" i="27"/>
  <c r="P358" i="27"/>
  <c r="N363" i="27"/>
  <c r="N362" i="27"/>
  <c r="N361" i="27"/>
  <c r="N360" i="27"/>
  <c r="N359" i="27"/>
  <c r="N358" i="27"/>
  <c r="L363" i="27"/>
  <c r="L362" i="27"/>
  <c r="L361" i="27"/>
  <c r="L360" i="27"/>
  <c r="L359" i="27"/>
  <c r="L358" i="27"/>
  <c r="J363" i="27"/>
  <c r="J362" i="27"/>
  <c r="J361" i="27"/>
  <c r="J360" i="27"/>
  <c r="J359" i="27"/>
  <c r="J358" i="27"/>
  <c r="H363" i="27"/>
  <c r="H362" i="27"/>
  <c r="H361" i="27"/>
  <c r="H360" i="27"/>
  <c r="H359" i="27"/>
  <c r="H358" i="27"/>
  <c r="F363" i="27"/>
  <c r="F362" i="27"/>
  <c r="F361" i="27"/>
  <c r="F360" i="27"/>
  <c r="F359" i="27"/>
  <c r="AB226" i="27"/>
  <c r="Z47" i="17" s="1"/>
  <c r="AB225" i="27"/>
  <c r="Z46" i="17" s="1"/>
  <c r="AB224" i="27"/>
  <c r="Z45" i="17" s="1"/>
  <c r="AB223" i="27"/>
  <c r="Z44" i="17" s="1"/>
  <c r="AB220" i="27"/>
  <c r="Z226" i="27"/>
  <c r="X47" i="17" s="1"/>
  <c r="Z225" i="27"/>
  <c r="X46" i="17" s="1"/>
  <c r="Z224" i="27"/>
  <c r="X45" i="17" s="1"/>
  <c r="Z223" i="27"/>
  <c r="X44" i="17" s="1"/>
  <c r="Z220" i="27"/>
  <c r="X226" i="27"/>
  <c r="V47" i="17" s="1"/>
  <c r="X225" i="27"/>
  <c r="V46" i="17" s="1"/>
  <c r="X224" i="27"/>
  <c r="V45" i="17" s="1"/>
  <c r="X223" i="27"/>
  <c r="V44" i="17" s="1"/>
  <c r="X220" i="27"/>
  <c r="V226" i="27"/>
  <c r="T47" i="17" s="1"/>
  <c r="V225" i="27"/>
  <c r="T46" i="17" s="1"/>
  <c r="V224" i="27"/>
  <c r="T45" i="17" s="1"/>
  <c r="V223" i="27"/>
  <c r="T44" i="17" s="1"/>
  <c r="V220" i="27"/>
  <c r="AB201" i="27"/>
  <c r="Z39" i="17" s="1"/>
  <c r="Z140" i="17" s="1"/>
  <c r="AB200" i="27"/>
  <c r="Z38" i="17" s="1"/>
  <c r="Z139" i="17" s="1"/>
  <c r="AB199" i="27"/>
  <c r="Z201" i="27"/>
  <c r="X39" i="17" s="1"/>
  <c r="X140" i="17" s="1"/>
  <c r="Z200" i="27"/>
  <c r="X38" i="17" s="1"/>
  <c r="X139" i="17" s="1"/>
  <c r="Z199" i="27"/>
  <c r="X201" i="27"/>
  <c r="V39" i="17" s="1"/>
  <c r="V140" i="17" s="1"/>
  <c r="X200" i="27"/>
  <c r="V38" i="17" s="1"/>
  <c r="V139" i="17" s="1"/>
  <c r="X199" i="27"/>
  <c r="V201" i="27"/>
  <c r="T39" i="17" s="1"/>
  <c r="T140" i="17" s="1"/>
  <c r="V200" i="27"/>
  <c r="T38" i="17" s="1"/>
  <c r="T139" i="17" s="1"/>
  <c r="V199" i="27"/>
  <c r="T201" i="27"/>
  <c r="R39" i="17" s="1"/>
  <c r="R140" i="17" s="1"/>
  <c r="T200" i="27"/>
  <c r="R38" i="17" s="1"/>
  <c r="R139" i="17" s="1"/>
  <c r="T199" i="27"/>
  <c r="AB182" i="27"/>
  <c r="Z14" i="17" s="1"/>
  <c r="AB181" i="27"/>
  <c r="Z13" i="17" s="1"/>
  <c r="AB180" i="27"/>
  <c r="Z182" i="27"/>
  <c r="X14" i="17" s="1"/>
  <c r="Z181" i="27"/>
  <c r="X13" i="17" s="1"/>
  <c r="Z180" i="27"/>
  <c r="X182" i="27"/>
  <c r="V14" i="17" s="1"/>
  <c r="X181" i="27"/>
  <c r="V13" i="17" s="1"/>
  <c r="X180" i="27"/>
  <c r="V182" i="27"/>
  <c r="V181" i="27"/>
  <c r="V180" i="27"/>
  <c r="T182" i="27"/>
  <c r="R14" i="17" s="1"/>
  <c r="T181" i="27"/>
  <c r="R13" i="17" s="1"/>
  <c r="T180" i="27"/>
  <c r="R182" i="27"/>
  <c r="R181" i="27"/>
  <c r="R180" i="27"/>
  <c r="P182" i="27"/>
  <c r="P181" i="27"/>
  <c r="P180" i="27"/>
  <c r="N182" i="27"/>
  <c r="N181" i="27"/>
  <c r="N180" i="27"/>
  <c r="L182" i="27"/>
  <c r="L181" i="27"/>
  <c r="L180" i="27"/>
  <c r="J182" i="27"/>
  <c r="J181" i="27"/>
  <c r="J180" i="27"/>
  <c r="H182" i="27"/>
  <c r="H181" i="27"/>
  <c r="H180" i="27"/>
  <c r="AB157" i="27"/>
  <c r="AB156" i="27"/>
  <c r="AB155" i="27"/>
  <c r="AB154" i="27"/>
  <c r="Z157" i="27"/>
  <c r="Z156" i="27"/>
  <c r="Z155" i="27"/>
  <c r="Z154" i="27"/>
  <c r="X157" i="27"/>
  <c r="X156" i="27"/>
  <c r="X155" i="27"/>
  <c r="X154" i="27"/>
  <c r="V157" i="27"/>
  <c r="V156" i="27"/>
  <c r="T31" i="17" s="1"/>
  <c r="T34" i="17" s="1"/>
  <c r="V155" i="27"/>
  <c r="V154" i="27"/>
  <c r="T157" i="27"/>
  <c r="T156" i="27"/>
  <c r="T155" i="27"/>
  <c r="T154" i="27"/>
  <c r="R157" i="27"/>
  <c r="R156" i="27"/>
  <c r="R155" i="27"/>
  <c r="R154" i="27"/>
  <c r="P157" i="27"/>
  <c r="P156" i="27"/>
  <c r="P155" i="27"/>
  <c r="P154" i="27"/>
  <c r="N157" i="27"/>
  <c r="N156" i="27"/>
  <c r="N155" i="27"/>
  <c r="N154" i="27"/>
  <c r="L157" i="27"/>
  <c r="L156" i="27"/>
  <c r="L155" i="27"/>
  <c r="L154" i="27"/>
  <c r="J157" i="27"/>
  <c r="J156" i="27"/>
  <c r="J155" i="27"/>
  <c r="J154" i="27"/>
  <c r="H157" i="27"/>
  <c r="H156" i="27"/>
  <c r="H155" i="27"/>
  <c r="H154" i="27"/>
  <c r="F157" i="27"/>
  <c r="F156" i="27"/>
  <c r="F155" i="27"/>
  <c r="F154" i="27"/>
  <c r="C174" i="27" s="1"/>
  <c r="AB131" i="27"/>
  <c r="Z32" i="17" s="1"/>
  <c r="AB130" i="27"/>
  <c r="Z31" i="17" s="1"/>
  <c r="AB129" i="27"/>
  <c r="Z30" i="17" s="1"/>
  <c r="AB128" i="27"/>
  <c r="Z131" i="27"/>
  <c r="X32" i="17" s="1"/>
  <c r="Z130" i="27"/>
  <c r="X31" i="17" s="1"/>
  <c r="Z129" i="27"/>
  <c r="X131" i="27"/>
  <c r="V32" i="17" s="1"/>
  <c r="V35" i="17" s="1"/>
  <c r="X130" i="27"/>
  <c r="X129" i="27"/>
  <c r="V30" i="17" s="1"/>
  <c r="V33" i="17" s="1"/>
  <c r="X128" i="27"/>
  <c r="V131" i="27"/>
  <c r="V130" i="27"/>
  <c r="V129" i="27"/>
  <c r="V128" i="27"/>
  <c r="T131" i="27"/>
  <c r="T130" i="27"/>
  <c r="T129" i="27"/>
  <c r="T128" i="27"/>
  <c r="R131" i="27"/>
  <c r="R130" i="27"/>
  <c r="R129" i="27"/>
  <c r="R128" i="27"/>
  <c r="P131" i="27"/>
  <c r="P130" i="27"/>
  <c r="P129" i="27"/>
  <c r="P128" i="27"/>
  <c r="N131" i="27"/>
  <c r="N130" i="27"/>
  <c r="N129" i="27"/>
  <c r="N128" i="27"/>
  <c r="L131" i="27"/>
  <c r="L130" i="27"/>
  <c r="L129" i="27"/>
  <c r="L128" i="27"/>
  <c r="J131" i="27"/>
  <c r="J130" i="27"/>
  <c r="J129" i="27"/>
  <c r="J128" i="27"/>
  <c r="H131" i="27"/>
  <c r="H130" i="27"/>
  <c r="H129" i="27"/>
  <c r="H128" i="27"/>
  <c r="F131" i="27"/>
  <c r="F130" i="27"/>
  <c r="F129" i="27"/>
  <c r="AB104" i="27"/>
  <c r="Z18" i="17" s="1"/>
  <c r="Z22" i="17" s="1"/>
  <c r="Z131" i="17" s="1"/>
  <c r="AB103" i="27"/>
  <c r="Z17" i="17" s="1"/>
  <c r="Z21" i="17" s="1"/>
  <c r="Z130" i="17" s="1"/>
  <c r="AB102" i="27"/>
  <c r="Z16" i="17" s="1"/>
  <c r="AB101" i="27"/>
  <c r="Z104" i="27"/>
  <c r="X18" i="17" s="1"/>
  <c r="X22" i="17" s="1"/>
  <c r="X131" i="17" s="1"/>
  <c r="Z103" i="27"/>
  <c r="X17" i="17" s="1"/>
  <c r="Z102" i="27"/>
  <c r="X16" i="17" s="1"/>
  <c r="Z101" i="27"/>
  <c r="X104" i="27"/>
  <c r="V18" i="17" s="1"/>
  <c r="V22" i="17" s="1"/>
  <c r="V131" i="17" s="1"/>
  <c r="X103" i="27"/>
  <c r="V17" i="17" s="1"/>
  <c r="X102" i="27"/>
  <c r="V16" i="17" s="1"/>
  <c r="X101" i="27"/>
  <c r="V104" i="27"/>
  <c r="T18" i="17" s="1"/>
  <c r="T22" i="17" s="1"/>
  <c r="T131" i="17" s="1"/>
  <c r="V103" i="27"/>
  <c r="T17" i="17" s="1"/>
  <c r="T21" i="17" s="1"/>
  <c r="T130" i="17" s="1"/>
  <c r="V102" i="27"/>
  <c r="T16" i="17" s="1"/>
  <c r="V101" i="27"/>
  <c r="T104" i="27"/>
  <c r="R18" i="17" s="1"/>
  <c r="R22" i="17" s="1"/>
  <c r="R131" i="17" s="1"/>
  <c r="T103" i="27"/>
  <c r="R17" i="17" s="1"/>
  <c r="T102" i="27"/>
  <c r="R16" i="17" s="1"/>
  <c r="T101" i="27"/>
  <c r="AB49" i="27"/>
  <c r="Z49" i="27"/>
  <c r="X49" i="27"/>
  <c r="V49" i="27"/>
  <c r="T49" i="27"/>
  <c r="AB30" i="27"/>
  <c r="Z30" i="27"/>
  <c r="X30" i="27"/>
  <c r="V30" i="27"/>
  <c r="AB6" i="27"/>
  <c r="Z6" i="27"/>
  <c r="X6" i="27"/>
  <c r="V6" i="27"/>
  <c r="T6" i="27"/>
  <c r="Z33" i="17" l="1"/>
  <c r="Z34" i="17"/>
  <c r="X93" i="17"/>
  <c r="Z35" i="17"/>
  <c r="X136" i="17"/>
  <c r="X90" i="17"/>
  <c r="T93" i="17"/>
  <c r="T149" i="17" s="1"/>
  <c r="V21" i="17"/>
  <c r="V130" i="17" s="1"/>
  <c r="V93" i="17"/>
  <c r="V149" i="17" s="1"/>
  <c r="AA131" i="17"/>
  <c r="AE83" i="1" s="1"/>
  <c r="AF83" i="1" s="1"/>
  <c r="Z93" i="17"/>
  <c r="D129" i="17"/>
  <c r="D132" i="17" s="1"/>
  <c r="X141" i="17"/>
  <c r="Z141" i="17"/>
  <c r="V141" i="17"/>
  <c r="R141" i="17"/>
  <c r="AA139" i="17"/>
  <c r="AA140" i="17"/>
  <c r="T141" i="17"/>
  <c r="X69" i="17"/>
  <c r="V69" i="17"/>
  <c r="X70" i="17"/>
  <c r="T69" i="17"/>
  <c r="V70" i="17"/>
  <c r="R70" i="17"/>
  <c r="Z70" i="17"/>
  <c r="R21" i="17"/>
  <c r="R130" i="17" s="1"/>
  <c r="R69" i="17"/>
  <c r="T70" i="17"/>
  <c r="X21" i="17"/>
  <c r="X130" i="17" s="1"/>
  <c r="Z69" i="17"/>
  <c r="N36" i="17"/>
  <c r="N134" i="17"/>
  <c r="N135" i="17"/>
  <c r="N136" i="17"/>
  <c r="L134" i="17"/>
  <c r="L36" i="17"/>
  <c r="L135" i="17"/>
  <c r="L136" i="17"/>
  <c r="P36" i="17"/>
  <c r="P134" i="17"/>
  <c r="P136" i="17"/>
  <c r="P135" i="17"/>
  <c r="J36" i="17"/>
  <c r="J134" i="17"/>
  <c r="J135" i="17"/>
  <c r="J136" i="17"/>
  <c r="V134" i="17"/>
  <c r="H36" i="17"/>
  <c r="H134" i="17"/>
  <c r="H136" i="17"/>
  <c r="H135" i="17"/>
  <c r="F36" i="17"/>
  <c r="F134" i="17"/>
  <c r="F135" i="17"/>
  <c r="F136" i="17"/>
  <c r="T135" i="17"/>
  <c r="Z78" i="17"/>
  <c r="Z83" i="17"/>
  <c r="Z58" i="17"/>
  <c r="Z62" i="17"/>
  <c r="Z51" i="17"/>
  <c r="Z50" i="17"/>
  <c r="Z92" i="17"/>
  <c r="Z49" i="17"/>
  <c r="Z91" i="17"/>
  <c r="Z90" i="17"/>
  <c r="Z48" i="17"/>
  <c r="Z52" i="17"/>
  <c r="Z41" i="17"/>
  <c r="Z113" i="17" s="1"/>
  <c r="Z40" i="17"/>
  <c r="Z112" i="17" s="1"/>
  <c r="Z42" i="17"/>
  <c r="Z20" i="17"/>
  <c r="Z129" i="17" s="1"/>
  <c r="Z132" i="17" s="1"/>
  <c r="F41" i="20" s="1"/>
  <c r="Z19" i="17"/>
  <c r="Z23" i="17" s="1"/>
  <c r="X78" i="17"/>
  <c r="X83" i="17"/>
  <c r="X58" i="17"/>
  <c r="X62" i="17"/>
  <c r="X51" i="17"/>
  <c r="X50" i="17"/>
  <c r="X92" i="17"/>
  <c r="X49" i="17"/>
  <c r="X91" i="17"/>
  <c r="X41" i="17"/>
  <c r="X113" i="17" s="1"/>
  <c r="X42" i="17"/>
  <c r="X40" i="17"/>
  <c r="X112" i="17" s="1"/>
  <c r="X20" i="17"/>
  <c r="X129" i="17" s="1"/>
  <c r="X19" i="17"/>
  <c r="X23" i="17" s="1"/>
  <c r="V78" i="17"/>
  <c r="V83" i="17"/>
  <c r="V58" i="17"/>
  <c r="V62" i="17"/>
  <c r="V51" i="17"/>
  <c r="V50" i="17"/>
  <c r="V92" i="17"/>
  <c r="V148" i="17" s="1"/>
  <c r="V49" i="17"/>
  <c r="V91" i="17"/>
  <c r="V147" i="17" s="1"/>
  <c r="V48" i="17"/>
  <c r="V90" i="17"/>
  <c r="V41" i="17"/>
  <c r="V113" i="17" s="1"/>
  <c r="V42" i="17"/>
  <c r="V40" i="17"/>
  <c r="V112" i="17" s="1"/>
  <c r="V31" i="17"/>
  <c r="T32" i="17"/>
  <c r="T30" i="17"/>
  <c r="V20" i="17"/>
  <c r="V129" i="17" s="1"/>
  <c r="V19" i="17"/>
  <c r="V23" i="17" s="1"/>
  <c r="T78" i="17"/>
  <c r="T83" i="17"/>
  <c r="T58" i="17"/>
  <c r="T62" i="17"/>
  <c r="T51" i="17"/>
  <c r="T50" i="17"/>
  <c r="T92" i="17"/>
  <c r="T148" i="17" s="1"/>
  <c r="T49" i="17"/>
  <c r="T91" i="17"/>
  <c r="T147" i="17" s="1"/>
  <c r="T48" i="17"/>
  <c r="T90" i="17"/>
  <c r="T146" i="17" s="1"/>
  <c r="T52" i="17"/>
  <c r="T41" i="17"/>
  <c r="T113" i="17" s="1"/>
  <c r="T42" i="17"/>
  <c r="T40" i="17"/>
  <c r="T112" i="17" s="1"/>
  <c r="T20" i="17"/>
  <c r="T129" i="17" s="1"/>
  <c r="T132" i="17" s="1"/>
  <c r="F38" i="20" s="1"/>
  <c r="T19" i="17"/>
  <c r="T23" i="17" s="1"/>
  <c r="R78" i="17"/>
  <c r="R83" i="17"/>
  <c r="R58" i="17"/>
  <c r="R62" i="17"/>
  <c r="R41" i="17"/>
  <c r="R113" i="17" s="1"/>
  <c r="R40" i="17"/>
  <c r="R112" i="17" s="1"/>
  <c r="R42" i="17"/>
  <c r="R32" i="17"/>
  <c r="R31" i="17"/>
  <c r="R30" i="17"/>
  <c r="R33" i="17" s="1"/>
  <c r="R20" i="17"/>
  <c r="R129" i="17" s="1"/>
  <c r="R19" i="17"/>
  <c r="R23" i="17" s="1"/>
  <c r="E559" i="1"/>
  <c r="E558" i="1"/>
  <c r="C558" i="1" s="1"/>
  <c r="K558" i="1" s="1"/>
  <c r="E540" i="1"/>
  <c r="E539" i="1"/>
  <c r="C539" i="1" s="1"/>
  <c r="K539" i="1" s="1"/>
  <c r="E438" i="1"/>
  <c r="E437" i="1"/>
  <c r="C437" i="1" s="1"/>
  <c r="K437" i="1" s="1"/>
  <c r="K416" i="1"/>
  <c r="L416" i="1"/>
  <c r="K417" i="1"/>
  <c r="L417" i="1"/>
  <c r="M417" i="1" s="1"/>
  <c r="E419" i="1"/>
  <c r="E418" i="1"/>
  <c r="C418" i="1" s="1"/>
  <c r="K418" i="1" s="1"/>
  <c r="H316" i="1"/>
  <c r="H317" i="1"/>
  <c r="H318" i="1"/>
  <c r="H319" i="1"/>
  <c r="H320" i="1"/>
  <c r="L399" i="1"/>
  <c r="K400" i="1"/>
  <c r="L400" i="1"/>
  <c r="M400" i="1" s="1"/>
  <c r="E399" i="1"/>
  <c r="C399" i="1" s="1"/>
  <c r="K399" i="1" s="1"/>
  <c r="E398" i="1"/>
  <c r="C398" i="1" s="1"/>
  <c r="K398" i="1" s="1"/>
  <c r="L395" i="1"/>
  <c r="L396" i="1"/>
  <c r="L397" i="1"/>
  <c r="E382" i="1"/>
  <c r="E381" i="1"/>
  <c r="C381" i="1" s="1"/>
  <c r="K381" i="1" s="1"/>
  <c r="M416" i="1" l="1"/>
  <c r="V132" i="17"/>
  <c r="F39" i="20" s="1"/>
  <c r="X135" i="17"/>
  <c r="Z135" i="17"/>
  <c r="Z108" i="17"/>
  <c r="Z134" i="17"/>
  <c r="Z136" i="17"/>
  <c r="Z109" i="17"/>
  <c r="AA83" i="1"/>
  <c r="G17" i="18"/>
  <c r="V72" i="17"/>
  <c r="V150" i="17"/>
  <c r="Z72" i="17"/>
  <c r="Z150" i="17"/>
  <c r="T150" i="17"/>
  <c r="T33" i="17"/>
  <c r="T35" i="17"/>
  <c r="V34" i="17"/>
  <c r="R34" i="17"/>
  <c r="R35" i="17"/>
  <c r="X72" i="17"/>
  <c r="N137" i="17"/>
  <c r="G35" i="20" s="1"/>
  <c r="V114" i="17"/>
  <c r="T72" i="17"/>
  <c r="P137" i="17"/>
  <c r="G36" i="20" s="1"/>
  <c r="AA113" i="17"/>
  <c r="T114" i="17"/>
  <c r="AA129" i="17"/>
  <c r="AE81" i="1" s="1"/>
  <c r="G15" i="18" s="1"/>
  <c r="Z114" i="17"/>
  <c r="J137" i="17"/>
  <c r="G33" i="20" s="1"/>
  <c r="AA141" i="17"/>
  <c r="R132" i="17"/>
  <c r="F37" i="20" s="1"/>
  <c r="AA130" i="17"/>
  <c r="AE82" i="1" s="1"/>
  <c r="H137" i="17"/>
  <c r="G32" i="20" s="1"/>
  <c r="L137" i="17"/>
  <c r="G34" i="20" s="1"/>
  <c r="X132" i="17"/>
  <c r="F40" i="20" s="1"/>
  <c r="T36" i="17"/>
  <c r="R72" i="17"/>
  <c r="F30" i="20"/>
  <c r="R36" i="17"/>
  <c r="F137" i="17"/>
  <c r="G31" i="20" s="1"/>
  <c r="R114" i="17"/>
  <c r="AA112" i="17"/>
  <c r="X114" i="17"/>
  <c r="R134" i="17"/>
  <c r="M399" i="1"/>
  <c r="X150" i="17" l="1"/>
  <c r="Z137" i="17"/>
  <c r="G41" i="20" s="1"/>
  <c r="R135" i="17"/>
  <c r="T136" i="17"/>
  <c r="T134" i="17"/>
  <c r="V135" i="17"/>
  <c r="V137" i="17" s="1"/>
  <c r="G39" i="20" s="1"/>
  <c r="R136" i="17"/>
  <c r="X137" i="17"/>
  <c r="G40" i="20" s="1"/>
  <c r="AA81" i="1"/>
  <c r="AF81" i="1"/>
  <c r="AA132" i="17"/>
  <c r="F42" i="20"/>
  <c r="AA82" i="1"/>
  <c r="AF82" i="1"/>
  <c r="G16" i="18"/>
  <c r="F12" i="20"/>
  <c r="M555" i="1"/>
  <c r="M556" i="1"/>
  <c r="M536" i="1"/>
  <c r="M537" i="1"/>
  <c r="M435" i="1"/>
  <c r="M436" i="1"/>
  <c r="M380" i="1"/>
  <c r="G357" i="1"/>
  <c r="H355" i="1"/>
  <c r="H356" i="1"/>
  <c r="H357" i="1"/>
  <c r="H358" i="1"/>
  <c r="H359" i="1"/>
  <c r="H360" i="1"/>
  <c r="H361" i="1"/>
  <c r="H362" i="1"/>
  <c r="H363" i="1"/>
  <c r="H354" i="1"/>
  <c r="H353" i="1"/>
  <c r="T137" i="17" l="1"/>
  <c r="G38" i="20" s="1"/>
  <c r="R137" i="17"/>
  <c r="G37" i="20" s="1"/>
  <c r="I357" i="1"/>
  <c r="H315" i="1"/>
  <c r="H314" i="1"/>
  <c r="H505" i="1"/>
  <c r="H506" i="1"/>
  <c r="H507" i="1"/>
  <c r="H508" i="1"/>
  <c r="H504" i="1"/>
  <c r="H503" i="1"/>
  <c r="H480" i="1"/>
  <c r="H481" i="1"/>
  <c r="H482" i="1"/>
  <c r="H483" i="1"/>
  <c r="H484" i="1"/>
  <c r="H479" i="1"/>
  <c r="H478" i="1"/>
  <c r="H453" i="1"/>
  <c r="H454" i="1"/>
  <c r="H455" i="1"/>
  <c r="H456" i="1"/>
  <c r="H457" i="1"/>
  <c r="H452" i="1"/>
  <c r="H451" i="1"/>
  <c r="H82" i="1"/>
  <c r="H83" i="1"/>
  <c r="H81" i="1"/>
  <c r="H80" i="1"/>
  <c r="H250" i="1"/>
  <c r="H249" i="1"/>
  <c r="H218" i="1"/>
  <c r="H219" i="1"/>
  <c r="H217" i="1"/>
  <c r="H216" i="1"/>
  <c r="H186" i="1"/>
  <c r="H185" i="1"/>
  <c r="H44" i="1" l="1"/>
  <c r="H43" i="1"/>
  <c r="L249" i="1" l="1"/>
  <c r="L216" i="1"/>
  <c r="L150" i="1"/>
  <c r="L49" i="1"/>
  <c r="L47" i="1"/>
  <c r="L13" i="1"/>
  <c r="E7" i="18" s="1"/>
  <c r="L11" i="1"/>
  <c r="C219" i="1" l="1"/>
  <c r="G219" i="1" l="1"/>
  <c r="K219" i="1" s="1"/>
  <c r="M219" i="1" s="1"/>
  <c r="E175" i="1"/>
  <c r="E176" i="1"/>
  <c r="E177" i="1"/>
  <c r="E178" i="1"/>
  <c r="E179" i="1"/>
  <c r="E174" i="1"/>
  <c r="E160" i="1"/>
  <c r="E167" i="1"/>
  <c r="E168" i="1"/>
  <c r="E159" i="1"/>
  <c r="AD170" i="27"/>
  <c r="E170" i="1" s="1"/>
  <c r="AD171" i="27"/>
  <c r="E171" i="1" s="1"/>
  <c r="AD172" i="27"/>
  <c r="E172" i="1" s="1"/>
  <c r="AD173" i="27"/>
  <c r="E173" i="1" s="1"/>
  <c r="AD159" i="27"/>
  <c r="AD160" i="27"/>
  <c r="AD161" i="27"/>
  <c r="E161" i="1" s="1"/>
  <c r="AD162" i="27"/>
  <c r="E162" i="1" s="1"/>
  <c r="AD163" i="27"/>
  <c r="E163" i="1" s="1"/>
  <c r="AD164" i="27"/>
  <c r="E164" i="1" s="1"/>
  <c r="AD165" i="27"/>
  <c r="E165" i="1" s="1"/>
  <c r="AD166" i="27"/>
  <c r="E166" i="1" s="1"/>
  <c r="AD167" i="27"/>
  <c r="AD168" i="27"/>
  <c r="AD169" i="27"/>
  <c r="E169" i="1" s="1"/>
  <c r="AD157" i="27"/>
  <c r="E153" i="1" s="1"/>
  <c r="C153" i="1" s="1"/>
  <c r="AD134" i="27"/>
  <c r="AD135" i="27"/>
  <c r="AD136" i="27"/>
  <c r="AD137" i="27"/>
  <c r="AD138" i="27"/>
  <c r="AD139" i="27"/>
  <c r="AD140" i="27"/>
  <c r="AD141" i="27"/>
  <c r="AD142" i="27"/>
  <c r="AD143" i="27"/>
  <c r="AD144" i="27"/>
  <c r="AD145" i="27"/>
  <c r="AD146" i="27"/>
  <c r="AD147" i="27"/>
  <c r="AD149" i="27"/>
  <c r="AD131" i="27"/>
  <c r="G153" i="1" l="1"/>
  <c r="G118" i="1" s="1"/>
  <c r="E180" i="1"/>
  <c r="I219" i="1"/>
  <c r="G83" i="1"/>
  <c r="I83" i="1" s="1"/>
  <c r="Q400" i="29"/>
  <c r="F402" i="29"/>
  <c r="G402" i="29"/>
  <c r="H402" i="29"/>
  <c r="I402" i="29"/>
  <c r="J402" i="29"/>
  <c r="K402" i="29"/>
  <c r="L402" i="29"/>
  <c r="M402" i="29"/>
  <c r="N402" i="29"/>
  <c r="O402" i="29"/>
  <c r="P402" i="29"/>
  <c r="E402" i="29"/>
  <c r="F422" i="29"/>
  <c r="G422" i="29"/>
  <c r="H422" i="29"/>
  <c r="I422" i="29"/>
  <c r="J422" i="29"/>
  <c r="K422" i="29"/>
  <c r="L422" i="29"/>
  <c r="M422" i="29"/>
  <c r="N422" i="29"/>
  <c r="O422" i="29"/>
  <c r="P422" i="29"/>
  <c r="E422" i="29"/>
  <c r="Q420" i="29"/>
  <c r="I118" i="1" l="1"/>
  <c r="I153" i="1"/>
  <c r="K153" i="1"/>
  <c r="M153" i="1" s="1"/>
  <c r="AD407" i="27"/>
  <c r="E566" i="1" s="1"/>
  <c r="AD408" i="27"/>
  <c r="Q386" i="29"/>
  <c r="AD399" i="27"/>
  <c r="AD400" i="27"/>
  <c r="AD403" i="27"/>
  <c r="AD404" i="27"/>
  <c r="AD405" i="27"/>
  <c r="AD406" i="27"/>
  <c r="AD365" i="27"/>
  <c r="AD364" i="27"/>
  <c r="AD363" i="27"/>
  <c r="AD362" i="27"/>
  <c r="AD361" i="27"/>
  <c r="AD360" i="27"/>
  <c r="AD359" i="27"/>
  <c r="AD345" i="27"/>
  <c r="AD182" i="27"/>
  <c r="E218" i="1" s="1"/>
  <c r="C218" i="1" s="1"/>
  <c r="AA193" i="27"/>
  <c r="AC193" i="27"/>
  <c r="K193" i="27"/>
  <c r="I193" i="27"/>
  <c r="G193" i="27"/>
  <c r="M193" i="27"/>
  <c r="O193" i="27"/>
  <c r="Q193" i="27"/>
  <c r="U193" i="27"/>
  <c r="W193" i="27"/>
  <c r="Y193" i="27"/>
  <c r="Q162" i="29"/>
  <c r="E237" i="1"/>
  <c r="E238" i="1"/>
  <c r="E239" i="1"/>
  <c r="E240" i="1"/>
  <c r="E241" i="1"/>
  <c r="E242" i="1"/>
  <c r="E243" i="1"/>
  <c r="E236" i="1"/>
  <c r="AD184" i="27"/>
  <c r="E225" i="1" s="1"/>
  <c r="G218" i="1" l="1"/>
  <c r="K218" i="1" s="1"/>
  <c r="M218" i="1" s="1"/>
  <c r="G82" i="1" l="1"/>
  <c r="I82" i="1" s="1"/>
  <c r="I218" i="1"/>
  <c r="AD80" i="27"/>
  <c r="E259" i="1" s="1"/>
  <c r="E270" i="1"/>
  <c r="E271" i="1"/>
  <c r="E272" i="1"/>
  <c r="E273" i="1"/>
  <c r="E274" i="1"/>
  <c r="E275" i="1"/>
  <c r="E276" i="1"/>
  <c r="E269" i="1"/>
  <c r="AD79" i="27"/>
  <c r="E258" i="1" s="1"/>
  <c r="AD81" i="27"/>
  <c r="E260" i="1" s="1"/>
  <c r="AD82" i="27"/>
  <c r="E261" i="1" s="1"/>
  <c r="AD83" i="27"/>
  <c r="E262" i="1" s="1"/>
  <c r="AD84" i="27"/>
  <c r="E263" i="1" s="1"/>
  <c r="AD85" i="27"/>
  <c r="E264" i="1" s="1"/>
  <c r="AD86" i="27"/>
  <c r="E265" i="1" s="1"/>
  <c r="AD87" i="27"/>
  <c r="E266" i="1" s="1"/>
  <c r="AD88" i="27"/>
  <c r="E267" i="1" s="1"/>
  <c r="AD89" i="27"/>
  <c r="E268" i="1" s="1"/>
  <c r="AD90" i="27"/>
  <c r="AD91" i="27"/>
  <c r="AD92" i="27"/>
  <c r="AD93" i="27"/>
  <c r="AD94" i="27"/>
  <c r="AD95" i="27"/>
  <c r="AD96" i="27"/>
  <c r="AD97" i="27"/>
  <c r="E255" i="1"/>
  <c r="E277" i="1" l="1"/>
  <c r="Q77" i="29"/>
  <c r="Q76" i="29"/>
  <c r="AA68" i="27"/>
  <c r="Q38" i="29" l="1"/>
  <c r="Q37" i="29"/>
  <c r="Q36" i="29"/>
  <c r="Q35" i="29"/>
  <c r="Q34" i="29"/>
  <c r="F43" i="29"/>
  <c r="G43" i="29"/>
  <c r="H43" i="29"/>
  <c r="I43" i="29"/>
  <c r="J43" i="29"/>
  <c r="J44" i="29" s="1"/>
  <c r="K43" i="29"/>
  <c r="K44" i="29" s="1"/>
  <c r="L43" i="29"/>
  <c r="L44" i="29" s="1"/>
  <c r="M43" i="29"/>
  <c r="M44" i="29" s="1"/>
  <c r="N43" i="29"/>
  <c r="O43" i="29"/>
  <c r="P43" i="29"/>
  <c r="E43" i="29"/>
  <c r="Q139" i="29"/>
  <c r="Q39" i="29"/>
  <c r="F44" i="29"/>
  <c r="G44" i="29"/>
  <c r="N44" i="29"/>
  <c r="O44" i="29"/>
  <c r="E44" i="29"/>
  <c r="Q138" i="29"/>
  <c r="H44" i="29"/>
  <c r="I44" i="29"/>
  <c r="P44" i="29"/>
  <c r="Q27" i="29" l="1"/>
  <c r="Q28" i="29"/>
  <c r="Q29" i="29"/>
  <c r="Q30" i="29"/>
  <c r="Q31" i="29"/>
  <c r="Q32" i="29"/>
  <c r="Q33" i="29"/>
  <c r="Q40" i="29"/>
  <c r="Q41" i="29"/>
  <c r="Q42" i="29"/>
  <c r="Q26" i="29"/>
  <c r="Q19" i="29"/>
  <c r="E36" i="1" s="1"/>
  <c r="P425" i="29"/>
  <c r="N425" i="29"/>
  <c r="E425" i="29"/>
  <c r="F425" i="29"/>
  <c r="H425" i="29"/>
  <c r="I425" i="29"/>
  <c r="J425" i="29"/>
  <c r="K425" i="29"/>
  <c r="L425" i="29"/>
  <c r="M42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O51" i="29"/>
  <c r="P51" i="29"/>
  <c r="N51" i="29"/>
  <c r="O62" i="29"/>
  <c r="P62" i="29"/>
  <c r="N62" i="29"/>
  <c r="H162" i="29"/>
  <c r="P22" i="29"/>
  <c r="O22" i="29"/>
  <c r="O425" i="29" s="1"/>
  <c r="N22" i="29"/>
  <c r="M22" i="29"/>
  <c r="L22" i="29"/>
  <c r="K22" i="29"/>
  <c r="J22" i="29"/>
  <c r="I22" i="29"/>
  <c r="H22" i="29"/>
  <c r="G22" i="29"/>
  <c r="G425" i="29" s="1"/>
  <c r="F22" i="29"/>
  <c r="E22" i="29"/>
  <c r="Q15" i="29"/>
  <c r="E122" i="29"/>
  <c r="F122" i="29"/>
  <c r="G122" i="29"/>
  <c r="H122" i="29"/>
  <c r="I122" i="29"/>
  <c r="J122" i="29"/>
  <c r="K122" i="29"/>
  <c r="L122" i="29"/>
  <c r="M122" i="29"/>
  <c r="P122" i="29"/>
  <c r="O122" i="29"/>
  <c r="N122" i="29"/>
  <c r="Q119" i="29"/>
  <c r="Q118" i="29"/>
  <c r="Q117" i="29"/>
  <c r="Q116" i="29"/>
  <c r="Q115" i="29"/>
  <c r="Q111" i="29"/>
  <c r="Q110" i="29"/>
  <c r="Q109" i="29"/>
  <c r="Q108" i="29"/>
  <c r="Q107" i="29"/>
  <c r="Q106" i="29"/>
  <c r="Q105" i="29"/>
  <c r="Q104" i="29"/>
  <c r="Q120" i="29"/>
  <c r="Q114" i="29"/>
  <c r="Q113" i="29"/>
  <c r="Q112" i="29"/>
  <c r="Q121" i="29"/>
  <c r="Q123" i="29"/>
  <c r="Q124" i="29"/>
  <c r="Q122" i="29" l="1"/>
  <c r="F162" i="29" l="1"/>
  <c r="G162" i="29"/>
  <c r="I162" i="29"/>
  <c r="J162" i="29"/>
  <c r="K162" i="29"/>
  <c r="L162" i="29"/>
  <c r="M162" i="29"/>
  <c r="N162" i="29"/>
  <c r="O162" i="29"/>
  <c r="P162" i="29"/>
  <c r="E162" i="29"/>
  <c r="E428" i="29" l="1"/>
  <c r="F428" i="29"/>
  <c r="G428" i="29"/>
  <c r="G429" i="29" s="1"/>
  <c r="H428" i="29"/>
  <c r="I428" i="29"/>
  <c r="J428" i="29"/>
  <c r="K428" i="29"/>
  <c r="L428" i="29"/>
  <c r="M428" i="29"/>
  <c r="N428" i="29"/>
  <c r="O428" i="29"/>
  <c r="P428" i="29"/>
  <c r="Q140" i="29"/>
  <c r="E595" i="1"/>
  <c r="E593" i="1"/>
  <c r="E592" i="1"/>
  <c r="P12" i="30"/>
  <c r="P13" i="30"/>
  <c r="P15" i="30"/>
  <c r="E594" i="1" s="1"/>
  <c r="P16" i="30"/>
  <c r="P18" i="30"/>
  <c r="E596" i="1" s="1"/>
  <c r="E20" i="30"/>
  <c r="F20" i="30"/>
  <c r="H20" i="30"/>
  <c r="I20" i="30"/>
  <c r="J20" i="30"/>
  <c r="K20" i="30"/>
  <c r="L20" i="30"/>
  <c r="M20" i="30"/>
  <c r="N20" i="30"/>
  <c r="O20" i="30"/>
  <c r="D20" i="30"/>
  <c r="O19" i="30"/>
  <c r="N19" i="30"/>
  <c r="M19" i="30"/>
  <c r="K19" i="30"/>
  <c r="J19" i="30"/>
  <c r="I19" i="30"/>
  <c r="H19" i="30"/>
  <c r="F19" i="30"/>
  <c r="E19" i="30"/>
  <c r="P19" i="30"/>
  <c r="P25" i="30" s="1"/>
  <c r="L19" i="30"/>
  <c r="D19" i="30"/>
  <c r="O9" i="30"/>
  <c r="N9" i="30"/>
  <c r="M9" i="30"/>
  <c r="L9" i="30"/>
  <c r="K9" i="30"/>
  <c r="J9" i="30"/>
  <c r="I9" i="30"/>
  <c r="H9" i="30"/>
  <c r="G9" i="30"/>
  <c r="E9" i="30"/>
  <c r="F9" i="30"/>
  <c r="D9" i="30"/>
  <c r="P20" i="30" l="1"/>
  <c r="P429" i="29"/>
  <c r="K429" i="29"/>
  <c r="I429" i="29"/>
  <c r="H429" i="29"/>
  <c r="F429" i="29"/>
  <c r="L429" i="29"/>
  <c r="E429" i="29"/>
  <c r="J429" i="29"/>
  <c r="O429" i="29"/>
  <c r="N429" i="29"/>
  <c r="M429" i="29"/>
  <c r="O27" i="30"/>
  <c r="N27" i="30"/>
  <c r="M27" i="30"/>
  <c r="L27" i="30"/>
  <c r="K27" i="30"/>
  <c r="J27" i="30"/>
  <c r="I27" i="30"/>
  <c r="H27" i="30"/>
  <c r="G27" i="30"/>
  <c r="F27" i="30"/>
  <c r="E27" i="30"/>
  <c r="D27" i="30"/>
  <c r="O26" i="30"/>
  <c r="O28" i="30" s="1"/>
  <c r="O29" i="30" s="1"/>
  <c r="N26" i="30"/>
  <c r="N28" i="30" s="1"/>
  <c r="N29" i="30" s="1"/>
  <c r="M26" i="30"/>
  <c r="L26" i="30"/>
  <c r="K26" i="30"/>
  <c r="J26" i="30"/>
  <c r="I26" i="30"/>
  <c r="I28" i="30" s="1"/>
  <c r="I29" i="30" s="1"/>
  <c r="H26" i="30"/>
  <c r="H28" i="30" s="1"/>
  <c r="H29" i="30" s="1"/>
  <c r="G26" i="30"/>
  <c r="F26" i="30"/>
  <c r="F28" i="30" s="1"/>
  <c r="F29" i="30" s="1"/>
  <c r="E26" i="30"/>
  <c r="D26" i="30"/>
  <c r="P17" i="30"/>
  <c r="P14" i="30"/>
  <c r="P9" i="30"/>
  <c r="P8" i="30"/>
  <c r="P7" i="30"/>
  <c r="E302" i="1"/>
  <c r="E209" i="1"/>
  <c r="E583" i="1"/>
  <c r="E567" i="1"/>
  <c r="Q380" i="29"/>
  <c r="E546" i="1" s="1"/>
  <c r="Q360" i="29"/>
  <c r="E527" i="1" s="1"/>
  <c r="Q349" i="29"/>
  <c r="Q340" i="29"/>
  <c r="E494" i="1" s="1"/>
  <c r="Q320" i="29"/>
  <c r="E471" i="1" s="1"/>
  <c r="Q300" i="29"/>
  <c r="E444" i="1" s="1"/>
  <c r="Q280" i="29"/>
  <c r="E425" i="1" s="1"/>
  <c r="Q260" i="29"/>
  <c r="E406" i="1" s="1"/>
  <c r="Q240" i="29"/>
  <c r="E388" i="1" s="1"/>
  <c r="Q220" i="29"/>
  <c r="E369" i="1" s="1"/>
  <c r="Q200" i="29"/>
  <c r="E346" i="1" s="1"/>
  <c r="Q180" i="29"/>
  <c r="E307" i="1" s="1"/>
  <c r="E69" i="1"/>
  <c r="E32" i="1"/>
  <c r="Q24" i="29"/>
  <c r="E68" i="1"/>
  <c r="E70" i="1"/>
  <c r="E71" i="1"/>
  <c r="E72" i="1"/>
  <c r="E73" i="1"/>
  <c r="Q66" i="29"/>
  <c r="Q67" i="29"/>
  <c r="Q68" i="29"/>
  <c r="Q69" i="29"/>
  <c r="Q70" i="29"/>
  <c r="Q71" i="29"/>
  <c r="Q72" i="29"/>
  <c r="Q73" i="29"/>
  <c r="Q74" i="29"/>
  <c r="E105" i="1" s="1"/>
  <c r="Q75" i="29"/>
  <c r="E106" i="1" s="1"/>
  <c r="E107" i="1"/>
  <c r="E108" i="1"/>
  <c r="Q78" i="29"/>
  <c r="E109" i="1" s="1"/>
  <c r="Q79" i="29"/>
  <c r="Q80" i="29"/>
  <c r="Q81" i="29"/>
  <c r="Q82" i="29"/>
  <c r="Q83" i="29"/>
  <c r="Q84" i="29"/>
  <c r="Q86" i="29"/>
  <c r="Q87" i="29"/>
  <c r="Q88" i="29"/>
  <c r="Q89" i="29"/>
  <c r="Q90" i="29"/>
  <c r="Q91" i="29"/>
  <c r="Q92" i="29"/>
  <c r="Q93" i="29"/>
  <c r="Q94" i="29"/>
  <c r="E139" i="1" s="1"/>
  <c r="Q95" i="29"/>
  <c r="E140" i="1" s="1"/>
  <c r="Q96" i="29"/>
  <c r="E141" i="1" s="1"/>
  <c r="Q97" i="29"/>
  <c r="E142" i="1" s="1"/>
  <c r="Q98" i="29"/>
  <c r="E143" i="1" s="1"/>
  <c r="Q99" i="29"/>
  <c r="Q100" i="29"/>
  <c r="Q101" i="29"/>
  <c r="Q102" i="29"/>
  <c r="Q103" i="29"/>
  <c r="Q125" i="29"/>
  <c r="Q126" i="29"/>
  <c r="Q127" i="29"/>
  <c r="Q128" i="29"/>
  <c r="Q129" i="29"/>
  <c r="Q130" i="29"/>
  <c r="Q131" i="29"/>
  <c r="Q132" i="29"/>
  <c r="Q133" i="29"/>
  <c r="Q134" i="29"/>
  <c r="E203" i="1" s="1"/>
  <c r="Q135" i="29"/>
  <c r="E204" i="1" s="1"/>
  <c r="Q136" i="29"/>
  <c r="E205" i="1" s="1"/>
  <c r="Q137" i="29"/>
  <c r="E206" i="1" s="1"/>
  <c r="E207" i="1"/>
  <c r="E208" i="1"/>
  <c r="Q141" i="29"/>
  <c r="E210" i="1" s="1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3" i="29"/>
  <c r="Q165" i="29"/>
  <c r="Q166" i="29"/>
  <c r="Q167" i="29"/>
  <c r="Q168" i="29"/>
  <c r="Q169" i="29"/>
  <c r="Q170" i="29"/>
  <c r="Q171" i="29"/>
  <c r="Q172" i="29"/>
  <c r="Q173" i="29"/>
  <c r="Q174" i="29"/>
  <c r="E301" i="1" s="1"/>
  <c r="Q175" i="29"/>
  <c r="Q176" i="29"/>
  <c r="E303" i="1" s="1"/>
  <c r="Q177" i="29"/>
  <c r="E304" i="1" s="1"/>
  <c r="Q178" i="29"/>
  <c r="E305" i="1" s="1"/>
  <c r="Q179" i="29"/>
  <c r="E306" i="1" s="1"/>
  <c r="Q181" i="29"/>
  <c r="E308" i="1" s="1"/>
  <c r="Q182" i="29"/>
  <c r="Q186" i="29"/>
  <c r="Q187" i="29"/>
  <c r="Q188" i="29"/>
  <c r="Q189" i="29"/>
  <c r="Q190" i="29"/>
  <c r="Q191" i="29"/>
  <c r="Q192" i="29"/>
  <c r="Q193" i="29"/>
  <c r="Q194" i="29"/>
  <c r="E340" i="1" s="1"/>
  <c r="Q195" i="29"/>
  <c r="E341" i="1" s="1"/>
  <c r="Q196" i="29"/>
  <c r="E342" i="1" s="1"/>
  <c r="Q197" i="29"/>
  <c r="E343" i="1" s="1"/>
  <c r="Q198" i="29"/>
  <c r="E344" i="1" s="1"/>
  <c r="Q199" i="29"/>
  <c r="E345" i="1" s="1"/>
  <c r="Q201" i="29"/>
  <c r="E347" i="1" s="1"/>
  <c r="Q202" i="29"/>
  <c r="Q206" i="29"/>
  <c r="Q207" i="29"/>
  <c r="Q208" i="29"/>
  <c r="Q209" i="29"/>
  <c r="Q210" i="29"/>
  <c r="Q211" i="29"/>
  <c r="Q212" i="29"/>
  <c r="Q213" i="29"/>
  <c r="Q214" i="29"/>
  <c r="Q215" i="29"/>
  <c r="Q216" i="29"/>
  <c r="Q217" i="29"/>
  <c r="Q218" i="29"/>
  <c r="Q219" i="29"/>
  <c r="Q221" i="29"/>
  <c r="E370" i="1" s="1"/>
  <c r="Q222" i="29"/>
  <c r="Q226" i="29"/>
  <c r="Q227" i="29"/>
  <c r="Q228" i="29"/>
  <c r="Q229" i="29"/>
  <c r="Q230" i="29"/>
  <c r="Q231" i="29"/>
  <c r="Q232" i="29"/>
  <c r="Q233" i="29"/>
  <c r="Q234" i="29"/>
  <c r="Q235" i="29"/>
  <c r="Q236" i="29"/>
  <c r="Q237" i="29"/>
  <c r="Q238" i="29"/>
  <c r="Q239" i="29"/>
  <c r="Q241" i="29"/>
  <c r="E389" i="1" s="1"/>
  <c r="Q242" i="29"/>
  <c r="Q246" i="29"/>
  <c r="Q247" i="29"/>
  <c r="Q248" i="29"/>
  <c r="Q249" i="29"/>
  <c r="Q250" i="29"/>
  <c r="Q251" i="29"/>
  <c r="Q252" i="29"/>
  <c r="Q253" i="29"/>
  <c r="Q254" i="29"/>
  <c r="Q255" i="29"/>
  <c r="Q256" i="29"/>
  <c r="Q257" i="29"/>
  <c r="Q258" i="29"/>
  <c r="Q259" i="29"/>
  <c r="Q261" i="29"/>
  <c r="E407" i="1" s="1"/>
  <c r="Q262" i="29"/>
  <c r="Q266" i="29"/>
  <c r="Q267" i="29"/>
  <c r="Q268" i="29"/>
  <c r="Q269" i="29"/>
  <c r="Q270" i="29"/>
  <c r="Q271" i="29"/>
  <c r="Q272" i="29"/>
  <c r="Q273" i="29"/>
  <c r="Q274" i="29"/>
  <c r="Q275" i="29"/>
  <c r="Q276" i="29"/>
  <c r="Q277" i="29"/>
  <c r="Q278" i="29"/>
  <c r="Q279" i="29"/>
  <c r="Q281" i="29"/>
  <c r="E426" i="1" s="1"/>
  <c r="Q282" i="29"/>
  <c r="Q286" i="29"/>
  <c r="Q287" i="29"/>
  <c r="Q288" i="29"/>
  <c r="Q289" i="29"/>
  <c r="Q290" i="29"/>
  <c r="Q291" i="29"/>
  <c r="Q292" i="29"/>
  <c r="Q293" i="29"/>
  <c r="Q294" i="29"/>
  <c r="Q295" i="29"/>
  <c r="Q296" i="29"/>
  <c r="Q297" i="29"/>
  <c r="Q298" i="29"/>
  <c r="Q299" i="29"/>
  <c r="Q301" i="29"/>
  <c r="E445" i="1" s="1"/>
  <c r="Q302" i="29"/>
  <c r="Q306" i="29"/>
  <c r="Q307" i="29"/>
  <c r="Q308" i="29"/>
  <c r="Q309" i="29"/>
  <c r="Q310" i="29"/>
  <c r="Q311" i="29"/>
  <c r="Q312" i="29"/>
  <c r="Q313" i="29"/>
  <c r="Q314" i="29"/>
  <c r="Q315" i="29"/>
  <c r="Q316" i="29"/>
  <c r="Q317" i="29"/>
  <c r="E468" i="1" s="1"/>
  <c r="Q318" i="29"/>
  <c r="E469" i="1" s="1"/>
  <c r="Q319" i="29"/>
  <c r="E470" i="1" s="1"/>
  <c r="Q321" i="29"/>
  <c r="E472" i="1" s="1"/>
  <c r="Q322" i="29"/>
  <c r="Q326" i="29"/>
  <c r="Q327" i="29"/>
  <c r="Q328" i="29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E495" i="1" s="1"/>
  <c r="Q342" i="29"/>
  <c r="Q346" i="29"/>
  <c r="Q347" i="29"/>
  <c r="Q348" i="29"/>
  <c r="Q350" i="29"/>
  <c r="Q351" i="29"/>
  <c r="Q352" i="29"/>
  <c r="Q353" i="29"/>
  <c r="Q354" i="29"/>
  <c r="Q355" i="29"/>
  <c r="Q356" i="29"/>
  <c r="Q357" i="29"/>
  <c r="Q358" i="29"/>
  <c r="Q359" i="29"/>
  <c r="Q361" i="29"/>
  <c r="E528" i="1" s="1"/>
  <c r="Q362" i="29"/>
  <c r="Q366" i="29"/>
  <c r="Q367" i="29"/>
  <c r="Q368" i="29"/>
  <c r="Q369" i="29"/>
  <c r="Q370" i="29"/>
  <c r="Q371" i="29"/>
  <c r="Q372" i="29"/>
  <c r="Q373" i="29"/>
  <c r="Q374" i="29"/>
  <c r="Q375" i="29"/>
  <c r="Q376" i="29"/>
  <c r="Q377" i="29"/>
  <c r="Q378" i="29"/>
  <c r="Q379" i="29"/>
  <c r="Q381" i="29"/>
  <c r="E547" i="1" s="1"/>
  <c r="Q382" i="29"/>
  <c r="Q387" i="29"/>
  <c r="Q388" i="29"/>
  <c r="Q389" i="29"/>
  <c r="Q390" i="29"/>
  <c r="Q391" i="29"/>
  <c r="Q392" i="29"/>
  <c r="Q393" i="29"/>
  <c r="Q394" i="29"/>
  <c r="Q395" i="29"/>
  <c r="Q396" i="29"/>
  <c r="Q397" i="29"/>
  <c r="Q398" i="29"/>
  <c r="Q399" i="29"/>
  <c r="Q401" i="29"/>
  <c r="E568" i="1" s="1"/>
  <c r="Q402" i="29"/>
  <c r="Q406" i="29"/>
  <c r="Q407" i="29"/>
  <c r="Q408" i="29"/>
  <c r="Q409" i="29"/>
  <c r="Q410" i="29"/>
  <c r="Q411" i="29"/>
  <c r="Q412" i="29"/>
  <c r="Q413" i="29"/>
  <c r="Q414" i="29"/>
  <c r="Q415" i="29"/>
  <c r="Q416" i="29"/>
  <c r="Q417" i="29"/>
  <c r="Q418" i="29"/>
  <c r="Q419" i="29"/>
  <c r="Q421" i="29"/>
  <c r="E584" i="1" s="1"/>
  <c r="Q422" i="29"/>
  <c r="Q7" i="29"/>
  <c r="Q8" i="29"/>
  <c r="Q9" i="29"/>
  <c r="Q10" i="29"/>
  <c r="Q11" i="29"/>
  <c r="Q12" i="29"/>
  <c r="Q13" i="29"/>
  <c r="Q14" i="29"/>
  <c r="E31" i="1" s="1"/>
  <c r="Q16" i="29"/>
  <c r="E33" i="1" s="1"/>
  <c r="Q17" i="29"/>
  <c r="E34" i="1" s="1"/>
  <c r="Q18" i="29"/>
  <c r="E35" i="1" s="1"/>
  <c r="Q20" i="29"/>
  <c r="Q21" i="29"/>
  <c r="Q22" i="29"/>
  <c r="Q23" i="29"/>
  <c r="Q6" i="29"/>
  <c r="M592" i="1" l="1"/>
  <c r="M28" i="30"/>
  <c r="M29" i="30" s="1"/>
  <c r="G28" i="30"/>
  <c r="G29" i="30" s="1"/>
  <c r="E28" i="30"/>
  <c r="E29" i="30" s="1"/>
  <c r="J28" i="30"/>
  <c r="J29" i="30" s="1"/>
  <c r="K28" i="30"/>
  <c r="K29" i="30" s="1"/>
  <c r="L28" i="30"/>
  <c r="L29" i="30" s="1"/>
  <c r="D28" i="30"/>
  <c r="D29" i="30" s="1"/>
  <c r="E565" i="1" l="1"/>
  <c r="E563" i="1"/>
  <c r="E554" i="1"/>
  <c r="E557" i="1"/>
  <c r="E553" i="1"/>
  <c r="E513" i="1"/>
  <c r="E512" i="1"/>
  <c r="E504" i="1"/>
  <c r="E505" i="1"/>
  <c r="E506" i="1"/>
  <c r="E507" i="1"/>
  <c r="E508" i="1"/>
  <c r="E484" i="1"/>
  <c r="E367" i="1"/>
  <c r="E363" i="1"/>
  <c r="C358" i="1"/>
  <c r="G358" i="1" s="1"/>
  <c r="I358" i="1" s="1"/>
  <c r="E357" i="1"/>
  <c r="E356" i="1"/>
  <c r="G356" i="1" s="1"/>
  <c r="I356" i="1" s="1"/>
  <c r="AD256" i="27"/>
  <c r="E368" i="1" s="1"/>
  <c r="AD258" i="27"/>
  <c r="AD259" i="27"/>
  <c r="E353" i="1"/>
  <c r="E290" i="1"/>
  <c r="AD203" i="27"/>
  <c r="E371" i="1" l="1"/>
  <c r="E569" i="1"/>
  <c r="E36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AD133" i="27"/>
  <c r="E124" i="1" s="1"/>
  <c r="E118" i="1"/>
  <c r="AD33" i="27"/>
  <c r="E192" i="1" s="1"/>
  <c r="AD106" i="27"/>
  <c r="E89" i="1" s="1"/>
  <c r="E373" i="1" l="1"/>
  <c r="E144" i="1"/>
  <c r="F6" i="27"/>
  <c r="H6" i="27"/>
  <c r="J6" i="27"/>
  <c r="L6" i="27"/>
  <c r="N6" i="27"/>
  <c r="P6" i="27"/>
  <c r="R6" i="27"/>
  <c r="AD6" i="27"/>
  <c r="E7" i="1" s="1"/>
  <c r="AD7" i="27"/>
  <c r="E8" i="1" s="1"/>
  <c r="AD8" i="27"/>
  <c r="E13" i="1" s="1"/>
  <c r="AD9" i="27"/>
  <c r="E16" i="1" s="1"/>
  <c r="AD10" i="27"/>
  <c r="E17" i="1" s="1"/>
  <c r="AD11" i="27"/>
  <c r="E18" i="1" s="1"/>
  <c r="AD12" i="27"/>
  <c r="E19" i="1" s="1"/>
  <c r="AD13" i="27"/>
  <c r="E20" i="1" s="1"/>
  <c r="AD14" i="27"/>
  <c r="E21" i="1" s="1"/>
  <c r="AD15" i="27"/>
  <c r="E22" i="1" s="1"/>
  <c r="AD16" i="27"/>
  <c r="E23" i="1" s="1"/>
  <c r="AD17" i="27"/>
  <c r="E24" i="1" s="1"/>
  <c r="AD18" i="27"/>
  <c r="E25" i="1" s="1"/>
  <c r="AD19" i="27"/>
  <c r="E26" i="1" s="1"/>
  <c r="AD20" i="27"/>
  <c r="E27" i="1" s="1"/>
  <c r="AD21" i="27"/>
  <c r="E28" i="1" s="1"/>
  <c r="AD22" i="27"/>
  <c r="E29" i="1" s="1"/>
  <c r="AD23" i="27"/>
  <c r="E30" i="1" s="1"/>
  <c r="G24" i="27"/>
  <c r="I24" i="27"/>
  <c r="K24" i="27"/>
  <c r="M24" i="27"/>
  <c r="O24" i="27"/>
  <c r="Q24" i="27"/>
  <c r="S24" i="27"/>
  <c r="U24" i="27"/>
  <c r="W24" i="27"/>
  <c r="Y24" i="27"/>
  <c r="AA24" i="27"/>
  <c r="AC24" i="27"/>
  <c r="AD25" i="27"/>
  <c r="AD26" i="27"/>
  <c r="G27" i="27"/>
  <c r="H27" i="27"/>
  <c r="I27" i="27"/>
  <c r="J27" i="27"/>
  <c r="K27" i="27"/>
  <c r="L27" i="27"/>
  <c r="M27" i="27"/>
  <c r="N27" i="27"/>
  <c r="O27" i="27"/>
  <c r="Q27" i="27"/>
  <c r="S27" i="27"/>
  <c r="U27" i="27"/>
  <c r="W27" i="27"/>
  <c r="Y27" i="27"/>
  <c r="AA27" i="27"/>
  <c r="AC27" i="27"/>
  <c r="F30" i="27"/>
  <c r="H30" i="27"/>
  <c r="J30" i="27"/>
  <c r="L30" i="27"/>
  <c r="N30" i="27"/>
  <c r="P30" i="27"/>
  <c r="R30" i="27"/>
  <c r="T30" i="27"/>
  <c r="AD30" i="27"/>
  <c r="E185" i="1" s="1"/>
  <c r="AD31" i="27"/>
  <c r="E186" i="1" s="1"/>
  <c r="AD32" i="27"/>
  <c r="E189" i="1" s="1"/>
  <c r="AD34" i="27"/>
  <c r="E193" i="1" s="1"/>
  <c r="AD35" i="27"/>
  <c r="E194" i="1" s="1"/>
  <c r="AD36" i="27"/>
  <c r="E195" i="1" s="1"/>
  <c r="AD37" i="27"/>
  <c r="E196" i="1" s="1"/>
  <c r="AD38" i="27"/>
  <c r="E197" i="1" s="1"/>
  <c r="AD39" i="27"/>
  <c r="E198" i="1" s="1"/>
  <c r="AD40" i="27"/>
  <c r="E199" i="1" s="1"/>
  <c r="AD41" i="27"/>
  <c r="E200" i="1" s="1"/>
  <c r="AD42" i="27"/>
  <c r="E201" i="1" s="1"/>
  <c r="G43" i="27"/>
  <c r="I43" i="27"/>
  <c r="K43" i="27"/>
  <c r="M43" i="27"/>
  <c r="O43" i="27"/>
  <c r="Q43" i="27"/>
  <c r="S43" i="27"/>
  <c r="U43" i="27"/>
  <c r="W43" i="27"/>
  <c r="Y43" i="27"/>
  <c r="AA43" i="27"/>
  <c r="AC43" i="27"/>
  <c r="AD44" i="27"/>
  <c r="AD45" i="27"/>
  <c r="G46" i="27"/>
  <c r="I46" i="27"/>
  <c r="K46" i="27"/>
  <c r="M46" i="27"/>
  <c r="O46" i="27"/>
  <c r="Q46" i="27"/>
  <c r="S46" i="27"/>
  <c r="U46" i="27"/>
  <c r="W46" i="27"/>
  <c r="Y46" i="27"/>
  <c r="AA46" i="27"/>
  <c r="AC46" i="27"/>
  <c r="F49" i="27"/>
  <c r="H49" i="27"/>
  <c r="J49" i="27"/>
  <c r="L49" i="27"/>
  <c r="N49" i="27"/>
  <c r="P49" i="27"/>
  <c r="R49" i="27"/>
  <c r="AD62" i="27"/>
  <c r="E62" i="1" s="1"/>
  <c r="AD63" i="27"/>
  <c r="E63" i="1" s="1"/>
  <c r="AD64" i="27"/>
  <c r="E64" i="1" s="1"/>
  <c r="AD67" i="27"/>
  <c r="E67" i="1" s="1"/>
  <c r="G68" i="27"/>
  <c r="I68" i="27"/>
  <c r="K68" i="27"/>
  <c r="M68" i="27"/>
  <c r="O68" i="27"/>
  <c r="Q68" i="27"/>
  <c r="S68" i="27"/>
  <c r="U68" i="27"/>
  <c r="W68" i="27"/>
  <c r="Y68" i="27"/>
  <c r="AC68" i="27"/>
  <c r="G71" i="27"/>
  <c r="I71" i="27"/>
  <c r="K71" i="27"/>
  <c r="M71" i="27"/>
  <c r="O71" i="27"/>
  <c r="Q71" i="27"/>
  <c r="S71" i="27"/>
  <c r="U71" i="27"/>
  <c r="W71" i="27"/>
  <c r="Y71" i="27"/>
  <c r="AC71" i="27"/>
  <c r="AD74" i="27"/>
  <c r="E249" i="1" s="1"/>
  <c r="I98" i="27"/>
  <c r="K98" i="27"/>
  <c r="M98" i="27"/>
  <c r="O98" i="27"/>
  <c r="Q98" i="27"/>
  <c r="S98" i="27"/>
  <c r="U98" i="27"/>
  <c r="W98" i="27"/>
  <c r="Y98" i="27"/>
  <c r="AA98" i="27"/>
  <c r="AC98" i="27"/>
  <c r="F101" i="27"/>
  <c r="H101" i="27"/>
  <c r="J101" i="27"/>
  <c r="L101" i="27"/>
  <c r="N101" i="27"/>
  <c r="P101" i="27"/>
  <c r="R101" i="27"/>
  <c r="AD101" i="27"/>
  <c r="E80" i="1" s="1"/>
  <c r="N102" i="27"/>
  <c r="AD102" i="27"/>
  <c r="E81" i="1" s="1"/>
  <c r="F103" i="27"/>
  <c r="AD103" i="27"/>
  <c r="E82" i="1" s="1"/>
  <c r="F104" i="27"/>
  <c r="AD104" i="27"/>
  <c r="E83" i="1" s="1"/>
  <c r="AD105" i="27"/>
  <c r="E86" i="1" s="1"/>
  <c r="AD107" i="27"/>
  <c r="E90" i="1" s="1"/>
  <c r="AD108" i="27"/>
  <c r="E91" i="1" s="1"/>
  <c r="AD109" i="27"/>
  <c r="E92" i="1" s="1"/>
  <c r="AD110" i="27"/>
  <c r="E93" i="1" s="1"/>
  <c r="AD111" i="27"/>
  <c r="E94" i="1" s="1"/>
  <c r="AD112" i="27"/>
  <c r="E95" i="1" s="1"/>
  <c r="AD113" i="27"/>
  <c r="E96" i="1" s="1"/>
  <c r="AD114" i="27"/>
  <c r="E97" i="1" s="1"/>
  <c r="AD115" i="27"/>
  <c r="E98" i="1" s="1"/>
  <c r="AD116" i="27"/>
  <c r="E99" i="1" s="1"/>
  <c r="AD117" i="27"/>
  <c r="E100" i="1" s="1"/>
  <c r="AD118" i="27"/>
  <c r="E101" i="1" s="1"/>
  <c r="AD119" i="27"/>
  <c r="E102" i="1" s="1"/>
  <c r="AD120" i="27"/>
  <c r="E103" i="1" s="1"/>
  <c r="AD121" i="27"/>
  <c r="E104" i="1" s="1"/>
  <c r="G122" i="27"/>
  <c r="I122" i="27"/>
  <c r="K122" i="27"/>
  <c r="M122" i="27"/>
  <c r="O122" i="27"/>
  <c r="Q122" i="27"/>
  <c r="S122" i="27"/>
  <c r="U122" i="27"/>
  <c r="W122" i="27"/>
  <c r="Y122" i="27"/>
  <c r="AA122" i="27"/>
  <c r="AC122" i="27"/>
  <c r="AD123" i="27"/>
  <c r="AD124" i="27"/>
  <c r="G125" i="27"/>
  <c r="H125" i="27"/>
  <c r="I125" i="27"/>
  <c r="K125" i="27"/>
  <c r="M125" i="27"/>
  <c r="O125" i="27"/>
  <c r="Q125" i="27"/>
  <c r="S125" i="27"/>
  <c r="U125" i="27"/>
  <c r="W125" i="27"/>
  <c r="Y125" i="27"/>
  <c r="AA125" i="27"/>
  <c r="AC125" i="27"/>
  <c r="F128" i="27"/>
  <c r="AD128" i="27"/>
  <c r="E115" i="1" s="1"/>
  <c r="AD129" i="27"/>
  <c r="E116" i="1" s="1"/>
  <c r="AD130" i="27"/>
  <c r="E117" i="1" s="1"/>
  <c r="AD132" i="27"/>
  <c r="E121" i="1" s="1"/>
  <c r="G148" i="27"/>
  <c r="I148" i="27"/>
  <c r="K148" i="27"/>
  <c r="M148" i="27"/>
  <c r="O148" i="27"/>
  <c r="Q148" i="27"/>
  <c r="S148" i="27"/>
  <c r="U148" i="27"/>
  <c r="W148" i="27"/>
  <c r="Y148" i="27"/>
  <c r="AA148" i="27"/>
  <c r="AC148" i="27"/>
  <c r="AD150" i="27"/>
  <c r="G151" i="27"/>
  <c r="AD151" i="27" s="1"/>
  <c r="H151" i="27"/>
  <c r="I151" i="27"/>
  <c r="K151" i="27"/>
  <c r="M151" i="27"/>
  <c r="O151" i="27"/>
  <c r="Q151" i="27"/>
  <c r="S151" i="27"/>
  <c r="U151" i="27"/>
  <c r="W151" i="27"/>
  <c r="Y151" i="27"/>
  <c r="AA151" i="27"/>
  <c r="AC151" i="27"/>
  <c r="AD154" i="27"/>
  <c r="E150" i="1" s="1"/>
  <c r="AD155" i="27"/>
  <c r="E151" i="1" s="1"/>
  <c r="C151" i="1" s="1"/>
  <c r="AD156" i="27"/>
  <c r="E152" i="1" s="1"/>
  <c r="C152" i="1" s="1"/>
  <c r="AD158" i="27"/>
  <c r="E156" i="1" s="1"/>
  <c r="G174" i="27"/>
  <c r="I174" i="27"/>
  <c r="K174" i="27"/>
  <c r="M174" i="27"/>
  <c r="O174" i="27"/>
  <c r="Q174" i="27"/>
  <c r="S174" i="27"/>
  <c r="U174" i="27"/>
  <c r="W174" i="27"/>
  <c r="Y174" i="27"/>
  <c r="AA174" i="27"/>
  <c r="AC174" i="27"/>
  <c r="AD175" i="27"/>
  <c r="AD176" i="27"/>
  <c r="G177" i="27"/>
  <c r="H177" i="27"/>
  <c r="I177" i="27"/>
  <c r="K177" i="27"/>
  <c r="M177" i="27"/>
  <c r="O177" i="27"/>
  <c r="Q177" i="27"/>
  <c r="S177" i="27"/>
  <c r="U177" i="27"/>
  <c r="W177" i="27"/>
  <c r="Y177" i="27"/>
  <c r="AA177" i="27"/>
  <c r="AC177" i="27"/>
  <c r="F180" i="27"/>
  <c r="AD180" i="27"/>
  <c r="E216" i="1" s="1"/>
  <c r="AD181" i="27"/>
  <c r="E217" i="1" s="1"/>
  <c r="C217" i="1" s="1"/>
  <c r="G217" i="1" s="1"/>
  <c r="AD183" i="27"/>
  <c r="E222" i="1" s="1"/>
  <c r="AD185" i="27"/>
  <c r="E226" i="1" s="1"/>
  <c r="AD186" i="27"/>
  <c r="E227" i="1" s="1"/>
  <c r="AD187" i="27"/>
  <c r="E228" i="1" s="1"/>
  <c r="AD188" i="27"/>
  <c r="E229" i="1" s="1"/>
  <c r="AD189" i="27"/>
  <c r="E230" i="1" s="1"/>
  <c r="AD190" i="27"/>
  <c r="E231" i="1" s="1"/>
  <c r="AD191" i="27"/>
  <c r="E232" i="1" s="1"/>
  <c r="AD192" i="27"/>
  <c r="E233" i="1" s="1"/>
  <c r="S193" i="27"/>
  <c r="AD193" i="27" s="1"/>
  <c r="AD194" i="27"/>
  <c r="AD195" i="27"/>
  <c r="G196" i="27"/>
  <c r="I196" i="27"/>
  <c r="K196" i="27"/>
  <c r="M196" i="27"/>
  <c r="O196" i="27"/>
  <c r="Q196" i="27"/>
  <c r="S196" i="27"/>
  <c r="U196" i="27"/>
  <c r="W196" i="27"/>
  <c r="Y196" i="27"/>
  <c r="AC196" i="27"/>
  <c r="F199" i="27"/>
  <c r="H199" i="27"/>
  <c r="J199" i="27"/>
  <c r="L199" i="27"/>
  <c r="N199" i="27"/>
  <c r="P199" i="27"/>
  <c r="R199" i="27"/>
  <c r="AD199" i="27"/>
  <c r="E282" i="1" s="1"/>
  <c r="N200" i="27"/>
  <c r="AD200" i="27"/>
  <c r="E283" i="1" s="1"/>
  <c r="P201" i="27"/>
  <c r="F201" i="27"/>
  <c r="AD201" i="27"/>
  <c r="E284" i="1" s="1"/>
  <c r="AD202" i="27"/>
  <c r="E287" i="1" s="1"/>
  <c r="AD204" i="27"/>
  <c r="E291" i="1" s="1"/>
  <c r="AD205" i="27"/>
  <c r="E292" i="1" s="1"/>
  <c r="AD206" i="27"/>
  <c r="E293" i="1" s="1"/>
  <c r="AD207" i="27"/>
  <c r="E294" i="1" s="1"/>
  <c r="AD208" i="27"/>
  <c r="E295" i="1" s="1"/>
  <c r="AD209" i="27"/>
  <c r="E296" i="1" s="1"/>
  <c r="AD210" i="27"/>
  <c r="E297" i="1" s="1"/>
  <c r="AD211" i="27"/>
  <c r="E298" i="1" s="1"/>
  <c r="AD212" i="27"/>
  <c r="E299" i="1" s="1"/>
  <c r="AD213" i="27"/>
  <c r="E300" i="1" s="1"/>
  <c r="G214" i="27"/>
  <c r="I214" i="27"/>
  <c r="K214" i="27"/>
  <c r="M214" i="27"/>
  <c r="O214" i="27"/>
  <c r="Q214" i="27"/>
  <c r="S214" i="27"/>
  <c r="U214" i="27"/>
  <c r="W214" i="27"/>
  <c r="Y214" i="27"/>
  <c r="AA214" i="27"/>
  <c r="AC214" i="27"/>
  <c r="AD215" i="27"/>
  <c r="AD216" i="27"/>
  <c r="G217" i="27"/>
  <c r="I217" i="27"/>
  <c r="K217" i="27"/>
  <c r="M217" i="27"/>
  <c r="O217" i="27"/>
  <c r="Q217" i="27"/>
  <c r="S217" i="27"/>
  <c r="U217" i="27"/>
  <c r="W217" i="27"/>
  <c r="Y217" i="27"/>
  <c r="AA217" i="27"/>
  <c r="AC217" i="27"/>
  <c r="T220" i="27"/>
  <c r="E314" i="1"/>
  <c r="C221" i="27"/>
  <c r="AD221" i="27"/>
  <c r="E315" i="1" s="1"/>
  <c r="C222" i="27"/>
  <c r="T222" i="27" s="1"/>
  <c r="AD222" i="27"/>
  <c r="E316" i="1" s="1"/>
  <c r="J223" i="27"/>
  <c r="AD223" i="27"/>
  <c r="E317" i="1" s="1"/>
  <c r="L224" i="27"/>
  <c r="AD224" i="27"/>
  <c r="E318" i="1" s="1"/>
  <c r="N225" i="27"/>
  <c r="AD225" i="27"/>
  <c r="E319" i="1" s="1"/>
  <c r="P226" i="27"/>
  <c r="AD226" i="27"/>
  <c r="E320" i="1" s="1"/>
  <c r="AD227" i="27"/>
  <c r="E324" i="1" s="1"/>
  <c r="AD228" i="27"/>
  <c r="E325" i="1" s="1"/>
  <c r="AD229" i="27"/>
  <c r="E326" i="1" s="1"/>
  <c r="AD230" i="27"/>
  <c r="E327" i="1" s="1"/>
  <c r="AD231" i="27"/>
  <c r="E328" i="1" s="1"/>
  <c r="AD232" i="27"/>
  <c r="E329" i="1" s="1"/>
  <c r="AD233" i="27"/>
  <c r="E330" i="1" s="1"/>
  <c r="AD234" i="27"/>
  <c r="E331" i="1" s="1"/>
  <c r="AD235" i="27"/>
  <c r="E332" i="1" s="1"/>
  <c r="AD236" i="27"/>
  <c r="E333" i="1" s="1"/>
  <c r="AD237" i="27"/>
  <c r="E334" i="1" s="1"/>
  <c r="AD238" i="27"/>
  <c r="E335" i="1" s="1"/>
  <c r="AD239" i="27"/>
  <c r="E336" i="1" s="1"/>
  <c r="AD240" i="27"/>
  <c r="E337" i="1" s="1"/>
  <c r="AD241" i="27"/>
  <c r="E338" i="1" s="1"/>
  <c r="AD242" i="27"/>
  <c r="E339" i="1" s="1"/>
  <c r="G243" i="27"/>
  <c r="I243" i="27"/>
  <c r="K243" i="27"/>
  <c r="M243" i="27"/>
  <c r="O243" i="27"/>
  <c r="Q243" i="27"/>
  <c r="S243" i="27"/>
  <c r="U243" i="27"/>
  <c r="W243" i="27"/>
  <c r="Y243" i="27"/>
  <c r="AA243" i="27"/>
  <c r="AC243" i="27"/>
  <c r="AD244" i="27"/>
  <c r="AD245" i="27"/>
  <c r="G246" i="27"/>
  <c r="I246" i="27"/>
  <c r="J246" i="27"/>
  <c r="K246" i="27"/>
  <c r="L246" i="27"/>
  <c r="M246" i="27"/>
  <c r="N246" i="27"/>
  <c r="O246" i="27"/>
  <c r="P246" i="27"/>
  <c r="Q246" i="27"/>
  <c r="R246" i="27"/>
  <c r="S246" i="27"/>
  <c r="T246" i="27"/>
  <c r="U246" i="27"/>
  <c r="V246" i="27"/>
  <c r="W246" i="27"/>
  <c r="X246" i="27"/>
  <c r="Y246" i="27"/>
  <c r="Z246" i="27"/>
  <c r="AA246" i="27"/>
  <c r="AB246" i="27"/>
  <c r="AC246" i="27"/>
  <c r="G257" i="27"/>
  <c r="I257" i="27"/>
  <c r="K257" i="27"/>
  <c r="M257" i="27"/>
  <c r="O257" i="27"/>
  <c r="Q257" i="27"/>
  <c r="S257" i="27"/>
  <c r="W257" i="27"/>
  <c r="Y257" i="27"/>
  <c r="AA257" i="27"/>
  <c r="AC257" i="27"/>
  <c r="G260" i="27"/>
  <c r="I260" i="27"/>
  <c r="K260" i="27"/>
  <c r="M260" i="27"/>
  <c r="O260" i="27"/>
  <c r="Q260" i="27"/>
  <c r="S260" i="27"/>
  <c r="U260" i="27"/>
  <c r="W260" i="27"/>
  <c r="Y260" i="27"/>
  <c r="AC260" i="27"/>
  <c r="AD263" i="27"/>
  <c r="E376" i="1" s="1"/>
  <c r="AD264" i="27"/>
  <c r="E377" i="1" s="1"/>
  <c r="AD265" i="27"/>
  <c r="E378" i="1" s="1"/>
  <c r="AD266" i="27"/>
  <c r="E379" i="1" s="1"/>
  <c r="AD267" i="27"/>
  <c r="E380" i="1" s="1"/>
  <c r="AD268" i="27"/>
  <c r="AD269" i="27"/>
  <c r="E386" i="1" s="1"/>
  <c r="AD270" i="27"/>
  <c r="E387" i="1" s="1"/>
  <c r="G271" i="27"/>
  <c r="I271" i="27"/>
  <c r="K271" i="27"/>
  <c r="M271" i="27"/>
  <c r="O271" i="27"/>
  <c r="Q271" i="27"/>
  <c r="S271" i="27"/>
  <c r="U271" i="27"/>
  <c r="W271" i="27"/>
  <c r="Y271" i="27"/>
  <c r="AA271" i="27"/>
  <c r="AC271" i="27"/>
  <c r="AD272" i="27"/>
  <c r="AD273" i="27"/>
  <c r="G274" i="27"/>
  <c r="I274" i="27"/>
  <c r="K274" i="27"/>
  <c r="M274" i="27"/>
  <c r="O274" i="27"/>
  <c r="Q274" i="27"/>
  <c r="S274" i="27"/>
  <c r="U274" i="27"/>
  <c r="W274" i="27"/>
  <c r="Y274" i="27"/>
  <c r="AA274" i="27"/>
  <c r="AC274" i="27"/>
  <c r="AD277" i="27"/>
  <c r="E395" i="1" s="1"/>
  <c r="AD278" i="27"/>
  <c r="E396" i="1" s="1"/>
  <c r="AD279" i="27"/>
  <c r="E397" i="1" s="1"/>
  <c r="AD280" i="27"/>
  <c r="AD281" i="27"/>
  <c r="E400" i="1" s="1"/>
  <c r="AD282" i="27"/>
  <c r="AD283" i="27"/>
  <c r="E404" i="1" s="1"/>
  <c r="AD284" i="27"/>
  <c r="E405" i="1" s="1"/>
  <c r="G285" i="27"/>
  <c r="I285" i="27"/>
  <c r="K285" i="27"/>
  <c r="M285" i="27"/>
  <c r="O285" i="27"/>
  <c r="Q285" i="27"/>
  <c r="S285" i="27"/>
  <c r="U285" i="27"/>
  <c r="W285" i="27"/>
  <c r="Y285" i="27"/>
  <c r="AA285" i="27"/>
  <c r="AC285" i="27"/>
  <c r="AD286" i="27"/>
  <c r="AD287" i="27"/>
  <c r="G288" i="27"/>
  <c r="AD288" i="27" s="1"/>
  <c r="I288" i="27"/>
  <c r="K288" i="27"/>
  <c r="M288" i="27"/>
  <c r="O288" i="27"/>
  <c r="Q288" i="27"/>
  <c r="S288" i="27"/>
  <c r="U288" i="27"/>
  <c r="W288" i="27"/>
  <c r="Y288" i="27"/>
  <c r="AA288" i="27"/>
  <c r="AC288" i="27"/>
  <c r="AD291" i="27"/>
  <c r="E413" i="1" s="1"/>
  <c r="AD292" i="27"/>
  <c r="E414" i="1" s="1"/>
  <c r="AD293" i="27"/>
  <c r="E415" i="1" s="1"/>
  <c r="AD294" i="27"/>
  <c r="E416" i="1" s="1"/>
  <c r="AD295" i="27"/>
  <c r="E417" i="1" s="1"/>
  <c r="AD296" i="27"/>
  <c r="AD297" i="27"/>
  <c r="AD298" i="27"/>
  <c r="E423" i="1" s="1"/>
  <c r="E427" i="1" s="1"/>
  <c r="G299" i="27"/>
  <c r="I299" i="27"/>
  <c r="K299" i="27"/>
  <c r="M299" i="27"/>
  <c r="O299" i="27"/>
  <c r="Q299" i="27"/>
  <c r="S299" i="27"/>
  <c r="U299" i="27"/>
  <c r="W299" i="27"/>
  <c r="Y299" i="27"/>
  <c r="AA299" i="27"/>
  <c r="AC299" i="27"/>
  <c r="AD300" i="27"/>
  <c r="AD301" i="27"/>
  <c r="G302" i="27"/>
  <c r="I302" i="27"/>
  <c r="K302" i="27"/>
  <c r="M302" i="27"/>
  <c r="O302" i="27"/>
  <c r="Q302" i="27"/>
  <c r="S302" i="27"/>
  <c r="U302" i="27"/>
  <c r="W302" i="27"/>
  <c r="Y302" i="27"/>
  <c r="AA302" i="27"/>
  <c r="AC302" i="27"/>
  <c r="AD305" i="27"/>
  <c r="E432" i="1" s="1"/>
  <c r="AD306" i="27"/>
  <c r="E433" i="1" s="1"/>
  <c r="AD307" i="27"/>
  <c r="E434" i="1" s="1"/>
  <c r="AD308" i="27"/>
  <c r="E435" i="1" s="1"/>
  <c r="AD309" i="27"/>
  <c r="E436" i="1" s="1"/>
  <c r="AD310" i="27"/>
  <c r="AD311" i="27"/>
  <c r="E442" i="1" s="1"/>
  <c r="AD312" i="27"/>
  <c r="E443" i="1" s="1"/>
  <c r="G313" i="27"/>
  <c r="I313" i="27"/>
  <c r="K313" i="27"/>
  <c r="M313" i="27"/>
  <c r="O313" i="27"/>
  <c r="Q313" i="27"/>
  <c r="S313" i="27"/>
  <c r="U313" i="27"/>
  <c r="W313" i="27"/>
  <c r="Y313" i="27"/>
  <c r="AA313" i="27"/>
  <c r="AC313" i="27"/>
  <c r="AD314" i="27"/>
  <c r="AD315" i="27"/>
  <c r="G316" i="27"/>
  <c r="I316" i="27"/>
  <c r="K316" i="27"/>
  <c r="M316" i="27"/>
  <c r="O316" i="27"/>
  <c r="Q316" i="27"/>
  <c r="S316" i="27"/>
  <c r="U316" i="27"/>
  <c r="W316" i="27"/>
  <c r="Y316" i="27"/>
  <c r="AA316" i="27"/>
  <c r="AC316" i="27"/>
  <c r="AD316" i="27"/>
  <c r="AD319" i="27"/>
  <c r="E451" i="1" s="1"/>
  <c r="AD320" i="27"/>
  <c r="E452" i="1" s="1"/>
  <c r="AD321" i="27"/>
  <c r="E453" i="1" s="1"/>
  <c r="AD322" i="27"/>
  <c r="E454" i="1" s="1"/>
  <c r="AD323" i="27"/>
  <c r="E455" i="1" s="1"/>
  <c r="AD324" i="27"/>
  <c r="E456" i="1" s="1"/>
  <c r="AD325" i="27"/>
  <c r="E457" i="1" s="1"/>
  <c r="AD326" i="27"/>
  <c r="E461" i="1" s="1"/>
  <c r="AD327" i="27"/>
  <c r="E462" i="1" s="1"/>
  <c r="AD328" i="27"/>
  <c r="E463" i="1" s="1"/>
  <c r="AD329" i="27"/>
  <c r="E464" i="1" s="1"/>
  <c r="AD330" i="27"/>
  <c r="E465" i="1" s="1"/>
  <c r="AD331" i="27"/>
  <c r="E466" i="1" s="1"/>
  <c r="AD332" i="27"/>
  <c r="E467" i="1" s="1"/>
  <c r="G333" i="27"/>
  <c r="I333" i="27"/>
  <c r="K333" i="27"/>
  <c r="M333" i="27"/>
  <c r="O333" i="27"/>
  <c r="Q333" i="27"/>
  <c r="S333" i="27"/>
  <c r="U333" i="27"/>
  <c r="W333" i="27"/>
  <c r="Y333" i="27"/>
  <c r="AA333" i="27"/>
  <c r="AC333" i="27"/>
  <c r="AD334" i="27"/>
  <c r="AD335" i="27"/>
  <c r="G336" i="27"/>
  <c r="I336" i="27"/>
  <c r="K336" i="27"/>
  <c r="M336" i="27"/>
  <c r="O336" i="27"/>
  <c r="Q336" i="27"/>
  <c r="S336" i="27"/>
  <c r="U336" i="27"/>
  <c r="W336" i="27"/>
  <c r="Y336" i="27"/>
  <c r="AA336" i="27"/>
  <c r="AC336" i="27"/>
  <c r="AD339" i="27"/>
  <c r="E478" i="1" s="1"/>
  <c r="AD340" i="27"/>
  <c r="E479" i="1" s="1"/>
  <c r="F341" i="27"/>
  <c r="J341" i="27"/>
  <c r="AD341" i="27"/>
  <c r="E480" i="1" s="1"/>
  <c r="H342" i="27"/>
  <c r="AD342" i="27"/>
  <c r="E481" i="1" s="1"/>
  <c r="J343" i="27"/>
  <c r="AD343" i="27"/>
  <c r="E482" i="1" s="1"/>
  <c r="L344" i="27"/>
  <c r="AD344" i="27"/>
  <c r="E483" i="1" s="1"/>
  <c r="N345" i="27"/>
  <c r="AD346" i="27"/>
  <c r="E488" i="1" s="1"/>
  <c r="AD347" i="27"/>
  <c r="E489" i="1" s="1"/>
  <c r="AD348" i="27"/>
  <c r="E490" i="1" s="1"/>
  <c r="AD349" i="27"/>
  <c r="E491" i="1" s="1"/>
  <c r="AD350" i="27"/>
  <c r="E492" i="1" s="1"/>
  <c r="AD351" i="27"/>
  <c r="E493" i="1" s="1"/>
  <c r="G352" i="27"/>
  <c r="I352" i="27"/>
  <c r="K352" i="27"/>
  <c r="M352" i="27"/>
  <c r="O352" i="27"/>
  <c r="Q352" i="27"/>
  <c r="S352" i="27"/>
  <c r="U352" i="27"/>
  <c r="W352" i="27"/>
  <c r="Y352" i="27"/>
  <c r="AA352" i="27"/>
  <c r="AC352" i="27"/>
  <c r="AD353" i="27"/>
  <c r="AD354" i="27"/>
  <c r="G355" i="27"/>
  <c r="I355" i="27"/>
  <c r="K355" i="27"/>
  <c r="M355" i="27"/>
  <c r="O355" i="27"/>
  <c r="Q355" i="27"/>
  <c r="S355" i="27"/>
  <c r="U355" i="27"/>
  <c r="W355" i="27"/>
  <c r="Y355" i="27"/>
  <c r="AA355" i="27"/>
  <c r="AC355" i="27"/>
  <c r="AD358" i="27"/>
  <c r="E503" i="1" s="1"/>
  <c r="AD366" i="27"/>
  <c r="E514" i="1" s="1"/>
  <c r="AD367" i="27"/>
  <c r="E515" i="1" s="1"/>
  <c r="AD368" i="27"/>
  <c r="E516" i="1" s="1"/>
  <c r="AD369" i="27"/>
  <c r="E517" i="1" s="1"/>
  <c r="AD370" i="27"/>
  <c r="E518" i="1" s="1"/>
  <c r="AD371" i="27"/>
  <c r="E519" i="1" s="1"/>
  <c r="AD372" i="27"/>
  <c r="E520" i="1" s="1"/>
  <c r="AD373" i="27"/>
  <c r="E521" i="1" s="1"/>
  <c r="AD374" i="27"/>
  <c r="E522" i="1" s="1"/>
  <c r="AD375" i="27"/>
  <c r="E523" i="1" s="1"/>
  <c r="AD376" i="27"/>
  <c r="E524" i="1" s="1"/>
  <c r="AD377" i="27"/>
  <c r="E525" i="1" s="1"/>
  <c r="AD378" i="27"/>
  <c r="E526" i="1" s="1"/>
  <c r="G379" i="27"/>
  <c r="I379" i="27"/>
  <c r="K379" i="27"/>
  <c r="M379" i="27"/>
  <c r="O379" i="27"/>
  <c r="Q379" i="27"/>
  <c r="S379" i="27"/>
  <c r="U379" i="27"/>
  <c r="W379" i="27"/>
  <c r="Y379" i="27"/>
  <c r="AA379" i="27"/>
  <c r="AC379" i="27"/>
  <c r="AD380" i="27"/>
  <c r="AD381" i="27"/>
  <c r="G382" i="27"/>
  <c r="I382" i="27"/>
  <c r="K382" i="27"/>
  <c r="AD382" i="27" s="1"/>
  <c r="M382" i="27"/>
  <c r="O382" i="27"/>
  <c r="Q382" i="27"/>
  <c r="S382" i="27"/>
  <c r="U382" i="27"/>
  <c r="W382" i="27"/>
  <c r="Y382" i="27"/>
  <c r="AA382" i="27"/>
  <c r="AC382" i="27"/>
  <c r="AD385" i="27"/>
  <c r="E534" i="1" s="1"/>
  <c r="AD386" i="27"/>
  <c r="E535" i="1" s="1"/>
  <c r="AD387" i="27"/>
  <c r="E536" i="1" s="1"/>
  <c r="AD388" i="27"/>
  <c r="E537" i="1" s="1"/>
  <c r="AD389" i="27"/>
  <c r="E538" i="1" s="1"/>
  <c r="AD390" i="27"/>
  <c r="AD391" i="27"/>
  <c r="E544" i="1" s="1"/>
  <c r="AD392" i="27"/>
  <c r="E545" i="1" s="1"/>
  <c r="G393" i="27"/>
  <c r="I393" i="27"/>
  <c r="K393" i="27"/>
  <c r="AD393" i="27" s="1"/>
  <c r="M393" i="27"/>
  <c r="O393" i="27"/>
  <c r="Q393" i="27"/>
  <c r="S393" i="27"/>
  <c r="U393" i="27"/>
  <c r="W393" i="27"/>
  <c r="Y393" i="27"/>
  <c r="AA393" i="27"/>
  <c r="AC393" i="27"/>
  <c r="AD394" i="27"/>
  <c r="AD395" i="27"/>
  <c r="G396" i="27"/>
  <c r="I396" i="27"/>
  <c r="K396" i="27"/>
  <c r="M396" i="27"/>
  <c r="AD396" i="27" s="1"/>
  <c r="O396" i="27"/>
  <c r="Q396" i="27"/>
  <c r="S396" i="27"/>
  <c r="U396" i="27"/>
  <c r="V396" i="27"/>
  <c r="W396" i="27"/>
  <c r="X396" i="27"/>
  <c r="Y396" i="27"/>
  <c r="Z396" i="27"/>
  <c r="AA396" i="27"/>
  <c r="AB396" i="27"/>
  <c r="AC396" i="27"/>
  <c r="AD401" i="27"/>
  <c r="E555" i="1" s="1"/>
  <c r="AD402" i="27"/>
  <c r="E556" i="1" s="1"/>
  <c r="G409" i="27"/>
  <c r="I409" i="27"/>
  <c r="K409" i="27"/>
  <c r="M409" i="27"/>
  <c r="O409" i="27"/>
  <c r="Q409" i="27"/>
  <c r="S409" i="27"/>
  <c r="U409" i="27"/>
  <c r="W409" i="27"/>
  <c r="Y409" i="27"/>
  <c r="AA409" i="27"/>
  <c r="AC409" i="27"/>
  <c r="AD410" i="27"/>
  <c r="AD411" i="27"/>
  <c r="G412" i="27"/>
  <c r="I412" i="27"/>
  <c r="K412" i="27"/>
  <c r="M412" i="27"/>
  <c r="O412" i="27"/>
  <c r="Q412" i="27"/>
  <c r="S412" i="27"/>
  <c r="U412" i="27"/>
  <c r="W412" i="27"/>
  <c r="Y412" i="27"/>
  <c r="AA412" i="27"/>
  <c r="AC412" i="27"/>
  <c r="AD415" i="27"/>
  <c r="AD416" i="27"/>
  <c r="E574" i="1" s="1"/>
  <c r="AD417" i="27"/>
  <c r="E575" i="1" s="1"/>
  <c r="AD418" i="27"/>
  <c r="E576" i="1" s="1"/>
  <c r="AD419" i="27"/>
  <c r="E577" i="1" s="1"/>
  <c r="AD420" i="27"/>
  <c r="E581" i="1" s="1"/>
  <c r="AD421" i="27"/>
  <c r="E582" i="1" s="1"/>
  <c r="G422" i="27"/>
  <c r="I422" i="27"/>
  <c r="K422" i="27"/>
  <c r="M422" i="27"/>
  <c r="O422" i="27"/>
  <c r="Q422" i="27"/>
  <c r="S422" i="27"/>
  <c r="U422" i="27"/>
  <c r="W422" i="27"/>
  <c r="Y422" i="27"/>
  <c r="AA422" i="27"/>
  <c r="AC422" i="27"/>
  <c r="AD423" i="27"/>
  <c r="AD424" i="27"/>
  <c r="G425" i="27"/>
  <c r="AD425" i="27" s="1"/>
  <c r="I425" i="27"/>
  <c r="K425" i="27"/>
  <c r="M425" i="27"/>
  <c r="O425" i="27"/>
  <c r="Q425" i="27"/>
  <c r="S425" i="27"/>
  <c r="U425" i="27"/>
  <c r="W425" i="27"/>
  <c r="Y425" i="27"/>
  <c r="AA425" i="27"/>
  <c r="AC425" i="27"/>
  <c r="C249" i="1" l="1"/>
  <c r="E253" i="1"/>
  <c r="E279" i="1" s="1"/>
  <c r="E9" i="1"/>
  <c r="E446" i="1"/>
  <c r="E211" i="1"/>
  <c r="E548" i="1"/>
  <c r="D135" i="17"/>
  <c r="AA135" i="17" s="1"/>
  <c r="AE117" i="1" s="1"/>
  <c r="C149" i="27"/>
  <c r="H222" i="27"/>
  <c r="V222" i="27"/>
  <c r="X222" i="27"/>
  <c r="Z222" i="27"/>
  <c r="AB222" i="27"/>
  <c r="F221" i="27"/>
  <c r="V221" i="27"/>
  <c r="X221" i="27"/>
  <c r="Z221" i="27"/>
  <c r="AB221" i="27"/>
  <c r="AD214" i="27"/>
  <c r="W428" i="27"/>
  <c r="W430" i="27" s="1"/>
  <c r="AD148" i="27"/>
  <c r="U428" i="27"/>
  <c r="U430" i="27" s="1"/>
  <c r="G152" i="1"/>
  <c r="G117" i="1" s="1"/>
  <c r="G151" i="1"/>
  <c r="E390" i="1"/>
  <c r="E37" i="1"/>
  <c r="AD412" i="27"/>
  <c r="AD243" i="27"/>
  <c r="C150" i="1"/>
  <c r="E154" i="1"/>
  <c r="E182" i="1" s="1"/>
  <c r="C182" i="1" s="1"/>
  <c r="AD46" i="27"/>
  <c r="E585" i="1"/>
  <c r="E541" i="1"/>
  <c r="E529" i="1"/>
  <c r="E496" i="1"/>
  <c r="AD336" i="27"/>
  <c r="AD313" i="27"/>
  <c r="AD299" i="27"/>
  <c r="E321" i="1"/>
  <c r="E244" i="1"/>
  <c r="AD98" i="27"/>
  <c r="AD27" i="27"/>
  <c r="AD422" i="27"/>
  <c r="S428" i="27"/>
  <c r="S430" i="27" s="1"/>
  <c r="E473" i="1"/>
  <c r="AD274" i="27"/>
  <c r="E348" i="1"/>
  <c r="AD217" i="27"/>
  <c r="AD24" i="27"/>
  <c r="AD352" i="27"/>
  <c r="AD333" i="27"/>
  <c r="E420" i="1"/>
  <c r="E429" i="1" s="1"/>
  <c r="C429" i="1" s="1"/>
  <c r="AD260" i="27"/>
  <c r="E309" i="1"/>
  <c r="E110" i="1"/>
  <c r="E383" i="1"/>
  <c r="M428" i="27"/>
  <c r="M430" i="27" s="1"/>
  <c r="AD379" i="27"/>
  <c r="AD355" i="27"/>
  <c r="AD246" i="27"/>
  <c r="T226" i="27"/>
  <c r="R47" i="17" s="1"/>
  <c r="R93" i="17" s="1"/>
  <c r="R149" i="17" s="1"/>
  <c r="AA149" i="17" s="1"/>
  <c r="AA320" i="1" s="1"/>
  <c r="AD196" i="27"/>
  <c r="K217" i="1"/>
  <c r="M217" i="1" s="1"/>
  <c r="G81" i="1"/>
  <c r="I81" i="1" s="1"/>
  <c r="I217" i="1"/>
  <c r="AD177" i="27"/>
  <c r="AD174" i="27"/>
  <c r="K428" i="27"/>
  <c r="K430" i="27" s="1"/>
  <c r="AC428" i="27"/>
  <c r="AC430" i="27" s="1"/>
  <c r="E578" i="1"/>
  <c r="AD302" i="27"/>
  <c r="H226" i="27"/>
  <c r="O428" i="27"/>
  <c r="O430" i="27" s="1"/>
  <c r="C216" i="1"/>
  <c r="E220" i="1"/>
  <c r="AD409" i="27"/>
  <c r="E408" i="1"/>
  <c r="Y428" i="27"/>
  <c r="Y430" i="27" s="1"/>
  <c r="I428" i="27"/>
  <c r="I430" i="27" s="1"/>
  <c r="AD285" i="27"/>
  <c r="E401" i="1"/>
  <c r="AD271" i="27"/>
  <c r="AD257" i="27"/>
  <c r="J201" i="27"/>
  <c r="AD43" i="27"/>
  <c r="G250" i="1"/>
  <c r="I250" i="1" s="1"/>
  <c r="G249" i="1"/>
  <c r="R339" i="27"/>
  <c r="L102" i="27"/>
  <c r="N339" i="27"/>
  <c r="J102" i="27"/>
  <c r="N201" i="27"/>
  <c r="H102" i="27"/>
  <c r="L201" i="27"/>
  <c r="F102" i="27"/>
  <c r="AD122" i="27"/>
  <c r="Q428" i="27"/>
  <c r="Q430" i="27" s="1"/>
  <c r="AD125" i="27"/>
  <c r="L342" i="27"/>
  <c r="R225" i="27"/>
  <c r="L339" i="27"/>
  <c r="R224" i="27"/>
  <c r="R223" i="27"/>
  <c r="R222" i="27"/>
  <c r="R221" i="27"/>
  <c r="H201" i="27"/>
  <c r="T221" i="27"/>
  <c r="J339" i="27"/>
  <c r="P224" i="27"/>
  <c r="N223" i="27"/>
  <c r="P222" i="27"/>
  <c r="N221" i="27"/>
  <c r="R200" i="27"/>
  <c r="H339" i="27"/>
  <c r="J224" i="27"/>
  <c r="H223" i="27"/>
  <c r="L222" i="27"/>
  <c r="J221" i="27"/>
  <c r="R220" i="27"/>
  <c r="L200" i="27"/>
  <c r="R104" i="27"/>
  <c r="R344" i="27"/>
  <c r="F339" i="27"/>
  <c r="H224" i="27"/>
  <c r="F222" i="27"/>
  <c r="J104" i="27"/>
  <c r="R102" i="27"/>
  <c r="AD52" i="27"/>
  <c r="E52" i="1" s="1"/>
  <c r="F342" i="27"/>
  <c r="F226" i="27"/>
  <c r="L225" i="27"/>
  <c r="P344" i="27"/>
  <c r="R226" i="27"/>
  <c r="F358" i="27"/>
  <c r="L345" i="27"/>
  <c r="J344" i="27"/>
  <c r="R343" i="27"/>
  <c r="N226" i="27"/>
  <c r="H344" i="27"/>
  <c r="N343" i="27"/>
  <c r="R342" i="27"/>
  <c r="R341" i="27"/>
  <c r="L226" i="27"/>
  <c r="P102" i="27"/>
  <c r="F344" i="27"/>
  <c r="H343" i="27"/>
  <c r="P342" i="27"/>
  <c r="N341" i="27"/>
  <c r="P339" i="27"/>
  <c r="J226" i="27"/>
  <c r="T224" i="27"/>
  <c r="R45" i="17" s="1"/>
  <c r="R201" i="27"/>
  <c r="AD70" i="27"/>
  <c r="AD58" i="27"/>
  <c r="E58" i="1" s="1"/>
  <c r="AD54" i="27"/>
  <c r="E54" i="1" s="1"/>
  <c r="AC588" i="1" s="1"/>
  <c r="AD50" i="27"/>
  <c r="E44" i="1" s="1"/>
  <c r="AA71" i="27"/>
  <c r="AD71" i="27" s="1"/>
  <c r="AD69" i="27"/>
  <c r="AD61" i="27"/>
  <c r="E61" i="1" s="1"/>
  <c r="AD57" i="27"/>
  <c r="E57" i="1" s="1"/>
  <c r="AD53" i="27"/>
  <c r="E53" i="1" s="1"/>
  <c r="AD49" i="27"/>
  <c r="E43" i="1" s="1"/>
  <c r="AD66" i="27"/>
  <c r="E66" i="1" s="1"/>
  <c r="AD60" i="27"/>
  <c r="E60" i="1" s="1"/>
  <c r="AD56" i="27"/>
  <c r="E56" i="1" s="1"/>
  <c r="AD65" i="27"/>
  <c r="E65" i="1" s="1"/>
  <c r="AD51" i="27"/>
  <c r="E49" i="1" s="1"/>
  <c r="AD59" i="27"/>
  <c r="E59" i="1" s="1"/>
  <c r="AD55" i="27"/>
  <c r="E55" i="1" s="1"/>
  <c r="AD68" i="27"/>
  <c r="AA428" i="27"/>
  <c r="AA430" i="27" s="1"/>
  <c r="R103" i="27"/>
  <c r="J345" i="27"/>
  <c r="F343" i="27"/>
  <c r="P340" i="27"/>
  <c r="J225" i="27"/>
  <c r="F223" i="27"/>
  <c r="P220" i="27"/>
  <c r="J200" i="27"/>
  <c r="P103" i="27"/>
  <c r="H345" i="27"/>
  <c r="P341" i="27"/>
  <c r="N340" i="27"/>
  <c r="H225" i="27"/>
  <c r="F224" i="27"/>
  <c r="T223" i="27"/>
  <c r="R44" i="17" s="1"/>
  <c r="P221" i="27"/>
  <c r="N220" i="27"/>
  <c r="H200" i="27"/>
  <c r="P104" i="27"/>
  <c r="N103" i="27"/>
  <c r="F345" i="27"/>
  <c r="L340" i="27"/>
  <c r="F225" i="27"/>
  <c r="L220" i="27"/>
  <c r="F200" i="27"/>
  <c r="N104" i="27"/>
  <c r="L103" i="27"/>
  <c r="P343" i="27"/>
  <c r="N342" i="27"/>
  <c r="L341" i="27"/>
  <c r="J340" i="27"/>
  <c r="T225" i="27"/>
  <c r="R46" i="17" s="1"/>
  <c r="P223" i="27"/>
  <c r="N222" i="27"/>
  <c r="L221" i="27"/>
  <c r="J220" i="27"/>
  <c r="L104" i="27"/>
  <c r="J103" i="27"/>
  <c r="H220" i="27"/>
  <c r="H103" i="27"/>
  <c r="P345" i="27"/>
  <c r="N344" i="27"/>
  <c r="L343" i="27"/>
  <c r="J342" i="27"/>
  <c r="H341" i="27"/>
  <c r="F340" i="27"/>
  <c r="P225" i="27"/>
  <c r="N224" i="27"/>
  <c r="L223" i="27"/>
  <c r="J222" i="27"/>
  <c r="H221" i="27"/>
  <c r="F220" i="27"/>
  <c r="P200" i="27"/>
  <c r="H104" i="27"/>
  <c r="R340" i="27"/>
  <c r="R345" i="27"/>
  <c r="H340" i="27"/>
  <c r="G428" i="27"/>
  <c r="G430" i="27" s="1"/>
  <c r="C279" i="1" l="1"/>
  <c r="E39" i="1"/>
  <c r="C39" i="1" s="1"/>
  <c r="AA134" i="17"/>
  <c r="AE116" i="1" s="1"/>
  <c r="AA116" i="1" s="1"/>
  <c r="AC116" i="1" s="1"/>
  <c r="D109" i="17"/>
  <c r="D136" i="17"/>
  <c r="AA136" i="17" s="1"/>
  <c r="AE118" i="1" s="1"/>
  <c r="AA117" i="1"/>
  <c r="AF117" i="1"/>
  <c r="G22" i="18"/>
  <c r="E550" i="1"/>
  <c r="C550" i="1" s="1"/>
  <c r="I249" i="1"/>
  <c r="I253" i="1" s="1"/>
  <c r="E392" i="1"/>
  <c r="C392" i="1" s="1"/>
  <c r="G150" i="1"/>
  <c r="I150" i="1" s="1"/>
  <c r="R51" i="17"/>
  <c r="R50" i="17"/>
  <c r="R92" i="17"/>
  <c r="R148" i="17" s="1"/>
  <c r="AA148" i="17" s="1"/>
  <c r="R49" i="17"/>
  <c r="R91" i="17"/>
  <c r="R147" i="17" s="1"/>
  <c r="AA147" i="17" s="1"/>
  <c r="R48" i="17"/>
  <c r="R90" i="17"/>
  <c r="R146" i="17" s="1"/>
  <c r="AA146" i="17" s="1"/>
  <c r="R52" i="17"/>
  <c r="I117" i="1"/>
  <c r="I152" i="1"/>
  <c r="K152" i="1"/>
  <c r="M152" i="1" s="1"/>
  <c r="G116" i="1"/>
  <c r="I116" i="1" s="1"/>
  <c r="I151" i="1"/>
  <c r="K151" i="1"/>
  <c r="M151" i="1" s="1"/>
  <c r="E246" i="1"/>
  <c r="C246" i="1" s="1"/>
  <c r="E410" i="1"/>
  <c r="C410" i="1" s="1"/>
  <c r="G216" i="1"/>
  <c r="K216" i="1" s="1"/>
  <c r="M216" i="1" s="1"/>
  <c r="M220" i="1" s="1"/>
  <c r="E587" i="1"/>
  <c r="C587" i="1" s="1"/>
  <c r="F181" i="27"/>
  <c r="K249" i="1"/>
  <c r="M249" i="1" s="1"/>
  <c r="K250" i="1"/>
  <c r="M250" i="1" s="1"/>
  <c r="E74" i="1"/>
  <c r="E45" i="1"/>
  <c r="F182" i="27"/>
  <c r="S317" i="1" l="1"/>
  <c r="AA317" i="1"/>
  <c r="S319" i="1"/>
  <c r="G36" i="18" s="1"/>
  <c r="AA319" i="1"/>
  <c r="S318" i="1"/>
  <c r="G35" i="18" s="1"/>
  <c r="AA318" i="1"/>
  <c r="R150" i="17"/>
  <c r="AA118" i="1"/>
  <c r="AF118" i="1"/>
  <c r="G23" i="18"/>
  <c r="D137" i="17"/>
  <c r="AF116" i="1"/>
  <c r="G21" i="18"/>
  <c r="F14" i="20"/>
  <c r="G115" i="1"/>
  <c r="I115" i="1" s="1"/>
  <c r="K150" i="1"/>
  <c r="M150" i="1" s="1"/>
  <c r="M154" i="1" s="1"/>
  <c r="M253" i="1"/>
  <c r="G80" i="1"/>
  <c r="I80" i="1" s="1"/>
  <c r="I216" i="1"/>
  <c r="I220" i="1" s="1"/>
  <c r="E76" i="1"/>
  <c r="C76" i="1" s="1"/>
  <c r="G34" i="18" l="1"/>
  <c r="H34" i="18" s="1"/>
  <c r="AA150" i="17"/>
  <c r="I84" i="1"/>
  <c r="G30" i="20"/>
  <c r="AA137" i="17"/>
  <c r="B15" i="26"/>
  <c r="B16" i="26" s="1"/>
  <c r="B17" i="26" s="1"/>
  <c r="B18" i="26" s="1"/>
  <c r="B19" i="26" s="1"/>
  <c r="B20" i="26" s="1"/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E11" i="18" l="1"/>
  <c r="E509" i="1" l="1"/>
  <c r="E531" i="1" s="1"/>
  <c r="C531" i="1" s="1"/>
  <c r="L116" i="17" l="1"/>
  <c r="P119" i="17"/>
  <c r="J116" i="17"/>
  <c r="V119" i="17"/>
  <c r="R116" i="17"/>
  <c r="H119" i="17"/>
  <c r="H117" i="17"/>
  <c r="T119" i="17"/>
  <c r="J118" i="17"/>
  <c r="R117" i="17"/>
  <c r="H118" i="17"/>
  <c r="V117" i="17"/>
  <c r="J119" i="17"/>
  <c r="T118" i="17"/>
  <c r="L118" i="17"/>
  <c r="F117" i="17"/>
  <c r="N118" i="17"/>
  <c r="L117" i="17"/>
  <c r="R118" i="17"/>
  <c r="L119" i="17"/>
  <c r="V118" i="17"/>
  <c r="R119" i="17"/>
  <c r="N117" i="17"/>
  <c r="N116" i="17"/>
  <c r="D119" i="17"/>
  <c r="F118" i="17"/>
  <c r="J117" i="17"/>
  <c r="P117" i="17"/>
  <c r="N119" i="17"/>
  <c r="T117" i="17"/>
  <c r="D117" i="17"/>
  <c r="D118" i="17"/>
  <c r="T116" i="17"/>
  <c r="H116" i="17"/>
  <c r="V116" i="17"/>
  <c r="P116" i="17"/>
  <c r="P118" i="17"/>
  <c r="F119" i="17"/>
  <c r="AA116" i="17" l="1"/>
  <c r="AA119" i="17"/>
  <c r="AA117" i="17"/>
  <c r="AA118" i="17"/>
  <c r="L120" i="17"/>
  <c r="J120" i="17"/>
  <c r="H120" i="17"/>
  <c r="R120" i="17"/>
  <c r="V120" i="17"/>
  <c r="Z120" i="17"/>
  <c r="D120" i="17"/>
  <c r="T120" i="17"/>
  <c r="X120" i="17"/>
  <c r="N120" i="17"/>
  <c r="F120" i="17"/>
  <c r="P120" i="17"/>
  <c r="S320" i="1" l="1"/>
  <c r="S316" i="1" s="1"/>
  <c r="AA120" i="17"/>
  <c r="AC319" i="1"/>
  <c r="AC318" i="1"/>
  <c r="AC317" i="1"/>
  <c r="AC320" i="1" l="1"/>
  <c r="G37" i="18"/>
  <c r="G38" i="18" s="1"/>
  <c r="G41" i="18" s="1"/>
  <c r="AC321" i="1"/>
  <c r="L43" i="1" l="1"/>
  <c r="L80" i="1"/>
  <c r="E15" i="18"/>
  <c r="E16" i="18"/>
  <c r="E17" i="18"/>
  <c r="L115" i="1"/>
  <c r="AF115" i="1" s="1"/>
  <c r="E21" i="18"/>
  <c r="E22" i="18"/>
  <c r="E23" i="18"/>
  <c r="L185" i="1"/>
  <c r="L282" i="1"/>
  <c r="AI282" i="1" s="1"/>
  <c r="E27" i="18"/>
  <c r="E28" i="18"/>
  <c r="L314" i="1"/>
  <c r="L315" i="1"/>
  <c r="L316" i="1"/>
  <c r="L353" i="1"/>
  <c r="L355" i="1"/>
  <c r="L359" i="1"/>
  <c r="L361" i="1"/>
  <c r="L363" i="1"/>
  <c r="L376" i="1"/>
  <c r="L378" i="1"/>
  <c r="L379" i="1"/>
  <c r="L382" i="1"/>
  <c r="L413" i="1"/>
  <c r="L414" i="1"/>
  <c r="L415" i="1"/>
  <c r="L419" i="1"/>
  <c r="L432" i="1"/>
  <c r="L433" i="1"/>
  <c r="L434" i="1"/>
  <c r="L438" i="1"/>
  <c r="L451" i="1"/>
  <c r="L452" i="1"/>
  <c r="L453" i="1"/>
  <c r="L478" i="1"/>
  <c r="L479" i="1"/>
  <c r="L480" i="1"/>
  <c r="L503" i="1"/>
  <c r="L504" i="1"/>
  <c r="L534" i="1"/>
  <c r="L535" i="1"/>
  <c r="L538" i="1"/>
  <c r="L540" i="1"/>
  <c r="L553" i="1"/>
  <c r="L554" i="1"/>
  <c r="L557" i="1"/>
  <c r="L559" i="1"/>
  <c r="L574" i="1"/>
  <c r="L575" i="1"/>
  <c r="L576" i="1"/>
  <c r="L577" i="1"/>
  <c r="K357" i="1"/>
  <c r="K358" i="1"/>
  <c r="K377" i="1"/>
  <c r="M377" i="1" s="1"/>
  <c r="L7" i="1"/>
  <c r="AK115" i="1" l="1"/>
  <c r="AF119" i="1"/>
  <c r="AI7" i="1"/>
  <c r="AJ7" i="1" s="1"/>
  <c r="AF7" i="1"/>
  <c r="AF43" i="1"/>
  <c r="AK43" i="1" s="1"/>
  <c r="AI80" i="1"/>
  <c r="AJ80" i="1" s="1"/>
  <c r="AF80" i="1"/>
  <c r="AF84" i="1" s="1"/>
  <c r="AI316" i="1"/>
  <c r="AI315" i="1"/>
  <c r="T314" i="1"/>
  <c r="AI115" i="1"/>
  <c r="T317" i="1"/>
  <c r="U317" i="1" s="1"/>
  <c r="E34" i="18"/>
  <c r="T320" i="1"/>
  <c r="U320" i="1" s="1"/>
  <c r="E37" i="18"/>
  <c r="H37" i="18" s="1"/>
  <c r="T319" i="1"/>
  <c r="E36" i="18"/>
  <c r="H36" i="18" s="1"/>
  <c r="T318" i="1"/>
  <c r="E35" i="18"/>
  <c r="H35" i="18" s="1"/>
  <c r="AI314" i="1"/>
  <c r="AK7" i="1" l="1"/>
  <c r="U314" i="1"/>
  <c r="AK314" i="1"/>
  <c r="AK80" i="1"/>
  <c r="H38" i="18"/>
  <c r="H41" i="18" l="1"/>
  <c r="E119" i="1"/>
  <c r="S43" i="1" l="1"/>
  <c r="S80" i="1"/>
  <c r="S115" i="1"/>
  <c r="T115" i="1" s="1"/>
  <c r="AG115" i="1" s="1"/>
  <c r="D104" i="17"/>
  <c r="T104" i="17"/>
  <c r="J104" i="17"/>
  <c r="Z102" i="17"/>
  <c r="P103" i="17"/>
  <c r="H104" i="17"/>
  <c r="X104" i="17"/>
  <c r="F102" i="17"/>
  <c r="L102" i="17"/>
  <c r="Z103" i="17"/>
  <c r="N103" i="17"/>
  <c r="T103" i="17"/>
  <c r="J103" i="17"/>
  <c r="Z104" i="17"/>
  <c r="H102" i="17"/>
  <c r="X103" i="17"/>
  <c r="N102" i="17"/>
  <c r="F103" i="17"/>
  <c r="V104" i="17"/>
  <c r="L104" i="17"/>
  <c r="P104" i="17"/>
  <c r="F104" i="17"/>
  <c r="V102" i="17"/>
  <c r="L103" i="17"/>
  <c r="T102" i="17"/>
  <c r="J102" i="17"/>
  <c r="P102" i="17"/>
  <c r="H103" i="17"/>
  <c r="X102" i="17"/>
  <c r="N104" i="17"/>
  <c r="V103" i="17"/>
  <c r="D103" i="17"/>
  <c r="H36" i="20"/>
  <c r="H35" i="20"/>
  <c r="S282" i="1"/>
  <c r="AJ282" i="1" s="1"/>
  <c r="H38" i="20"/>
  <c r="L107" i="17"/>
  <c r="T109" i="17"/>
  <c r="J107" i="17"/>
  <c r="N107" i="17"/>
  <c r="V108" i="17"/>
  <c r="P107" i="17"/>
  <c r="L109" i="17"/>
  <c r="V107" i="17"/>
  <c r="T108" i="17"/>
  <c r="J108" i="17"/>
  <c r="J109" i="17"/>
  <c r="H109" i="17"/>
  <c r="H107" i="17"/>
  <c r="N109" i="17"/>
  <c r="F108" i="17"/>
  <c r="T107" i="17"/>
  <c r="F107" i="17"/>
  <c r="H108" i="17"/>
  <c r="N108" i="17"/>
  <c r="P108" i="17"/>
  <c r="P109" i="17"/>
  <c r="V109" i="17"/>
  <c r="F109" i="17"/>
  <c r="L108" i="17"/>
  <c r="D108" i="17"/>
  <c r="R104" i="17"/>
  <c r="R102" i="17"/>
  <c r="R103" i="17"/>
  <c r="R109" i="17"/>
  <c r="R108" i="17"/>
  <c r="AG7" i="1" l="1"/>
  <c r="H30" i="20"/>
  <c r="AA114" i="17"/>
  <c r="AA108" i="17"/>
  <c r="AA104" i="17"/>
  <c r="S83" i="1" s="1"/>
  <c r="H17" i="18" s="1"/>
  <c r="AA103" i="17"/>
  <c r="S82" i="1" s="1"/>
  <c r="H16" i="18" s="1"/>
  <c r="AA102" i="17"/>
  <c r="S81" i="1" s="1"/>
  <c r="AA109" i="17"/>
  <c r="T80" i="1"/>
  <c r="AG80" i="1" s="1"/>
  <c r="T282" i="1"/>
  <c r="AK282" i="1" s="1"/>
  <c r="T43" i="1"/>
  <c r="H33" i="20"/>
  <c r="H39" i="20"/>
  <c r="H31" i="20"/>
  <c r="H40" i="20"/>
  <c r="H37" i="20"/>
  <c r="H34" i="20"/>
  <c r="H41" i="20"/>
  <c r="H105" i="17"/>
  <c r="V105" i="17"/>
  <c r="L105" i="17"/>
  <c r="N105" i="17"/>
  <c r="P105" i="17"/>
  <c r="J105" i="17"/>
  <c r="H32" i="20"/>
  <c r="X105" i="17"/>
  <c r="T105" i="17"/>
  <c r="F105" i="17"/>
  <c r="Z105" i="17"/>
  <c r="R107" i="17"/>
  <c r="R110" i="17" s="1"/>
  <c r="D105" i="17"/>
  <c r="S284" i="1"/>
  <c r="S283" i="1"/>
  <c r="V110" i="17"/>
  <c r="Z110" i="17"/>
  <c r="L110" i="17"/>
  <c r="T110" i="17"/>
  <c r="J110" i="17"/>
  <c r="H110" i="17"/>
  <c r="N110" i="17"/>
  <c r="P110" i="17"/>
  <c r="F110" i="17"/>
  <c r="D110" i="17"/>
  <c r="R105" i="17"/>
  <c r="D19" i="17"/>
  <c r="D23" i="17" s="1"/>
  <c r="AG43" i="1" l="1"/>
  <c r="U43" i="1"/>
  <c r="S118" i="1"/>
  <c r="H23" i="18" s="1"/>
  <c r="S117" i="1"/>
  <c r="H22" i="18" s="1"/>
  <c r="AA105" i="17"/>
  <c r="G42" i="20"/>
  <c r="H42" i="20"/>
  <c r="G27" i="18"/>
  <c r="H27" i="18" s="1"/>
  <c r="F16" i="20"/>
  <c r="AA284" i="1"/>
  <c r="AC284" i="1" s="1"/>
  <c r="G28" i="18"/>
  <c r="H28" i="18" s="1"/>
  <c r="T81" i="1"/>
  <c r="AG81" i="1" s="1"/>
  <c r="T284" i="1"/>
  <c r="AC81" i="1"/>
  <c r="AC117" i="1"/>
  <c r="T83" i="1"/>
  <c r="AG83" i="1" s="1"/>
  <c r="AC83" i="1"/>
  <c r="T283" i="1"/>
  <c r="AA283" i="1"/>
  <c r="AC283" i="1" s="1"/>
  <c r="T82" i="1"/>
  <c r="AG82" i="1" s="1"/>
  <c r="AC82" i="1"/>
  <c r="T118" i="1"/>
  <c r="AG118" i="1" s="1"/>
  <c r="AC118" i="1"/>
  <c r="I16" i="16"/>
  <c r="J4" i="16"/>
  <c r="D9" i="17" s="1"/>
  <c r="D10" i="17" s="1"/>
  <c r="J5" i="16"/>
  <c r="F9" i="17" s="1"/>
  <c r="J6" i="16"/>
  <c r="H9" i="17" s="1"/>
  <c r="J7" i="16"/>
  <c r="J9" i="17" s="1"/>
  <c r="J8" i="16"/>
  <c r="L9" i="17" s="1"/>
  <c r="J9" i="16"/>
  <c r="N9" i="17" s="1"/>
  <c r="J10" i="16"/>
  <c r="P9" i="17" s="1"/>
  <c r="J11" i="16"/>
  <c r="R9" i="17" s="1"/>
  <c r="J12" i="16"/>
  <c r="T9" i="17" s="1"/>
  <c r="J13" i="16"/>
  <c r="V9" i="17" s="1"/>
  <c r="J14" i="16"/>
  <c r="X9" i="17" s="1"/>
  <c r="J15" i="16"/>
  <c r="Z9" i="17" s="1"/>
  <c r="C16" i="16"/>
  <c r="T117" i="1" l="1"/>
  <c r="AG117" i="1" s="1"/>
  <c r="S116" i="1"/>
  <c r="AG84" i="1"/>
  <c r="D100" i="17"/>
  <c r="D127" i="17"/>
  <c r="P10" i="17"/>
  <c r="P127" i="17" s="1"/>
  <c r="E36" i="20" s="1"/>
  <c r="V10" i="17"/>
  <c r="V127" i="17" s="1"/>
  <c r="E39" i="20" s="1"/>
  <c r="N10" i="17"/>
  <c r="N127" i="17" s="1"/>
  <c r="E35" i="20" s="1"/>
  <c r="F10" i="17"/>
  <c r="F127" i="17" s="1"/>
  <c r="E31" i="20" s="1"/>
  <c r="H10" i="17"/>
  <c r="H127" i="17" s="1"/>
  <c r="E32" i="20" s="1"/>
  <c r="L10" i="17"/>
  <c r="L127" i="17" s="1"/>
  <c r="E34" i="20" s="1"/>
  <c r="X10" i="17"/>
  <c r="X127" i="17" s="1"/>
  <c r="E40" i="20" s="1"/>
  <c r="T10" i="17"/>
  <c r="T127" i="17" s="1"/>
  <c r="E38" i="20" s="1"/>
  <c r="Z10" i="17"/>
  <c r="Z127" i="17" s="1"/>
  <c r="E41" i="20" s="1"/>
  <c r="R10" i="17"/>
  <c r="R127" i="17" s="1"/>
  <c r="E37" i="20" s="1"/>
  <c r="J10" i="17"/>
  <c r="J127" i="17" s="1"/>
  <c r="E33" i="20" s="1"/>
  <c r="G24" i="18"/>
  <c r="G29" i="18"/>
  <c r="H15" i="18"/>
  <c r="G18" i="18"/>
  <c r="H29" i="18"/>
  <c r="AC285" i="1"/>
  <c r="T285" i="1"/>
  <c r="T84" i="1"/>
  <c r="T116" i="1"/>
  <c r="AG116" i="1" s="1"/>
  <c r="AG119" i="1" s="1"/>
  <c r="AC119" i="1"/>
  <c r="AC84" i="1"/>
  <c r="J16" i="16"/>
  <c r="E30" i="20" l="1"/>
  <c r="AA127" i="17"/>
  <c r="AE49" i="1" s="1"/>
  <c r="J100" i="17"/>
  <c r="N100" i="17"/>
  <c r="R100" i="17"/>
  <c r="V100" i="17"/>
  <c r="Z100" i="17"/>
  <c r="P100" i="17"/>
  <c r="L100" i="17"/>
  <c r="T100" i="17"/>
  <c r="H100" i="17"/>
  <c r="F100" i="17"/>
  <c r="X100" i="17"/>
  <c r="H21" i="18"/>
  <c r="H24" i="18" s="1"/>
  <c r="H18" i="18"/>
  <c r="T119" i="1"/>
  <c r="C554" i="1"/>
  <c r="C540" i="1"/>
  <c r="C535" i="1"/>
  <c r="C355" i="1"/>
  <c r="G355" i="1" s="1"/>
  <c r="I355" i="1" s="1"/>
  <c r="C354" i="1"/>
  <c r="G354" i="1" s="1"/>
  <c r="I354" i="1" s="1"/>
  <c r="C478" i="1"/>
  <c r="G478" i="1" s="1"/>
  <c r="I478" i="1" s="1"/>
  <c r="G11" i="18" l="1"/>
  <c r="AF49" i="1"/>
  <c r="F10" i="20"/>
  <c r="AA44" i="1"/>
  <c r="AA100" i="17"/>
  <c r="S49" i="1" s="1"/>
  <c r="E42" i="20"/>
  <c r="K478" i="1"/>
  <c r="K355" i="1"/>
  <c r="K535" i="1"/>
  <c r="M535" i="1" s="1"/>
  <c r="K540" i="1"/>
  <c r="M540" i="1" s="1"/>
  <c r="K554" i="1"/>
  <c r="M554" i="1" s="1"/>
  <c r="K354" i="1"/>
  <c r="AF50" i="1" l="1"/>
  <c r="H11" i="18"/>
  <c r="H12" i="18" s="1"/>
  <c r="T49" i="1"/>
  <c r="T50" i="1" s="1"/>
  <c r="AC44" i="1"/>
  <c r="M355" i="1"/>
  <c r="M478" i="1"/>
  <c r="C451" i="1"/>
  <c r="G451" i="1" s="1"/>
  <c r="AG49" i="1" l="1"/>
  <c r="AG50" i="1" s="1"/>
  <c r="G12" i="18"/>
  <c r="I451" i="1"/>
  <c r="K451" i="1"/>
  <c r="C363" i="1"/>
  <c r="G363" i="1" s="1"/>
  <c r="I363" i="1" s="1"/>
  <c r="C362" i="1"/>
  <c r="G362" i="1" s="1"/>
  <c r="C361" i="1"/>
  <c r="G361" i="1" s="1"/>
  <c r="I361" i="1" s="1"/>
  <c r="C360" i="1"/>
  <c r="G360" i="1" s="1"/>
  <c r="I360" i="1" s="1"/>
  <c r="C353" i="1"/>
  <c r="G353" i="1" s="1"/>
  <c r="I353" i="1" s="1"/>
  <c r="I362" i="1" l="1"/>
  <c r="M451" i="1"/>
  <c r="K361" i="1"/>
  <c r="K360" i="1"/>
  <c r="K362" i="1"/>
  <c r="K353" i="1"/>
  <c r="M353" i="1" s="1"/>
  <c r="K363" i="1"/>
  <c r="C320" i="1"/>
  <c r="C319" i="1"/>
  <c r="C318" i="1"/>
  <c r="C317" i="1"/>
  <c r="C316" i="1"/>
  <c r="C314" i="1"/>
  <c r="C284" i="1"/>
  <c r="C283" i="1"/>
  <c r="C282" i="1"/>
  <c r="K282" i="1" s="1"/>
  <c r="M282" i="1" s="1"/>
  <c r="M363" i="1" l="1"/>
  <c r="M361" i="1"/>
  <c r="K283" i="1"/>
  <c r="M283" i="1" s="1"/>
  <c r="K284" i="1"/>
  <c r="M284" i="1" s="1"/>
  <c r="C186" i="1"/>
  <c r="G186" i="1" s="1"/>
  <c r="C185" i="1"/>
  <c r="G185" i="1" s="1"/>
  <c r="I185" i="1" l="1"/>
  <c r="G43" i="1"/>
  <c r="I43" i="1" s="1"/>
  <c r="I186" i="1"/>
  <c r="G44" i="1"/>
  <c r="I44" i="1" s="1"/>
  <c r="K185" i="1"/>
  <c r="K186" i="1"/>
  <c r="C118" i="1"/>
  <c r="C117" i="1"/>
  <c r="C116" i="1"/>
  <c r="C115" i="1"/>
  <c r="K115" i="1" s="1"/>
  <c r="M115" i="1" s="1"/>
  <c r="C83" i="1"/>
  <c r="K83" i="1" s="1"/>
  <c r="M83" i="1" s="1"/>
  <c r="C82" i="1"/>
  <c r="C81" i="1"/>
  <c r="K81" i="1" s="1"/>
  <c r="M81" i="1" s="1"/>
  <c r="C80" i="1"/>
  <c r="K80" i="1" s="1"/>
  <c r="M80" i="1" s="1"/>
  <c r="C44" i="1"/>
  <c r="I45" i="1" l="1"/>
  <c r="I187" i="1"/>
  <c r="U80" i="1"/>
  <c r="U81" i="1"/>
  <c r="U83" i="1"/>
  <c r="K82" i="1"/>
  <c r="M186" i="1"/>
  <c r="M185" i="1"/>
  <c r="K116" i="1"/>
  <c r="M116" i="1" s="1"/>
  <c r="U284" i="1"/>
  <c r="U283" i="1"/>
  <c r="K117" i="1"/>
  <c r="M117" i="1" s="1"/>
  <c r="K44" i="1"/>
  <c r="K118" i="1"/>
  <c r="M118" i="1" s="1"/>
  <c r="U282" i="1"/>
  <c r="U115" i="1"/>
  <c r="M44" i="1" l="1"/>
  <c r="M82" i="1"/>
  <c r="U82" i="1" s="1"/>
  <c r="K47" i="1"/>
  <c r="M47" i="1" s="1"/>
  <c r="U117" i="1"/>
  <c r="U118" i="1"/>
  <c r="U116" i="1"/>
  <c r="M187" i="1"/>
  <c r="C482" i="1"/>
  <c r="G482" i="1" s="1"/>
  <c r="I482" i="1" s="1"/>
  <c r="C483" i="1"/>
  <c r="G483" i="1" s="1"/>
  <c r="I483" i="1" s="1"/>
  <c r="C484" i="1"/>
  <c r="G484" i="1" s="1"/>
  <c r="I484" i="1" s="1"/>
  <c r="C481" i="1"/>
  <c r="G481" i="1" s="1"/>
  <c r="I481" i="1" s="1"/>
  <c r="C480" i="1"/>
  <c r="G480" i="1" s="1"/>
  <c r="I480" i="1" s="1"/>
  <c r="M84" i="1" l="1"/>
  <c r="U84" i="1" s="1"/>
  <c r="K49" i="1"/>
  <c r="M49" i="1" s="1"/>
  <c r="U49" i="1" s="1"/>
  <c r="M119" i="1"/>
  <c r="U119" i="1" s="1"/>
  <c r="M285" i="1"/>
  <c r="U285" i="1" s="1"/>
  <c r="K483" i="1"/>
  <c r="K481" i="1"/>
  <c r="K484" i="1"/>
  <c r="K480" i="1"/>
  <c r="K482" i="1"/>
  <c r="C479" i="1"/>
  <c r="G479" i="1" s="1"/>
  <c r="I479" i="1" s="1"/>
  <c r="I485" i="1" s="1"/>
  <c r="M482" i="1" l="1"/>
  <c r="M480" i="1"/>
  <c r="M484" i="1"/>
  <c r="M481" i="1"/>
  <c r="M483" i="1"/>
  <c r="K479" i="1"/>
  <c r="E485" i="1"/>
  <c r="E498" i="1" s="1"/>
  <c r="C498" i="1" s="1"/>
  <c r="M479" i="1" l="1"/>
  <c r="M485" i="1" l="1"/>
  <c r="C453" i="1"/>
  <c r="G453" i="1" s="1"/>
  <c r="C454" i="1"/>
  <c r="G454" i="1" s="1"/>
  <c r="C455" i="1"/>
  <c r="G455" i="1" s="1"/>
  <c r="C456" i="1"/>
  <c r="G456" i="1" s="1"/>
  <c r="C457" i="1"/>
  <c r="G457" i="1" s="1"/>
  <c r="C452" i="1"/>
  <c r="G452" i="1" s="1"/>
  <c r="I456" i="1" l="1"/>
  <c r="I452" i="1"/>
  <c r="I457" i="1"/>
  <c r="I455" i="1"/>
  <c r="I454" i="1"/>
  <c r="I453" i="1"/>
  <c r="K457" i="1"/>
  <c r="K453" i="1"/>
  <c r="K456" i="1"/>
  <c r="K452" i="1"/>
  <c r="K455" i="1"/>
  <c r="K454" i="1"/>
  <c r="E458" i="1"/>
  <c r="E475" i="1" s="1"/>
  <c r="C475" i="1" s="1"/>
  <c r="I315" i="1" l="1"/>
  <c r="I458" i="1"/>
  <c r="M315" i="1"/>
  <c r="M454" i="1"/>
  <c r="M452" i="1"/>
  <c r="M453" i="1"/>
  <c r="M455" i="1"/>
  <c r="M456" i="1"/>
  <c r="M457" i="1"/>
  <c r="AJ315" i="1" l="1"/>
  <c r="M458" i="1"/>
  <c r="C508" i="1"/>
  <c r="G508" i="1" s="1"/>
  <c r="C507" i="1"/>
  <c r="G507" i="1" s="1"/>
  <c r="C506" i="1"/>
  <c r="G506" i="1" s="1"/>
  <c r="C505" i="1"/>
  <c r="G505" i="1" s="1"/>
  <c r="C504" i="1"/>
  <c r="G504" i="1" s="1"/>
  <c r="C503" i="1"/>
  <c r="G503" i="1" s="1"/>
  <c r="G314" i="1" s="1"/>
  <c r="C575" i="1"/>
  <c r="C574" i="1"/>
  <c r="C559" i="1"/>
  <c r="C557" i="1"/>
  <c r="C553" i="1"/>
  <c r="C534" i="1"/>
  <c r="C538" i="1"/>
  <c r="C438" i="1"/>
  <c r="C434" i="1"/>
  <c r="C433" i="1"/>
  <c r="C432" i="1"/>
  <c r="C419" i="1"/>
  <c r="C415" i="1"/>
  <c r="C414" i="1"/>
  <c r="C413" i="1"/>
  <c r="C397" i="1"/>
  <c r="K397" i="1" s="1"/>
  <c r="M397" i="1" s="1"/>
  <c r="C396" i="1"/>
  <c r="K396" i="1" s="1"/>
  <c r="M396" i="1" s="1"/>
  <c r="C395" i="1"/>
  <c r="K395" i="1" s="1"/>
  <c r="M395" i="1" s="1"/>
  <c r="B392" i="1"/>
  <c r="C382" i="1"/>
  <c r="C379" i="1"/>
  <c r="C378" i="1"/>
  <c r="C376" i="1"/>
  <c r="C359" i="1"/>
  <c r="G359" i="1" s="1"/>
  <c r="I359" i="1" s="1"/>
  <c r="I364" i="1" s="1"/>
  <c r="I507" i="1" l="1"/>
  <c r="G319" i="1"/>
  <c r="I319" i="1" s="1"/>
  <c r="I505" i="1"/>
  <c r="G317" i="1"/>
  <c r="I317" i="1" s="1"/>
  <c r="I508" i="1"/>
  <c r="G320" i="1"/>
  <c r="I504" i="1"/>
  <c r="I506" i="1"/>
  <c r="G318" i="1"/>
  <c r="I318" i="1" s="1"/>
  <c r="I503" i="1"/>
  <c r="I314" i="1"/>
  <c r="T315" i="1"/>
  <c r="U315" i="1" s="1"/>
  <c r="K434" i="1"/>
  <c r="M434" i="1" s="1"/>
  <c r="K557" i="1"/>
  <c r="M557" i="1" s="1"/>
  <c r="K359" i="1"/>
  <c r="K376" i="1"/>
  <c r="M376" i="1" s="1"/>
  <c r="K356" i="1"/>
  <c r="K413" i="1"/>
  <c r="M413" i="1" s="1"/>
  <c r="K415" i="1"/>
  <c r="M415" i="1" s="1"/>
  <c r="K433" i="1"/>
  <c r="M433" i="1" s="1"/>
  <c r="K438" i="1"/>
  <c r="M438" i="1" s="1"/>
  <c r="K534" i="1"/>
  <c r="M534" i="1" s="1"/>
  <c r="K559" i="1"/>
  <c r="M559" i="1" s="1"/>
  <c r="K574" i="1"/>
  <c r="M574" i="1" s="1"/>
  <c r="K575" i="1"/>
  <c r="M575" i="1" s="1"/>
  <c r="K379" i="1"/>
  <c r="M379" i="1" s="1"/>
  <c r="K382" i="1"/>
  <c r="M382" i="1" s="1"/>
  <c r="K553" i="1"/>
  <c r="M553" i="1" s="1"/>
  <c r="K504" i="1"/>
  <c r="K506" i="1"/>
  <c r="K508" i="1"/>
  <c r="K414" i="1"/>
  <c r="M414" i="1" s="1"/>
  <c r="K432" i="1"/>
  <c r="M432" i="1" s="1"/>
  <c r="K378" i="1"/>
  <c r="M378" i="1" s="1"/>
  <c r="K419" i="1"/>
  <c r="M419" i="1" s="1"/>
  <c r="K538" i="1"/>
  <c r="M538" i="1" s="1"/>
  <c r="K503" i="1"/>
  <c r="K505" i="1"/>
  <c r="K507" i="1"/>
  <c r="E560" i="1"/>
  <c r="E439" i="1"/>
  <c r="E448" i="1" s="1"/>
  <c r="C448" i="1" s="1"/>
  <c r="Q589" i="1" l="1"/>
  <c r="D20" i="21" s="1"/>
  <c r="D23" i="21" s="1"/>
  <c r="I320" i="1"/>
  <c r="K320" i="1"/>
  <c r="I316" i="1"/>
  <c r="I509" i="1"/>
  <c r="E571" i="1"/>
  <c r="C571" i="1" s="1"/>
  <c r="AK315" i="1"/>
  <c r="M359" i="1"/>
  <c r="K317" i="1"/>
  <c r="M317" i="1" s="1"/>
  <c r="K319" i="1"/>
  <c r="M319" i="1" s="1"/>
  <c r="K314" i="1"/>
  <c r="M314" i="1" s="1"/>
  <c r="K318" i="1"/>
  <c r="M318" i="1" s="1"/>
  <c r="K316" i="1"/>
  <c r="M507" i="1"/>
  <c r="M506" i="1"/>
  <c r="M505" i="1"/>
  <c r="M508" i="1"/>
  <c r="M504" i="1"/>
  <c r="M503" i="1"/>
  <c r="M316" i="1" l="1"/>
  <c r="M560" i="1"/>
  <c r="M541" i="1"/>
  <c r="M509" i="1"/>
  <c r="M364" i="1"/>
  <c r="M420" i="1"/>
  <c r="M383" i="1"/>
  <c r="M439" i="1"/>
  <c r="M401" i="1"/>
  <c r="E285" i="1" l="1"/>
  <c r="E187" i="1"/>
  <c r="E84" i="1" l="1"/>
  <c r="E589" i="1" s="1"/>
  <c r="C7" i="1" l="1"/>
  <c r="K7" i="1" s="1"/>
  <c r="M7" i="1" l="1"/>
  <c r="C577" i="1" l="1"/>
  <c r="K577" i="1" s="1"/>
  <c r="M577" i="1" s="1"/>
  <c r="C576" i="1"/>
  <c r="E213" i="1"/>
  <c r="C213" i="1" s="1"/>
  <c r="E311" i="1"/>
  <c r="C311" i="1" s="1"/>
  <c r="C373" i="1"/>
  <c r="E147" i="1"/>
  <c r="C147" i="1" s="1"/>
  <c r="B76" i="1"/>
  <c r="D40" i="21" l="1"/>
  <c r="E350" i="1"/>
  <c r="C350" i="1" s="1"/>
  <c r="M320" i="1"/>
  <c r="K576" i="1"/>
  <c r="M576" i="1" s="1"/>
  <c r="AJ316" i="1" l="1"/>
  <c r="U319" i="1"/>
  <c r="U318" i="1"/>
  <c r="M591" i="1" l="1"/>
  <c r="M578" i="1"/>
  <c r="M321" i="1"/>
  <c r="T316" i="1"/>
  <c r="AK316" i="1" s="1"/>
  <c r="T321" i="1" l="1"/>
  <c r="U316" i="1"/>
  <c r="U321" i="1" s="1"/>
  <c r="U589" i="1" s="1"/>
  <c r="C8" i="1"/>
  <c r="C43" i="1"/>
  <c r="K43" i="1" l="1"/>
  <c r="M43" i="1" s="1"/>
  <c r="K8" i="1"/>
  <c r="M8" i="1" s="1"/>
  <c r="M50" i="1" l="1"/>
  <c r="U50" i="1" l="1"/>
  <c r="B373" i="1"/>
  <c r="B311" i="1"/>
  <c r="B111" i="1"/>
  <c r="B39" i="1"/>
  <c r="E112" i="1" l="1"/>
  <c r="E590" i="1" s="1"/>
  <c r="E598" i="1" l="1"/>
  <c r="E599" i="1" s="1"/>
  <c r="C112" i="1"/>
  <c r="J7" i="17"/>
  <c r="J8" i="17" s="1"/>
  <c r="E7" i="16"/>
  <c r="E8" i="16"/>
  <c r="L7" i="17" s="1"/>
  <c r="L8" i="17" s="1"/>
  <c r="E10" i="16"/>
  <c r="E16" i="16" s="1"/>
  <c r="K11" i="1" s="1"/>
  <c r="E11" i="16"/>
  <c r="R7" i="17" s="1"/>
  <c r="R8" i="17" s="1"/>
  <c r="E6" i="16"/>
  <c r="H7" i="17" s="1"/>
  <c r="H8" i="17" s="1"/>
  <c r="E15" i="16"/>
  <c r="Z7" i="17" s="1"/>
  <c r="Z8" i="17" s="1"/>
  <c r="N7" i="17"/>
  <c r="N8" i="17" s="1"/>
  <c r="E9" i="16"/>
  <c r="E5" i="16"/>
  <c r="F7" i="17" s="1"/>
  <c r="F8" i="17" s="1"/>
  <c r="E13" i="16"/>
  <c r="V7" i="17" s="1"/>
  <c r="V8" i="17" s="1"/>
  <c r="E12" i="16"/>
  <c r="T7" i="17" s="1"/>
  <c r="T8" i="17" s="1"/>
  <c r="E14" i="16"/>
  <c r="X7" i="17" s="1"/>
  <c r="X8" i="17" s="1"/>
  <c r="D8" i="17"/>
  <c r="D16" i="16"/>
  <c r="V99" i="17" l="1"/>
  <c r="V126" i="17"/>
  <c r="D39" i="20" s="1"/>
  <c r="F99" i="17"/>
  <c r="F126" i="17"/>
  <c r="D31" i="20" s="1"/>
  <c r="D99" i="17"/>
  <c r="D126" i="17"/>
  <c r="X99" i="17"/>
  <c r="X126" i="17"/>
  <c r="D40" i="20" s="1"/>
  <c r="T99" i="17"/>
  <c r="T126" i="17"/>
  <c r="D38" i="20" s="1"/>
  <c r="N99" i="17"/>
  <c r="N126" i="17"/>
  <c r="D35" i="20" s="1"/>
  <c r="H99" i="17"/>
  <c r="H126" i="17"/>
  <c r="D32" i="20" s="1"/>
  <c r="R99" i="17"/>
  <c r="R126" i="17"/>
  <c r="D37" i="20" s="1"/>
  <c r="L99" i="17"/>
  <c r="L126" i="17"/>
  <c r="D34" i="20" s="1"/>
  <c r="J99" i="17"/>
  <c r="J126" i="17"/>
  <c r="D33" i="20" s="1"/>
  <c r="Z99" i="17"/>
  <c r="Z126" i="17"/>
  <c r="D41" i="20" s="1"/>
  <c r="P7" i="17"/>
  <c r="P8" i="17" s="1"/>
  <c r="K13" i="1"/>
  <c r="M13" i="1" s="1"/>
  <c r="M14" i="1" s="1"/>
  <c r="M589" i="1" s="1"/>
  <c r="M595" i="1" s="1"/>
  <c r="M11" i="1"/>
  <c r="D30" i="20" l="1"/>
  <c r="P99" i="17"/>
  <c r="AA99" i="17" s="1"/>
  <c r="S13" i="1" s="1"/>
  <c r="T13" i="1" s="1"/>
  <c r="T14" i="1" s="1"/>
  <c r="P126" i="17"/>
  <c r="D36" i="20" s="1"/>
  <c r="D42" i="20" l="1"/>
  <c r="AA126" i="17"/>
  <c r="AE13" i="1" s="1"/>
  <c r="U14" i="1"/>
  <c r="U13" i="1"/>
  <c r="D29" i="21" l="1"/>
  <c r="D32" i="21" s="1"/>
  <c r="G7" i="18"/>
  <c r="H7" i="18" s="1"/>
  <c r="AF13" i="1"/>
  <c r="F8" i="20"/>
  <c r="AA8" i="1"/>
  <c r="AC8" i="1" s="1"/>
  <c r="AG13" i="1" l="1"/>
  <c r="AG14" i="1" s="1"/>
  <c r="AG589" i="1" s="1"/>
  <c r="AF14" i="1"/>
  <c r="D37" i="21"/>
  <c r="AC589" i="1"/>
  <c r="D43" i="21" s="1"/>
  <c r="G8" i="18"/>
  <c r="G31" i="18" s="1"/>
  <c r="G43" i="18" s="1"/>
  <c r="H8" i="18"/>
  <c r="D48" i="21" l="1"/>
  <c r="H31" i="18"/>
  <c r="H43" i="18" s="1"/>
  <c r="J34" i="18" s="1"/>
  <c r="J31" i="18" l="1"/>
  <c r="J35" i="18"/>
  <c r="J18" i="18"/>
  <c r="J37" i="18"/>
  <c r="J36" i="18"/>
  <c r="J28" i="18"/>
  <c r="J15" i="18"/>
  <c r="J29" i="18"/>
  <c r="J24" i="18"/>
  <c r="J8" i="18"/>
  <c r="J41" i="18"/>
  <c r="J17" i="18"/>
  <c r="J22" i="18"/>
  <c r="J16" i="18"/>
  <c r="J21" i="18"/>
  <c r="J38" i="18"/>
  <c r="J23" i="18"/>
  <c r="J27" i="18"/>
  <c r="J12" i="18"/>
  <c r="J43" i="18" l="1"/>
  <c r="K43" i="18" l="1"/>
  <c r="K18" i="18" l="1"/>
  <c r="L18" i="18" s="1"/>
  <c r="F17" i="18" s="1"/>
  <c r="K17" i="18"/>
  <c r="L17" i="18" s="1"/>
  <c r="F16" i="18" s="1"/>
  <c r="K21" i="18"/>
  <c r="L21" i="18" s="1"/>
  <c r="K29" i="18"/>
  <c r="L29" i="18" s="1"/>
  <c r="F28" i="18" s="1"/>
  <c r="K41" i="18"/>
  <c r="L41" i="18" s="1"/>
  <c r="K35" i="18"/>
  <c r="L35" i="18" s="1"/>
  <c r="F34" i="18" s="1"/>
  <c r="K23" i="18"/>
  <c r="L23" i="18" s="1"/>
  <c r="F22" i="18" s="1"/>
  <c r="K36" i="18"/>
  <c r="L36" i="18" s="1"/>
  <c r="F35" i="18" s="1"/>
  <c r="K24" i="18"/>
  <c r="L24" i="18" s="1"/>
  <c r="F23" i="18" s="1"/>
  <c r="K34" i="18"/>
  <c r="L34" i="18" s="1"/>
  <c r="K12" i="18"/>
  <c r="L12" i="18" s="1"/>
  <c r="F11" i="18" s="1"/>
  <c r="K16" i="18"/>
  <c r="L16" i="18" s="1"/>
  <c r="F15" i="18" s="1"/>
  <c r="K22" i="18"/>
  <c r="L22" i="18" s="1"/>
  <c r="F21" i="18" s="1"/>
  <c r="K28" i="18"/>
  <c r="L28" i="18" s="1"/>
  <c r="F27" i="18" s="1"/>
  <c r="L43" i="18"/>
  <c r="K15" i="18"/>
  <c r="L15" i="18" s="1"/>
  <c r="K27" i="18"/>
  <c r="L27" i="18" s="1"/>
  <c r="K38" i="18"/>
  <c r="L38" i="18" s="1"/>
  <c r="F37" i="18" s="1"/>
  <c r="K31" i="18"/>
  <c r="L31" i="18" s="1"/>
  <c r="K8" i="18"/>
  <c r="L8" i="18" s="1"/>
  <c r="F7" i="18" s="1"/>
  <c r="K37" i="18"/>
  <c r="L37" i="18" s="1"/>
  <c r="F36" i="18" s="1"/>
  <c r="I34" i="18" l="1"/>
  <c r="AI317" i="1"/>
  <c r="AJ317" i="1" s="1"/>
  <c r="AI283" i="1"/>
  <c r="AJ283" i="1" s="1"/>
  <c r="I27" i="18"/>
  <c r="AI319" i="1"/>
  <c r="AJ319" i="1" s="1"/>
  <c r="AK319" i="1" s="1"/>
  <c r="I36" i="18"/>
  <c r="I21" i="18"/>
  <c r="AI116" i="1"/>
  <c r="I35" i="18"/>
  <c r="AI318" i="1"/>
  <c r="AJ318" i="1" s="1"/>
  <c r="AK318" i="1" s="1"/>
  <c r="I15" i="18"/>
  <c r="AI81" i="1"/>
  <c r="AJ81" i="1" s="1"/>
  <c r="I28" i="18"/>
  <c r="AI284" i="1"/>
  <c r="AJ284" i="1" s="1"/>
  <c r="AK284" i="1" s="1"/>
  <c r="AI49" i="1"/>
  <c r="AJ49" i="1" s="1"/>
  <c r="I11" i="18"/>
  <c r="I12" i="18" s="1"/>
  <c r="AI13" i="1"/>
  <c r="AJ13" i="1" s="1"/>
  <c r="I7" i="18"/>
  <c r="I8" i="18" s="1"/>
  <c r="AI82" i="1"/>
  <c r="AJ82" i="1" s="1"/>
  <c r="AK82" i="1" s="1"/>
  <c r="I16" i="18"/>
  <c r="I22" i="18"/>
  <c r="AI117" i="1"/>
  <c r="AJ117" i="1" s="1"/>
  <c r="AK117" i="1" s="1"/>
  <c r="I37" i="18"/>
  <c r="AI320" i="1"/>
  <c r="AJ320" i="1" s="1"/>
  <c r="AK320" i="1" s="1"/>
  <c r="AI118" i="1"/>
  <c r="AJ118" i="1" s="1"/>
  <c r="AK118" i="1" s="1"/>
  <c r="I23" i="18"/>
  <c r="AI83" i="1"/>
  <c r="AJ83" i="1" s="1"/>
  <c r="AK83" i="1" s="1"/>
  <c r="I17" i="18"/>
  <c r="I38" i="18" l="1"/>
  <c r="I41" i="18" s="1"/>
  <c r="D8" i="20"/>
  <c r="H8" i="20" s="1"/>
  <c r="AK13" i="1"/>
  <c r="AK14" i="1" s="1"/>
  <c r="AJ14" i="1"/>
  <c r="D14" i="20"/>
  <c r="H14" i="20" s="1"/>
  <c r="AK116" i="1"/>
  <c r="AK119" i="1" s="1"/>
  <c r="AJ119" i="1"/>
  <c r="D10" i="20"/>
  <c r="H10" i="20" s="1"/>
  <c r="AK49" i="1"/>
  <c r="AK50" i="1" s="1"/>
  <c r="AJ50" i="1"/>
  <c r="AK81" i="1"/>
  <c r="AK84" i="1" s="1"/>
  <c r="AJ84" i="1"/>
  <c r="D12" i="20"/>
  <c r="H12" i="20" s="1"/>
  <c r="I29" i="18"/>
  <c r="I18" i="18"/>
  <c r="AK283" i="1"/>
  <c r="AK285" i="1" s="1"/>
  <c r="D16" i="20"/>
  <c r="H16" i="20" s="1"/>
  <c r="AJ285" i="1"/>
  <c r="I24" i="18"/>
  <c r="AK317" i="1"/>
  <c r="AK321" i="1" s="1"/>
  <c r="AJ321" i="1"/>
  <c r="AK589" i="1" l="1"/>
  <c r="I31" i="18"/>
  <c r="I43" i="18" s="1"/>
  <c r="K53" i="20"/>
  <c r="F53" i="20"/>
  <c r="J53" i="20"/>
  <c r="N53" i="20"/>
  <c r="G53" i="20"/>
  <c r="I53" i="20"/>
  <c r="L53" i="20"/>
  <c r="M53" i="20"/>
  <c r="D53" i="20"/>
  <c r="H53" i="20"/>
  <c r="O53" i="20"/>
  <c r="E53" i="20"/>
  <c r="N62" i="20"/>
  <c r="M62" i="20"/>
  <c r="J62" i="20"/>
  <c r="E62" i="20"/>
  <c r="F62" i="20"/>
  <c r="H62" i="20"/>
  <c r="K62" i="20"/>
  <c r="D62" i="20"/>
  <c r="O62" i="20"/>
  <c r="I62" i="20"/>
  <c r="G62" i="20"/>
  <c r="L62" i="20"/>
  <c r="D59" i="20"/>
  <c r="F59" i="20"/>
  <c r="N59" i="20"/>
  <c r="J59" i="20"/>
  <c r="O59" i="20"/>
  <c r="E59" i="20"/>
  <c r="I59" i="20"/>
  <c r="L59" i="20"/>
  <c r="M59" i="20"/>
  <c r="K59" i="20"/>
  <c r="H59" i="20"/>
  <c r="G59" i="20"/>
  <c r="I56" i="20"/>
  <c r="G56" i="20"/>
  <c r="N56" i="20"/>
  <c r="D56" i="20"/>
  <c r="L56" i="20"/>
  <c r="O56" i="20"/>
  <c r="F56" i="20"/>
  <c r="K56" i="20"/>
  <c r="E56" i="20"/>
  <c r="M56" i="20"/>
  <c r="J56" i="20"/>
  <c r="H56" i="20"/>
  <c r="D50" i="20"/>
  <c r="N50" i="20"/>
  <c r="L50" i="20"/>
  <c r="F50" i="20"/>
  <c r="G50" i="20"/>
  <c r="M50" i="20"/>
  <c r="H50" i="20"/>
  <c r="O50" i="20"/>
  <c r="K50" i="20"/>
  <c r="J50" i="20"/>
  <c r="E50" i="20"/>
  <c r="I50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tc={06752CAA-3622-41CE-B992-812D76D580B4}</author>
  </authors>
  <commentList>
    <comment ref="S313" authorId="0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include 916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tc={9EE06999-B2F3-47A5-B78E-0487BA9D560E}</author>
    <author>Cascade Natural Gas</author>
    <author>tc={026BD73F-96CD-42DD-9D50-1546514056BF}</author>
  </authors>
  <commentList>
    <comment ref="AA10" authorId="0" shapeId="0" xr:uid="{9EE06999-B2F3-47A5-B78E-0487BA9D560E}">
      <text>
        <t>[Threaded comment]
Your version of Excel allows you to read this threaded comment; however, any edits to it will get removed if the file is opened in a newer version of Excel. Learn more: https://go.microsoft.com/fwlink/?linkid=870924
Comment:
    Low income bill assistance liability</t>
      </text>
    </comment>
    <comment ref="B127" authorId="1" shapeId="0" xr:uid="{00DCB75D-77F1-4AC4-8C45-58A86679B0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153" authorId="1" shapeId="0" xr:uid="{00000000-0006-0000-0A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219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Combined
</t>
        </r>
      </text>
    </comment>
    <comment ref="I430" authorId="2" shapeId="0" xr:uid="{026BD73F-96CD-42DD-9D50-1546514056BF}">
      <text>
        <t>[Threaded comment]
Your version of Excel allows you to read this threaded comment; however, any edits to it will get removed if the file is opened in a newer version of Excel. Learn more: https://go.microsoft.com/fwlink/?linkid=870924
Comment:
    WA502-Adjusted in Revenue Reconciliation, cell F19.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tc={A97E243B-16DD-487B-8ADE-C2C8605DEEEA}</author>
    <author>tc={7D37534C-3599-44D0-B96A-CEE8F01B7689}</author>
    <author>tc={15BC22D5-1FC1-444D-B4FC-BD78DA06B6F6}</author>
    <author>tc={C213BD54-5982-4EC5-9CC8-720331917164}</author>
    <author>tc={95867AAC-DA7F-44EE-A41F-214EA8D44D74}</author>
    <author>tc={A4717A08-DA27-4DBD-8928-EDA8DF671665}</author>
    <author>tc={821E10AF-0DEE-4968-B2A5-1B06E1D87856}</author>
  </authors>
  <commentList>
    <comment ref="E19" authorId="0" shapeId="0" xr:uid="{A97E243B-16DD-487B-8ADE-C2C8605DEEEA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F19" authorId="1" shapeId="0" xr:uid="{7D37534C-3599-44D0-B96A-CEE8F01B7689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H19" authorId="2" shapeId="0" xr:uid="{15BC22D5-1FC1-444D-B4FC-BD78DA06B6F6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O19" authorId="3" shapeId="0" xr:uid="{C213BD54-5982-4EC5-9CC8-720331917164}">
      <text>
        <t>[Threaded comment]
Your version of Excel allows you to read this threaded comment; however, any edits to it will get removed if the file is opened in a newer version of Excel. Learn more: https://go.microsoft.com/fwlink/?linkid=870924
Comment:
    502R ADJUSTMENT</t>
      </text>
    </comment>
    <comment ref="N159" authorId="4" shapeId="0" xr:uid="{95867AAC-DA7F-44EE-A41F-214EA8D44D74}">
      <text>
        <t>[Threaded comment]
Your version of Excel allows you to read this threaded comment; however, any edits to it will get removed if the file is opened in a newer version of Excel. Learn more: https://go.microsoft.com/fwlink/?linkid=870924
Comment:
    05LV(4809)</t>
      </text>
    </comment>
    <comment ref="P399" authorId="5" shapeId="0" xr:uid="{A4717A08-DA27-4DBD-8928-EDA8DF67166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value is a reverse value of the difference from CNGCWA908.</t>
      </text>
    </comment>
    <comment ref="P419" authorId="6" shapeId="0" xr:uid="{821E10AF-0DEE-4968-B2A5-1B06E1D87856}">
      <text>
        <t>[Threaded comment]
Your version of Excel allows you to read this threaded comment; however, any edits to it will get removed if the file is opened in a newer version of Excel. Learn more: https://go.microsoft.com/fwlink/?linkid=870924
Comment:
    Mirror adjustment with WA903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D1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sharedStrings.xml><?xml version="1.0" encoding="utf-8"?>
<sst xmlns="http://schemas.openxmlformats.org/spreadsheetml/2006/main" count="2699" uniqueCount="668">
  <si>
    <t>Rate Description</t>
  </si>
  <si>
    <t>Current Rate</t>
  </si>
  <si>
    <t>Proposed Rates</t>
  </si>
  <si>
    <t>(A)</t>
  </si>
  <si>
    <t>(C)</t>
  </si>
  <si>
    <t>(I)</t>
  </si>
  <si>
    <t>Billing Determinants
(Therms/Bills)</t>
  </si>
  <si>
    <t>Current</t>
  </si>
  <si>
    <t>Proposed</t>
  </si>
  <si>
    <t>Basic Service Charge</t>
  </si>
  <si>
    <t>Total Margin</t>
  </si>
  <si>
    <t>Average Cost of Gas</t>
  </si>
  <si>
    <t>Non-Gas Revenue</t>
  </si>
  <si>
    <t xml:space="preserve">Adjustment </t>
  </si>
  <si>
    <t>Current Month Unbilled +</t>
  </si>
  <si>
    <t>Previous Month Unbilled -</t>
  </si>
  <si>
    <t>CAP Adjustment</t>
  </si>
  <si>
    <t>Deferrals</t>
  </si>
  <si>
    <t>Deficiency</t>
  </si>
  <si>
    <t xml:space="preserve">Total Non-Gas Revenue </t>
  </si>
  <si>
    <t>Gross Revenue Fee</t>
  </si>
  <si>
    <t>Rate Schedule 903 - Interruptible Transportation</t>
  </si>
  <si>
    <t>COMMERCIAL</t>
  </si>
  <si>
    <t>INDUSTRIAL</t>
  </si>
  <si>
    <t>Adjustment</t>
  </si>
  <si>
    <t>Dispatch Service Charge</t>
  </si>
  <si>
    <t>Total</t>
  </si>
  <si>
    <t>RESIDENTIAL</t>
  </si>
  <si>
    <t>Margin</t>
  </si>
  <si>
    <t>Adjustment Dollars</t>
  </si>
  <si>
    <t>Total Dollars</t>
  </si>
  <si>
    <t>Therms</t>
  </si>
  <si>
    <t>Adjustment Therms</t>
  </si>
  <si>
    <t>Total Therms</t>
  </si>
  <si>
    <t>C</t>
  </si>
  <si>
    <t>D</t>
  </si>
  <si>
    <t>CM Unbilled therms</t>
  </si>
  <si>
    <t>E</t>
  </si>
  <si>
    <t>PM Unbilled therms</t>
  </si>
  <si>
    <t>F</t>
  </si>
  <si>
    <t xml:space="preserve"> -PM CA1501A therms</t>
  </si>
  <si>
    <t>K</t>
  </si>
  <si>
    <t xml:space="preserve"> +CM CA1501A therms</t>
  </si>
  <si>
    <t>L</t>
  </si>
  <si>
    <t>M</t>
  </si>
  <si>
    <t>check</t>
  </si>
  <si>
    <t>Revenue (CA1501)</t>
  </si>
  <si>
    <t>CM Unbilled revenues</t>
  </si>
  <si>
    <t>PM Unbilled revenues</t>
  </si>
  <si>
    <t>CAP revenues</t>
  </si>
  <si>
    <t>G</t>
  </si>
  <si>
    <t>H</t>
  </si>
  <si>
    <t>J</t>
  </si>
  <si>
    <t xml:space="preserve"> -PM CA1501A</t>
  </si>
  <si>
    <t xml:space="preserve"> +CM CA1501A</t>
  </si>
  <si>
    <t>Test Year State Allocation Report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</si>
  <si>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</si>
  <si>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</si>
  <si>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</si>
  <si>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</si>
  <si>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</si>
  <si>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</si>
  <si>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</si>
  <si>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</si>
  <si>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</si>
  <si>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</si>
  <si>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</si>
  <si>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</si>
  <si>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</si>
  <si>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</si>
  <si>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</si>
  <si>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</si>
  <si>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</si>
  <si>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</si>
  <si>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</si>
  <si>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</si>
  <si>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</si>
  <si>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I</t>
  </si>
  <si>
    <t>Deficiency Billings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</si>
  <si>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</si>
  <si>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</si>
  <si>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</si>
  <si>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</si>
  <si>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</si>
  <si>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</si>
  <si>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</si>
  <si>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</si>
  <si>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</si>
  <si>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</si>
  <si>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</si>
  <si>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</si>
  <si>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Non-Gas Revenue</t>
  </si>
  <si>
    <t>Rate Schedule 503 - Residential Service Rate</t>
  </si>
  <si>
    <t>Rate Schedule 504 - General Commercial Service</t>
  </si>
  <si>
    <t>Rate Schedule 505 - General Industrial Service</t>
  </si>
  <si>
    <t>Rate Schedule 570 - Interruptible Service Schedule</t>
  </si>
  <si>
    <t>CNGWA908</t>
  </si>
  <si>
    <t>CNGWA903</t>
  </si>
  <si>
    <t>CNGWA901</t>
  </si>
  <si>
    <t>CNGWA6635</t>
  </si>
  <si>
    <t>CNGWA6633</t>
  </si>
  <si>
    <t>Generating</t>
  </si>
  <si>
    <t>CNGWA6631</t>
  </si>
  <si>
    <t>Non-Core</t>
  </si>
  <si>
    <t>CNGWA914</t>
  </si>
  <si>
    <t>CNGWA911</t>
  </si>
  <si>
    <t>CNGWA910</t>
  </si>
  <si>
    <t>CNGWA909</t>
  </si>
  <si>
    <t>CNGWA906</t>
  </si>
  <si>
    <t>Industrials</t>
  </si>
  <si>
    <t>CNGWA570</t>
  </si>
  <si>
    <t>CNGWA511</t>
  </si>
  <si>
    <t>CNGWA505</t>
  </si>
  <si>
    <t>CNGWA504</t>
  </si>
  <si>
    <t>CNGWA503</t>
  </si>
  <si>
    <t>WA Energy Assistance Fund Program</t>
  </si>
  <si>
    <t>WA Replacement Pipe Cost Recovery</t>
  </si>
  <si>
    <t>WA Decoupling Mechanism</t>
  </si>
  <si>
    <t>WA Deferred Gas Costs</t>
  </si>
  <si>
    <t>WA Conservation Cost Recovery</t>
  </si>
  <si>
    <t>City Tax Tier 1</t>
  </si>
  <si>
    <t>City Tax Applied (City Tax &lt; Maximum)</t>
  </si>
  <si>
    <t>City Tax for Cities with Annual Maximum</t>
  </si>
  <si>
    <t>State Utility Tax Credit</t>
  </si>
  <si>
    <t>Indian Nation Tribal Charge</t>
  </si>
  <si>
    <t>City Tax Tier 2</t>
  </si>
  <si>
    <t>City Tax Applicable to Identified Bus for Tax. Rev Limits</t>
  </si>
  <si>
    <t>Delivery Charge Next 200,000 Therms</t>
  </si>
  <si>
    <t>Delivery Charge &gt; 500,000 Therms</t>
  </si>
  <si>
    <t>Contract Charge (applicable only if identified in contract)</t>
  </si>
  <si>
    <t>City Tax Applicable to Identified Bus. for Tax Rev Limits</t>
  </si>
  <si>
    <t>Rate Schedule 6631 - Non-Core Industrial</t>
  </si>
  <si>
    <t>Total Rate Schedule 6631 Revenue</t>
  </si>
  <si>
    <t>Rate Schedule 906 - Interruptible Transportation</t>
  </si>
  <si>
    <t>Rate Schedule 909 - Interruptible Transportation</t>
  </si>
  <si>
    <t>Rate Schedule 910 - Interruptible Transportation</t>
  </si>
  <si>
    <t>Total Rate Schedule 910 Revenue</t>
  </si>
  <si>
    <t>Rate Schedule 911 - Interruptible Transportation</t>
  </si>
  <si>
    <t>Total Rate Schedule 911 Revenue</t>
  </si>
  <si>
    <t>Rate Schedule 914 - Interruptible Transportation</t>
  </si>
  <si>
    <t>Total Rate Schedule 914 Revenue</t>
  </si>
  <si>
    <t>Rate Schedule 6633</t>
  </si>
  <si>
    <t>Rate Schedule 6635</t>
  </si>
  <si>
    <t>Total Rate Schedule 6635</t>
  </si>
  <si>
    <t>Rate Schedule 901 - Interruptible Transportation</t>
  </si>
  <si>
    <t>Total Rate Schedule 901 Revenue</t>
  </si>
  <si>
    <t>Total Rate Schedule 903 Revenue</t>
  </si>
  <si>
    <t>Rate Schedule 908- Interruptible Transportation</t>
  </si>
  <si>
    <t>Total Rate Schedule 908 Revenue</t>
  </si>
  <si>
    <t>Rate Schedule 6631</t>
  </si>
  <si>
    <t>Total Rate Schedule 6631</t>
  </si>
  <si>
    <t>Utilization Discount First 100,000 Therms</t>
  </si>
  <si>
    <t>Utilization Discount Next 200,000 Therms</t>
  </si>
  <si>
    <t>Utilization Discount Next 100,000 Therms</t>
  </si>
  <si>
    <t>Utilization Discount Next 300,000 Therms</t>
  </si>
  <si>
    <t>Facilities Charge</t>
  </si>
  <si>
    <t>Compressor Operation</t>
  </si>
  <si>
    <t>Contract Demand Charge</t>
  </si>
  <si>
    <t>System Balancing Charge</t>
  </si>
  <si>
    <t>Delivery Charge First 100,000 Therms</t>
  </si>
  <si>
    <t>Margin First 500 Therms</t>
  </si>
  <si>
    <t>Margin Next 3,500 Therms</t>
  </si>
  <si>
    <t>Margin &gt; 4,000 Therms</t>
  </si>
  <si>
    <t>Margin First 20,000 Therms</t>
  </si>
  <si>
    <t>Margin Next 80,000 Therms</t>
  </si>
  <si>
    <t>Margin &gt; 100,000 Therms</t>
  </si>
  <si>
    <t>Rate Schedule: CNGW04LV</t>
  </si>
  <si>
    <t>Rate Schedule: CNGW05LV</t>
  </si>
  <si>
    <t>Margin First 30,000 Therms</t>
  </si>
  <si>
    <t>Margin &gt; 30,000 Therms</t>
  </si>
  <si>
    <t>Commodity Charge First 100,000 Therms per day</t>
  </si>
  <si>
    <t>Commodity Charge Over 100,000 Therms per day</t>
  </si>
  <si>
    <t>Commodity Charge</t>
  </si>
  <si>
    <t>Minimum Charge per Month</t>
  </si>
  <si>
    <t>Commodity Charge First 22 Million/Year</t>
  </si>
  <si>
    <t>CNGW05LV</t>
  </si>
  <si>
    <t>CNGW04LV</t>
  </si>
  <si>
    <t>Total Rate Schedule 511 Revenue</t>
  </si>
  <si>
    <t>Total Rate Schedule: CNGW04LV</t>
  </si>
  <si>
    <t>Delivery Charge Over 500,000 Therms</t>
  </si>
  <si>
    <t>Utilization Discount Next 400,000 Therms</t>
  </si>
  <si>
    <t>WA Protected-Plus Excess Deferred Income Tax</t>
  </si>
  <si>
    <t>WA Unprotected Excess Deferred Income Tax</t>
  </si>
  <si>
    <t>WA Temporary Federal Income Tax Rate Credit</t>
  </si>
  <si>
    <t>Utilization Discount &gt; 1,300,000 but &lt; 18,700,000 Therms</t>
  </si>
  <si>
    <t>Monthly Facilities Charge</t>
  </si>
  <si>
    <t>Monthly Charge</t>
  </si>
  <si>
    <t>System Balancing Rate</t>
  </si>
  <si>
    <t>Adjustments</t>
  </si>
  <si>
    <t>System Balancing Rate (Jan-Sept)</t>
  </si>
  <si>
    <t>System Balancing Rate (Oct-Dec)</t>
  </si>
  <si>
    <t>DEFWA revenues</t>
  </si>
  <si>
    <t>Rate Schedule 6631 - Non-Core Generating</t>
  </si>
  <si>
    <t>Total Rate Schedule 6633</t>
  </si>
  <si>
    <t>DSC Commodity</t>
  </si>
  <si>
    <t>DSC Commodity (Jan-Sept)</t>
  </si>
  <si>
    <t>Commodity Charge First 100,000 Therms per day (Jan-Jun)</t>
  </si>
  <si>
    <t>Commodity Charge First 100,000 Therms per day (Jul-Dec)</t>
  </si>
  <si>
    <t>Commodity Charge Over 100,000 Therms per day (Jan-Jun)</t>
  </si>
  <si>
    <t>Commodity Charge Over 100,000 Therms per day  (Jul-Dec)</t>
  </si>
  <si>
    <t>DSC Commodity (Oct-Dec)</t>
  </si>
  <si>
    <t>Contract Demand Charge (Jan-Jul)</t>
  </si>
  <si>
    <t>Contract Demand Charge (Aug-Dec)</t>
  </si>
  <si>
    <t>Total Cascade Margin</t>
  </si>
  <si>
    <t>Total Cascade Revenue</t>
  </si>
  <si>
    <t>TOTAL OPERATING REVENUE</t>
  </si>
  <si>
    <t>Provision for Rate Refund</t>
  </si>
  <si>
    <t>Check</t>
  </si>
  <si>
    <t>Billing Determinants (Therms/Bills)</t>
  </si>
  <si>
    <t>Rate</t>
  </si>
  <si>
    <t>Remove/Add</t>
  </si>
  <si>
    <t>2019 Revenue Adjustment</t>
  </si>
  <si>
    <t>Adjusted</t>
  </si>
  <si>
    <t>Actuals</t>
  </si>
  <si>
    <t>Date</t>
  </si>
  <si>
    <t>504 - Commercial Actuals</t>
  </si>
  <si>
    <t>503 - Residential Actuals</t>
  </si>
  <si>
    <t>A</t>
  </si>
  <si>
    <t>B</t>
  </si>
  <si>
    <t>Rate Schedules</t>
  </si>
  <si>
    <r>
      <t xml:space="preserve">505 Combined </t>
    </r>
    <r>
      <rPr>
        <i/>
        <sz val="11"/>
        <color theme="1"/>
        <rFont val="Calibri"/>
        <family val="2"/>
        <scheme val="minor"/>
      </rPr>
      <t>(05LV + 505)</t>
    </r>
  </si>
  <si>
    <t>BSC1</t>
  </si>
  <si>
    <t>503 Combined Ave Useage</t>
  </si>
  <si>
    <t>504 Combined Ave Useage</t>
  </si>
  <si>
    <t>505 Combined Ave Useage</t>
  </si>
  <si>
    <t>511 Combined Ave Useage</t>
  </si>
  <si>
    <t>570 Combined Ave Useage</t>
  </si>
  <si>
    <t>N</t>
  </si>
  <si>
    <t>End of Period Annualized Customer Counts</t>
  </si>
  <si>
    <t>O</t>
  </si>
  <si>
    <t>Adjusted Per Books Margin Revenue</t>
  </si>
  <si>
    <t>Adjusted Billing Determinants</t>
  </si>
  <si>
    <t>Adjusted Current</t>
  </si>
  <si>
    <t>Schedule Merge</t>
  </si>
  <si>
    <t>Revenue At Proposed Rates</t>
  </si>
  <si>
    <t>Total Revenue</t>
  </si>
  <si>
    <t>505 First 500 Ave Useage</t>
  </si>
  <si>
    <t>505 Next 3500 Ave Useage</t>
  </si>
  <si>
    <t>505 &gt;4000 Ave Useage</t>
  </si>
  <si>
    <t>( E )</t>
  </si>
  <si>
    <t>(F)</t>
  </si>
  <si>
    <t>(G)</t>
  </si>
  <si>
    <t>(J) = (H)*(I)</t>
  </si>
  <si>
    <t>(K)</t>
  </si>
  <si>
    <t>(Q)</t>
  </si>
  <si>
    <t>(B) = (D)/(C)</t>
  </si>
  <si>
    <t>TOTAL OTHER OPERATING REVENUE</t>
  </si>
  <si>
    <t>TOTAL GAS SALES</t>
  </si>
  <si>
    <t>Monthly Bill determinants</t>
  </si>
  <si>
    <t>503 Normalized</t>
  </si>
  <si>
    <t>505 merge</t>
  </si>
  <si>
    <t>05LV total</t>
  </si>
  <si>
    <t>511 Margin First 20,000 Ave</t>
  </si>
  <si>
    <t>511 Margin Next 80,000 Ave</t>
  </si>
  <si>
    <t>511 Margin &gt; 100,000 Ave</t>
  </si>
  <si>
    <t>511 Combined</t>
  </si>
  <si>
    <t>570 Margin First 30,000 Ave</t>
  </si>
  <si>
    <t>570 Margin &gt; 30,000 Ave</t>
  </si>
  <si>
    <t>Delivery Charge First 100,000 Therms Ave</t>
  </si>
  <si>
    <t>Delivery Charge Next 200,000 Therms Ave</t>
  </si>
  <si>
    <t>Delivery Charge &gt; 500,000 Therms Ave</t>
  </si>
  <si>
    <t>6631 - Non Core Industrials</t>
  </si>
  <si>
    <t>6631 NC Combined Average Useage</t>
  </si>
  <si>
    <t>6631 Gen Combined Average Useage</t>
  </si>
  <si>
    <t>6633 Gen Combined Average Useage</t>
  </si>
  <si>
    <t>6635 Combined Average Useage</t>
  </si>
  <si>
    <t>Contract Charge</t>
  </si>
  <si>
    <t>All 663 Ave DC First 100,000 Therms</t>
  </si>
  <si>
    <t>All 663 Ave DC Next 200,000 Therms</t>
  </si>
  <si>
    <t>All 663 Ave DC&gt; 500,000 Therms</t>
  </si>
  <si>
    <t>663 Combined</t>
  </si>
  <si>
    <t>All 663 Combined</t>
  </si>
  <si>
    <t>(H) = (B)+( E)</t>
  </si>
  <si>
    <r>
      <t xml:space="preserve">504 Combined </t>
    </r>
    <r>
      <rPr>
        <i/>
        <sz val="11"/>
        <color theme="1"/>
        <rFont val="Calibri"/>
        <family val="2"/>
        <scheme val="minor"/>
      </rPr>
      <t>(04LV+504)</t>
    </r>
  </si>
  <si>
    <t>Cost Recovery Mechanism CRM</t>
  </si>
  <si>
    <t>Billing Determinants (Therms/Bill)</t>
  </si>
  <si>
    <t>503 (data from Weather Norm. wksheet)</t>
  </si>
  <si>
    <t>504 (data from Weather Norm. wksheet)</t>
  </si>
  <si>
    <t>Weather Normalized Volume Adjustment</t>
  </si>
  <si>
    <t>Less Total Booked Margin</t>
  </si>
  <si>
    <t>Total Cap Adjustments</t>
  </si>
  <si>
    <t>Adjusted EOP Margin Revenue</t>
  </si>
  <si>
    <t>EOP Revenue Adjustment</t>
  </si>
  <si>
    <t>6631 - Non Core Generating</t>
  </si>
  <si>
    <t>Net Unbilled Margins Booked</t>
  </si>
  <si>
    <t>Total Revenue Adjustment</t>
  </si>
  <si>
    <t>Less booked CRM</t>
  </si>
  <si>
    <t>Total Non-Core</t>
  </si>
  <si>
    <t>Over 500,000 therms/month</t>
  </si>
  <si>
    <t>Next 200,000 therms/month</t>
  </si>
  <si>
    <t>First 100,000 therms/month</t>
  </si>
  <si>
    <t xml:space="preserve">  Distribution Trans.</t>
  </si>
  <si>
    <t>Total Core</t>
  </si>
  <si>
    <t xml:space="preserve"> </t>
  </si>
  <si>
    <t xml:space="preserve">     Total </t>
  </si>
  <si>
    <t xml:space="preserve">     Total</t>
  </si>
  <si>
    <t>All over 4,000 therms/month</t>
  </si>
  <si>
    <t>All over 30,000 therms/month</t>
  </si>
  <si>
    <t>First 30,000 therms/month</t>
  </si>
  <si>
    <t xml:space="preserve">  General </t>
  </si>
  <si>
    <t>Interruptible</t>
  </si>
  <si>
    <t>Next 3,500 therms/month</t>
  </si>
  <si>
    <t>First 500 therms/month</t>
  </si>
  <si>
    <t xml:space="preserve">  General Service</t>
  </si>
  <si>
    <t>Industrial Firm</t>
  </si>
  <si>
    <t>All over 100,000 therms/month</t>
  </si>
  <si>
    <t>Next 80,000 therms/month</t>
  </si>
  <si>
    <t>First 20,000 therms/month</t>
  </si>
  <si>
    <t xml:space="preserve">  Large Volume</t>
  </si>
  <si>
    <t>Com-Ind Dual Service</t>
  </si>
  <si>
    <t>Commercial</t>
  </si>
  <si>
    <t xml:space="preserve">  Optional Service</t>
  </si>
  <si>
    <t>Residential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</si>
  <si>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</si>
  <si>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</si>
  <si>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</si>
  <si>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</si>
  <si>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</si>
  <si>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</si>
  <si>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</si>
  <si>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</si>
  <si>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</si>
  <si>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</si>
  <si>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 Revenue % Increase</t>
  </si>
  <si>
    <t>Proposed Revenue Increase</t>
  </si>
  <si>
    <t>Proposed Rate</t>
  </si>
  <si>
    <t>Rate Schedule</t>
  </si>
  <si>
    <t>Description</t>
  </si>
  <si>
    <t>Line No.</t>
  </si>
  <si>
    <t>Cascade Natural Gas Corporation</t>
  </si>
  <si>
    <t>Test Year  Revenue @ Current Rates</t>
  </si>
  <si>
    <t>Rev. Increase</t>
  </si>
  <si>
    <t>(N)</t>
  </si>
  <si>
    <t>Total CRM Adjustment</t>
  </si>
  <si>
    <t>2nd Entry</t>
  </si>
  <si>
    <t>Original Entry</t>
  </si>
  <si>
    <t>Small Industrial CAP</t>
  </si>
  <si>
    <t>47WA.4002.4813CP</t>
  </si>
  <si>
    <t>Small Commerical CAP</t>
  </si>
  <si>
    <t>47WA.4002.4811CP</t>
  </si>
  <si>
    <t>Commerical CAP</t>
  </si>
  <si>
    <t>47WA.4002.4810CP</t>
  </si>
  <si>
    <t>Industrial CAP</t>
  </si>
  <si>
    <t>47WA.4002.4809CP</t>
  </si>
  <si>
    <t>Residential CAP</t>
  </si>
  <si>
    <t>47WA.4002.4800CP</t>
  </si>
  <si>
    <t>WA Decoupling Mechanism variance deferral</t>
  </si>
  <si>
    <t>47WA.1862.20477</t>
  </si>
  <si>
    <t>Ammortize JE</t>
  </si>
  <si>
    <t>Cumulative Deferral Total</t>
  </si>
  <si>
    <t>TOTAL DEFERRAL AMOUNT</t>
  </si>
  <si>
    <t>Monthly Deferral Total</t>
  </si>
  <si>
    <t>Interest</t>
  </si>
  <si>
    <t>DEFERRAL AMOUNT</t>
  </si>
  <si>
    <t>Authorized Revenue</t>
  </si>
  <si>
    <t>Total Actual Margin Revenues</t>
  </si>
  <si>
    <t>CC&amp;B Report: Prior Month CA1501A Revenue by District - Over 4,000</t>
  </si>
  <si>
    <t>Unbilled Margin Revenues</t>
  </si>
  <si>
    <t>CC&amp;B Report: Prior Month CA1501A Revenue by District - First 4,000</t>
  </si>
  <si>
    <t>CC&amp;B Report: Current Month CA1501A Revenue by District - Over 4,000</t>
  </si>
  <si>
    <t>CC&amp;B Report: Current Month CA1501A Revenue by District - First 4,000</t>
  </si>
  <si>
    <t>CC&amp;B Report: CA1501 Revenue by District - Over 4,000</t>
  </si>
  <si>
    <t>Actual Margin Revenues</t>
  </si>
  <si>
    <t>CC&amp;B Report: CA1501 Revenue by District - First 4,000</t>
  </si>
  <si>
    <t>CC&amp;B Report: CA1499 Services Summary</t>
  </si>
  <si>
    <t>Customers</t>
  </si>
  <si>
    <t>NO LONGER</t>
  </si>
  <si>
    <t>4813 Industrial</t>
  </si>
  <si>
    <t>CC&amp;B Report: Prior Month CA1501A Revenue by District - Over 30,000</t>
  </si>
  <si>
    <t>CC&amp;B Report: Prior Month CA1501A Revenue by District - First 30,000</t>
  </si>
  <si>
    <t>CC&amp;B Report: Current Month CA1501A Revenue by District - Over 30,000</t>
  </si>
  <si>
    <t>CC&amp;B Report: Current Month CA1501A Revenue by District - First 30,000</t>
  </si>
  <si>
    <t>CC&amp;B Report: CA1501 Revenue by District - Over 30,000</t>
  </si>
  <si>
    <t>CC&amp;B Report: CA1501 Revenue by District - First 30,000</t>
  </si>
  <si>
    <t>CC&amp;B Report: Prior Month CA1501A Revenue by District - Next 3,500</t>
  </si>
  <si>
    <t>CC&amp;B Report: Prior Month CA1501A Revenue by District - First 500</t>
  </si>
  <si>
    <t>CC&amp;B Report: Current Month CA1501A Revenue by District - Next 3,500</t>
  </si>
  <si>
    <t>CC&amp;B Report: Current Month CA1501A Revenue by District - First 500</t>
  </si>
  <si>
    <t>CC&amp;B Report: CA1501 Revenue by District - Next 3,500</t>
  </si>
  <si>
    <t>CC&amp;B Report: CA1501 Revenue by District - First 500</t>
  </si>
  <si>
    <t>4811 Commercial</t>
  </si>
  <si>
    <t>CC&amp;B Report: CA1501 Revenue by District</t>
  </si>
  <si>
    <t>4810 Commercial</t>
  </si>
  <si>
    <t>Prior Month - UNBILLED THERMS &amp; REVENUE XXXX.xlsx</t>
  </si>
  <si>
    <t>Current Month - UNBILLED THERMS &amp; REVENUE XXXX.xlsx</t>
  </si>
  <si>
    <t>CC&amp;B Report: CA1501 Revenue by District - Over 100,000</t>
  </si>
  <si>
    <t>CC&amp;B Report: CA1501 Revenue by District - Next 80,000</t>
  </si>
  <si>
    <t>CC&amp;B Report: CA1501 Revenue by District - First 20,000</t>
  </si>
  <si>
    <t>CC&amp;B Report: CA1501 &amp; CI1564 CRM Adjustment for old rates</t>
  </si>
  <si>
    <t>CC&amp;B Report: Prior Month CA1501A Revenue by District</t>
  </si>
  <si>
    <t>CC&amp;B Report: Current Month CA1501A Revenue by District</t>
  </si>
  <si>
    <t>4809 Industrial</t>
  </si>
  <si>
    <t>4800 Residential</t>
  </si>
  <si>
    <t>Days</t>
  </si>
  <si>
    <t>Interest Rate</t>
  </si>
  <si>
    <t>YTD</t>
  </si>
  <si>
    <t>RULE 21 DECOUPLING MECHANISM</t>
  </si>
  <si>
    <t>CASCADE NAUTURAL GAS CORPORATION</t>
  </si>
  <si>
    <t>Data Source</t>
  </si>
  <si>
    <t>December</t>
  </si>
  <si>
    <t xml:space="preserve">November </t>
  </si>
  <si>
    <t>October</t>
  </si>
  <si>
    <t>September</t>
  </si>
  <si>
    <t>August</t>
  </si>
  <si>
    <t>July</t>
  </si>
  <si>
    <t xml:space="preserve">June </t>
  </si>
  <si>
    <t xml:space="preserve">May </t>
  </si>
  <si>
    <t xml:space="preserve">April </t>
  </si>
  <si>
    <t xml:space="preserve">March </t>
  </si>
  <si>
    <t>February</t>
  </si>
  <si>
    <t>January</t>
  </si>
  <si>
    <t>New Authorized Revenue Per Customer (6)</t>
  </si>
  <si>
    <t xml:space="preserve">Data Source </t>
  </si>
  <si>
    <t xml:space="preserve">September </t>
  </si>
  <si>
    <t xml:space="preserve">August </t>
  </si>
  <si>
    <t xml:space="preserve">July </t>
  </si>
  <si>
    <t>March</t>
  </si>
  <si>
    <t>Rate is Column C divided by Column E</t>
  </si>
  <si>
    <t>Data Sources</t>
  </si>
  <si>
    <t>Customer Count (4)</t>
  </si>
  <si>
    <t>Rate (3)</t>
  </si>
  <si>
    <t>Margin Revenue (1)</t>
  </si>
  <si>
    <t>P</t>
  </si>
  <si>
    <t>Adjusted current margin revenues using weather normalized volumes at current margin rates</t>
  </si>
  <si>
    <t>Less Total Cap Adjustments</t>
  </si>
  <si>
    <t>Plus Unbilled Margins Booked</t>
  </si>
  <si>
    <t>CASCADE NATURAL GAS CORPORATION</t>
  </si>
  <si>
    <t>Witness: Isaac D. Myhrum</t>
  </si>
  <si>
    <t>EXHIBIT OF ISAAC D. MYHRUM</t>
  </si>
  <si>
    <t>REVENUE ADJUSTMENTS</t>
  </si>
  <si>
    <t>REVENUE DISTRIBUTION</t>
  </si>
  <si>
    <t>(D)</t>
  </si>
  <si>
    <t>CRM Revenue</t>
  </si>
  <si>
    <t>SUMMARY OF REVENUES BY RATE SCHEDULE</t>
  </si>
  <si>
    <t>DECOUPLING MECHANISM, AUTHORIZED REVENUE PER CUSTOMER</t>
  </si>
  <si>
    <t>End of Period Useage Calculations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</si>
  <si>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</si>
  <si>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</si>
  <si>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</si>
  <si>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</si>
  <si>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</si>
  <si>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</si>
  <si>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</si>
  <si>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</si>
  <si>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</si>
  <si>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</si>
  <si>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</si>
  <si>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</si>
  <si>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</si>
  <si>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IDM WP-1.6</t>
  </si>
  <si>
    <t>IDM WP-1.5</t>
  </si>
  <si>
    <t>Weather Normalization</t>
  </si>
  <si>
    <t>IDM WP-1.4</t>
  </si>
  <si>
    <t>IDM WP-1.3</t>
  </si>
  <si>
    <t>End of Period Calculations</t>
  </si>
  <si>
    <t>IDM WP-1.2</t>
  </si>
  <si>
    <t>IDM WP-1.1</t>
  </si>
  <si>
    <t>1501 Summary</t>
  </si>
  <si>
    <t>IDM WP-1.0</t>
  </si>
  <si>
    <t>Index</t>
  </si>
  <si>
    <t>Workpaper - Support Documents</t>
  </si>
  <si>
    <t>Page(s)</t>
  </si>
  <si>
    <t>WP #</t>
  </si>
  <si>
    <t>Description of Workpaper</t>
  </si>
  <si>
    <t>Line No:</t>
  </si>
  <si>
    <t xml:space="preserve">A </t>
  </si>
  <si>
    <t>Total Annual CRM Adjustment</t>
  </si>
  <si>
    <t xml:space="preserve">Total CRM Proposed Revenue </t>
  </si>
  <si>
    <t>Less Booked CRM Revenue</t>
  </si>
  <si>
    <t>Total Restate Revenue Adjustment</t>
  </si>
  <si>
    <t>Unbilled Margins Booked</t>
  </si>
  <si>
    <t>Total Unbilled Margins Booked</t>
  </si>
  <si>
    <t>Table 1</t>
  </si>
  <si>
    <t>Table 2</t>
  </si>
  <si>
    <t>Table 3</t>
  </si>
  <si>
    <t>Block Descriptions</t>
  </si>
  <si>
    <t>(k)</t>
  </si>
  <si>
    <t>Margin Revenue @ Proposed Rates</t>
  </si>
  <si>
    <t>Monthly Actual Average customer counts</t>
  </si>
  <si>
    <t>Revenue Adjustments</t>
  </si>
  <si>
    <t>Revenue Distribution</t>
  </si>
  <si>
    <t>Cascade Natural Gas Coporation</t>
  </si>
  <si>
    <t>Test Year Summary of 1501 Reports</t>
  </si>
  <si>
    <t>Source: Monthly CA1501 Reports</t>
  </si>
  <si>
    <t>Temporary Gas Cost Amortization</t>
  </si>
  <si>
    <t>Rate Schedule: CNGWA570</t>
  </si>
  <si>
    <t>Rate: CNGWA511 - INDUSTRIAL</t>
  </si>
  <si>
    <t>Rate: CNGWA511 - COMMERCIAL</t>
  </si>
  <si>
    <t>Rate Schedule: CNGWA505</t>
  </si>
  <si>
    <t>Rate: CNGWA011LV</t>
  </si>
  <si>
    <t>Rate Schedule: CNGWA504</t>
  </si>
  <si>
    <t>Rate Schedule: CNGWA503</t>
  </si>
  <si>
    <t>Dec19</t>
  </si>
  <si>
    <t>Nov19</t>
  </si>
  <si>
    <t>Oct19</t>
  </si>
  <si>
    <t>Sep19</t>
  </si>
  <si>
    <t>Aug19</t>
  </si>
  <si>
    <t>Jul19</t>
  </si>
  <si>
    <t>Jun19</t>
  </si>
  <si>
    <t>May19</t>
  </si>
  <si>
    <t>Apr19</t>
  </si>
  <si>
    <t>Mar19</t>
  </si>
  <si>
    <t>Feb19</t>
  </si>
  <si>
    <t>Jan19</t>
  </si>
  <si>
    <t>Test Year Revenue Recon Report</t>
  </si>
  <si>
    <t>Delivery Charge</t>
  </si>
  <si>
    <t>Margin&gt; 100,000 Therms</t>
  </si>
  <si>
    <t>Alloc Select</t>
  </si>
  <si>
    <t>Industrial</t>
  </si>
  <si>
    <t>Rate Schedule: CNGWA011LV</t>
  </si>
  <si>
    <t>Total Rate Schedule: CNGW11LV</t>
  </si>
  <si>
    <t>CNGWA011LV</t>
  </si>
  <si>
    <t>Misc Revenue Adjustment</t>
  </si>
  <si>
    <t>Total Rate Schedule: CNGW05LV</t>
  </si>
  <si>
    <t>Margin First 500</t>
  </si>
  <si>
    <t>Margin Next 3500</t>
  </si>
  <si>
    <t>Rate Schedule 511 - Large Volume General Service Rate - Industrial</t>
  </si>
  <si>
    <t>Rate Schedule 511 - Large Volume General Service Rate - Commercial</t>
  </si>
  <si>
    <t>Migrated from  04LV</t>
  </si>
  <si>
    <t>Merge w/ 504</t>
  </si>
  <si>
    <t>Merge w/ 505</t>
  </si>
  <si>
    <t>Merge from 05LV</t>
  </si>
  <si>
    <t>From other 663 &amp; 906</t>
  </si>
  <si>
    <t>Commodity Charge (Jan-Sept)</t>
  </si>
  <si>
    <t>Commodity Charge (Oct-Dec)</t>
  </si>
  <si>
    <t>Contract Demand Charge (Jan-Sept)</t>
  </si>
  <si>
    <t>Contract Demand Charge (Sept-Dec)</t>
  </si>
  <si>
    <t>Merge w 6631</t>
  </si>
  <si>
    <t>Commodity Charge (Jan-Jul)</t>
  </si>
  <si>
    <t>Commodity Charge (Aug-Dec)</t>
  </si>
  <si>
    <t>Commodity Charge (Jan-Jun)</t>
  </si>
  <si>
    <t>Commodity Charge (Jul-Dec)</t>
  </si>
  <si>
    <t>2019 Monthly Therms - Actual(Normalized) Therms / Ave Use Per Month</t>
  </si>
  <si>
    <t>906 Combined Average Useage</t>
  </si>
  <si>
    <t>Delivery Charge Over 100,000 Therms</t>
  </si>
  <si>
    <t>Delivery Charge Over 100,000 Therms Ave</t>
  </si>
  <si>
    <t>570 Combined</t>
  </si>
  <si>
    <t>2019 Annualized Usage Using End of Period Customer Counts</t>
  </si>
  <si>
    <t>Merge w/ 511 Commercial</t>
  </si>
  <si>
    <t>011LV</t>
  </si>
  <si>
    <t>wa011LV</t>
  </si>
  <si>
    <t>add</t>
  </si>
  <si>
    <t>Total CRM Proposed Rev</t>
  </si>
  <si>
    <t>Merge w/ 511 Comm</t>
  </si>
  <si>
    <t>Merge from WA011LV &amp; 511 Industrial</t>
  </si>
  <si>
    <t>Check - MONTHLY CA1501 REPORT TOTAL</t>
  </si>
  <si>
    <t xml:space="preserve">Aug </t>
  </si>
  <si>
    <t>Journal Entry</t>
  </si>
  <si>
    <t>Customer Count by Rate Class</t>
  </si>
  <si>
    <t>05LV</t>
  </si>
  <si>
    <t>CC&amp;B Report: CA1501A Revenue by District - Over 100,000</t>
  </si>
  <si>
    <t>CC&amp;B Report: CA1501A Revenue by District - Next 80,000</t>
  </si>
  <si>
    <t>CC&amp;B Report: CA1501A Revenue by District - First 20,000</t>
  </si>
  <si>
    <t>11LV</t>
  </si>
  <si>
    <t>04LV</t>
  </si>
  <si>
    <t>https://www.ferc.gov/enforcement/acct-matts/interest-rates.asp</t>
  </si>
  <si>
    <t>DEFERRED ACCOUNTING DETAILS - TWELVE MONTHS ENDED DECEMBER 31, 2019</t>
  </si>
  <si>
    <t>Twelve Months Ended December 31, 2019</t>
  </si>
  <si>
    <t>511 merge</t>
  </si>
  <si>
    <r>
      <t xml:space="preserve">505 Combined </t>
    </r>
    <r>
      <rPr>
        <i/>
        <sz val="11"/>
        <rFont val="Calibri"/>
        <family val="2"/>
        <scheme val="minor"/>
      </rPr>
      <t>(05LV + 505)</t>
    </r>
  </si>
  <si>
    <t>Test Year Adjusted Sales @ 12/31/2019</t>
  </si>
  <si>
    <t>Revenue Percentage by class @ 12/31/2019</t>
  </si>
  <si>
    <t>Per Books Revenue 2019</t>
  </si>
  <si>
    <t>Allocation Report Summary 2019</t>
  </si>
  <si>
    <t>WACAP 2019</t>
  </si>
  <si>
    <t>511-Ind</t>
  </si>
  <si>
    <t>511-Com</t>
  </si>
  <si>
    <t>2020 End of Period Annualized Customers with Growth Projections</t>
  </si>
  <si>
    <t xml:space="preserve">WA570 </t>
  </si>
  <si>
    <t xml:space="preserve">WA511 </t>
  </si>
  <si>
    <t xml:space="preserve">WA505 </t>
  </si>
  <si>
    <t xml:space="preserve">WA504 </t>
  </si>
  <si>
    <t xml:space="preserve">WA503 </t>
  </si>
  <si>
    <t>511-LV-COM</t>
  </si>
  <si>
    <t>2020 Annualized Usage Using Projected Customer Counts</t>
  </si>
  <si>
    <t>Adjusted 2020 Margin Revenue</t>
  </si>
  <si>
    <t xml:space="preserve"> 2020 EOP Customer Adjustment</t>
  </si>
  <si>
    <t>2020 EOP Adjustment</t>
  </si>
  <si>
    <t>2019 EOP Determinants at Current Rates</t>
  </si>
  <si>
    <t>2020 EOP Customer Adjustment</t>
  </si>
  <si>
    <t>Customer Forecast from 2018 WA IRP - UG-171186</t>
  </si>
  <si>
    <t>2020 Projected Customer Counts. Starting point: Dec 2019 EOP Customer Counts</t>
  </si>
  <si>
    <t>2020 New Customers</t>
  </si>
  <si>
    <t>IDM WP-1.7</t>
  </si>
  <si>
    <t>Table A</t>
  </si>
  <si>
    <t>Table B</t>
  </si>
  <si>
    <t>Total Restate 2019 End of Period (EOP) Adjustment</t>
  </si>
  <si>
    <t>Total 2019 EOP Adj.</t>
  </si>
  <si>
    <t>End of Period annualized test year customer counts are from Myhrum Workpaper "End of Period Calculations" column "Q".</t>
  </si>
  <si>
    <t>2020 Monthly EOP &amp; Normalized/Actual Therms</t>
  </si>
  <si>
    <t>From Myhrum Workpaper - "End of Period Calculations". Schedule 570 uses 2019 EOP.</t>
  </si>
  <si>
    <t>Total Restate 2020 End of Period (EOP) Adjustment</t>
  </si>
  <si>
    <t xml:space="preserve"> Sch. 570 uses 2019 EOP in column "O".</t>
  </si>
  <si>
    <t>EOP Weather Normalized Or Actual Annual Therms (2)</t>
  </si>
  <si>
    <t>New Authorized Revenue Per Customer is (2020/2019) Monthly EOP &amp; Normalized/Actual Therms * Rate) divided by customer count.</t>
  </si>
  <si>
    <t>2020 New Customer Forecast</t>
  </si>
  <si>
    <t>UG 20_____</t>
  </si>
  <si>
    <t>Revenue Reconcilliation</t>
  </si>
  <si>
    <t>Interest (rounding)</t>
  </si>
  <si>
    <t>2 - 6</t>
  </si>
  <si>
    <t>18-20</t>
  </si>
  <si>
    <t>7 - 13</t>
  </si>
  <si>
    <t>14 - 15</t>
  </si>
  <si>
    <t>RS 663</t>
  </si>
  <si>
    <t>Overbilled Therms</t>
  </si>
  <si>
    <t>Customer Schedule</t>
  </si>
  <si>
    <t>Therm Diff</t>
  </si>
  <si>
    <t>Total 2020</t>
  </si>
  <si>
    <t>Total 2019</t>
  </si>
  <si>
    <t>Combined 6631 Billing Corrections 500k therms</t>
  </si>
  <si>
    <t>Move to 663</t>
  </si>
  <si>
    <t>ALTERNATIVE CALCULATIONS</t>
  </si>
  <si>
    <t>011LV 511 to 663 Conversion</t>
  </si>
  <si>
    <t>&gt; 500k Rate</t>
  </si>
  <si>
    <t>(L) = (I)</t>
  </si>
  <si>
    <t>(M) = (K)-(L)</t>
  </si>
  <si>
    <t>(U)</t>
  </si>
  <si>
    <t>(W)</t>
  </si>
  <si>
    <t>(Z)</t>
  </si>
  <si>
    <t>(O) = (I)*(N)</t>
  </si>
  <si>
    <t>(P) = (J)-(O)</t>
  </si>
  <si>
    <t>(R) = (I)</t>
  </si>
  <si>
    <t>(S) = (Q)*(R)</t>
  </si>
  <si>
    <t>(T) = (W)</t>
  </si>
  <si>
    <t>(V) = (T)*(U)</t>
  </si>
  <si>
    <t>(Y) = (X)-(O)-(S)</t>
  </si>
  <si>
    <t>(AA) = (W)*(Z)</t>
  </si>
  <si>
    <t>(AB) = (AA)-(X)</t>
  </si>
  <si>
    <t>(X)=(I)*(W)</t>
  </si>
  <si>
    <t>Billing Correction</t>
  </si>
  <si>
    <t>IDM WP-1.8</t>
  </si>
  <si>
    <t>2019 Alternative Billing Determinants for RS 6631</t>
  </si>
  <si>
    <t>2019 Revenue Migration</t>
  </si>
  <si>
    <t>2019 511 ALT - W/O 011LV CUSTOMERS</t>
  </si>
  <si>
    <t>2019 663 ALT - W 011LV CUSTOMERS</t>
  </si>
  <si>
    <t>BILLING CORRECTION &amp; 011LV CUSTOMERS COMBINED</t>
  </si>
  <si>
    <t>2019 Customer Billing Correction</t>
  </si>
  <si>
    <t>Added from 011LV</t>
  </si>
  <si>
    <t>Total 2019 Billing Correction</t>
  </si>
  <si>
    <t>Total 2019 Revenue Migration</t>
  </si>
  <si>
    <t>From 511/011LV</t>
  </si>
  <si>
    <t>For company use</t>
  </si>
  <si>
    <t>Total 2019 EOP Adjustment</t>
  </si>
  <si>
    <t>Exhibit No. __ (IDM-7)</t>
  </si>
  <si>
    <t>Docket No. UG-200568</t>
  </si>
  <si>
    <t>Exhibit No. __ (IDM-8)</t>
  </si>
  <si>
    <t>Exhibit No. __ (IDM-9)</t>
  </si>
  <si>
    <t>Exh MCP-9</t>
  </si>
  <si>
    <t>Exhibit No. __ (IDM-10)</t>
  </si>
  <si>
    <r>
      <t>(Per Exh. MCP-10, P-3</t>
    </r>
    <r>
      <rPr>
        <sz val="10"/>
        <rFont val="Calibri"/>
        <family val="2"/>
      </rPr>
      <t xml:space="preserve"> Adjustment)</t>
    </r>
  </si>
  <si>
    <t>(Per Exh. MCP-10, R-1 Adjustment)</t>
  </si>
  <si>
    <t>(Per Exh. MCP-10, R-3 Adjustment)</t>
  </si>
  <si>
    <t>(Per Myhrum Exh. IDM-7, column “J”, row “584”)</t>
  </si>
  <si>
    <t>(Per Exh. IDM-7, column “D”, row “584”)</t>
  </si>
  <si>
    <t>(Per Exh. IDM-7, column “J”, row “587”)</t>
  </si>
  <si>
    <t>(Per Exh. IDM-7, column “J”, row “588”)</t>
  </si>
  <si>
    <t>(Per Exh. IDM-7, column “M”, row “584”)</t>
  </si>
  <si>
    <t>(Per Exh. IDM-7, column “J”, row “590”)</t>
  </si>
  <si>
    <t>(Per Exh. IDM-7, column “S”, row “584”)</t>
  </si>
  <si>
    <t>(Per Exh. IDM-7, column “P”, row “584”)</t>
  </si>
  <si>
    <t>(Per Exh. MCP-10, R-4 Adjustment)</t>
  </si>
  <si>
    <t>(Per Exh. IDM-7, column “V”, row “582”)</t>
  </si>
  <si>
    <t>(Per Exh. IDM-7, column “V”, row “583”)</t>
  </si>
  <si>
    <t>(Per Exh. IDM-7, column “V”, row “584”)</t>
  </si>
  <si>
    <t>(Per Exh. IDM-7, column “Y”, row “584”)</t>
  </si>
  <si>
    <t>2019 EOP Adjustment</t>
  </si>
  <si>
    <t>Margin Revenue is from Exh. IDM-7, column (AA). (Margin revenue in proposed column.)</t>
  </si>
  <si>
    <t>Exh. IDM-7, column (W), 2020 EOP Customer Billing Determinants. Sch 570 uses 2019 EOP amounts in IDM-7 column (N).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</si>
</sst>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00"/>
    <numFmt numFmtId="166" formatCode="&quot;$&quot;#,##0"/>
    <numFmt numFmtId="167" formatCode="_(* #,##0_);_(* \(#,##0\);_(* &quot;-&quot;??_);_(@_)"/>
    <numFmt numFmtId="168" formatCode="&quot;$&quot;#,##0.00000"/>
    <numFmt numFmtId="169" formatCode="_(&quot;$&quot;* #,##0.00000_);_(&quot;$&quot;* \(#,##0.00000\);_(&quot;$&quot;* &quot;-&quot;??_);_(@_)"/>
    <numFmt numFmtId="170" formatCode="0_);\(0\)"/>
    <numFmt numFmtId="171" formatCode="_(&quot;$&quot;* #,##0.0000000_);_(&quot;$&quot;* \(#,##0.0000000\);_(&quot;$&quot;* &quot;-&quot;??_);_(@_)"/>
    <numFmt numFmtId="172" formatCode="#,##0.0000"/>
    <numFmt numFmtId="173" formatCode="#,##0.0000000"/>
    <numFmt numFmtId="174" formatCode="_(* #,##0.0000000_);_(* \(#,##0.0000000\);_(* &quot;-&quot;??_);_(@_)"/>
    <numFmt numFmtId="175" formatCode="_(&quot;$&quot;* #,##0.0000_);_(&quot;$&quot;* \(#,##0.0000\);_(&quot;$&quot;* &quot;-&quot;??_);_(@_)"/>
    <numFmt numFmtId="176" formatCode="&quot;$&quot;#,##0.0000"/>
    <numFmt numFmtId="177" formatCode="_(&quot;$&quot;* #,##0_);_(&quot;$&quot;* \(#,##0\);_(&quot;$&quot;* &quot;-&quot;??_);_(@_)"/>
    <numFmt numFmtId="178" formatCode="_(* #,##0.0000_);_(* \(#,##0.0000\);_(* &quot;-&quot;??_);_(@_)"/>
    <numFmt numFmtId="179" formatCode="#,##0.00000"/>
    <numFmt numFmtId="180" formatCode="_(* #,##0.00000_);_(* \(#,##0.00000\);_(* &quot;-&quot;??_);_(@_)"/>
    <numFmt numFmtId="181" formatCode="0.0000"/>
    <numFmt numFmtId="182" formatCode="#,##0.000000"/>
    <numFmt numFmtId="183" formatCode="0.00000"/>
    <numFmt numFmtId="184" formatCode="[$-409]mmm\-yy;@"/>
    <numFmt numFmtId="185" formatCode="[$-409]mmmm\ d\,\ yyyy;@"/>
    <numFmt numFmtId="186" formatCode="0.000000"/>
    <numFmt numFmtId="187" formatCode="#,##0.00000000"/>
    <numFmt numFmtId="188" formatCode="0.00_);\(0.00\)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.5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2" fillId="0" borderId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1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861">
    <xf numFmtId="0" fontId="0" fillId="0" borderId="0" xfId="0"/>
    <xf numFmtId="0" fontId="6" fillId="0" borderId="0" xfId="3" applyFont="1"/>
    <xf numFmtId="17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/>
    <xf numFmtId="0" fontId="4" fillId="0" borderId="0" xfId="5" applyFont="1"/>
    <xf numFmtId="0" fontId="4" fillId="0" borderId="0" xfId="3" applyFont="1"/>
    <xf numFmtId="0" fontId="4" fillId="0" borderId="0" xfId="3" applyFont="1" applyAlignment="1">
      <alignment horizontal="center"/>
    </xf>
    <xf numFmtId="167" fontId="4" fillId="0" borderId="0" xfId="4" applyNumberFormat="1" applyFont="1"/>
    <xf numFmtId="167" fontId="0" fillId="0" borderId="0" xfId="0" applyNumberFormat="1"/>
    <xf numFmtId="167" fontId="0" fillId="0" borderId="0" xfId="2" applyNumberFormat="1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5" applyFont="1"/>
    <xf numFmtId="0" fontId="10" fillId="0" borderId="0" xfId="0" applyFont="1"/>
    <xf numFmtId="0" fontId="7" fillId="0" borderId="0" xfId="0" applyFont="1"/>
    <xf numFmtId="0" fontId="14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7" fontId="6" fillId="0" borderId="0" xfId="2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43" fontId="6" fillId="0" borderId="0" xfId="2" applyFont="1" applyAlignment="1">
      <alignment horizontal="right"/>
    </xf>
    <xf numFmtId="37" fontId="2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2" fillId="0" borderId="0" xfId="0" applyFont="1" applyAlignment="1">
      <alignment vertical="top"/>
    </xf>
    <xf numFmtId="166" fontId="6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44" fontId="6" fillId="0" borderId="0" xfId="7" applyFont="1" applyAlignment="1">
      <alignment horizontal="right"/>
    </xf>
    <xf numFmtId="43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 indent="1"/>
    </xf>
    <xf numFmtId="7" fontId="6" fillId="0" borderId="8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4" fontId="6" fillId="0" borderId="8" xfId="7" applyFont="1" applyBorder="1" applyAlignment="1">
      <alignment horizontal="right"/>
    </xf>
    <xf numFmtId="177" fontId="6" fillId="0" borderId="0" xfId="7" applyNumberFormat="1" applyFont="1" applyAlignment="1">
      <alignment horizontal="right"/>
    </xf>
    <xf numFmtId="177" fontId="6" fillId="0" borderId="8" xfId="7" applyNumberFormat="1" applyFont="1" applyBorder="1" applyAlignment="1">
      <alignment horizontal="right"/>
    </xf>
    <xf numFmtId="0" fontId="9" fillId="0" borderId="0" xfId="3" quotePrefix="1" applyFont="1"/>
    <xf numFmtId="0" fontId="6" fillId="0" borderId="1" xfId="0" applyFont="1" applyBorder="1" applyAlignment="1">
      <alignment horizontal="center" wrapText="1"/>
    </xf>
    <xf numFmtId="43" fontId="19" fillId="0" borderId="10" xfId="3" applyNumberFormat="1" applyFont="1" applyBorder="1"/>
    <xf numFmtId="43" fontId="19" fillId="0" borderId="3" xfId="3" applyNumberFormat="1" applyFont="1" applyBorder="1"/>
    <xf numFmtId="39" fontId="19" fillId="0" borderId="10" xfId="3" applyNumberFormat="1" applyFont="1" applyBorder="1"/>
    <xf numFmtId="43" fontId="19" fillId="0" borderId="11" xfId="3" applyNumberFormat="1" applyFont="1" applyBorder="1"/>
    <xf numFmtId="43" fontId="6" fillId="0" borderId="0" xfId="2" applyFont="1"/>
    <xf numFmtId="0" fontId="18" fillId="0" borderId="0" xfId="0" applyFont="1" applyAlignment="1">
      <alignment horizontal="left" vertical="center" wrapText="1"/>
    </xf>
    <xf numFmtId="167" fontId="0" fillId="0" borderId="8" xfId="0" applyNumberFormat="1" applyBorder="1"/>
    <xf numFmtId="0" fontId="18" fillId="0" borderId="0" xfId="0" applyFont="1" applyAlignment="1">
      <alignment vertical="center" wrapText="1"/>
    </xf>
    <xf numFmtId="0" fontId="7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8" xfId="0" applyFont="1" applyBorder="1" applyAlignment="1">
      <alignment horizontal="left" indent="1"/>
    </xf>
    <xf numFmtId="0" fontId="6" fillId="0" borderId="8" xfId="0" applyFont="1" applyBorder="1"/>
    <xf numFmtId="14" fontId="0" fillId="0" borderId="0" xfId="0" applyNumberFormat="1"/>
    <xf numFmtId="167" fontId="6" fillId="0" borderId="0" xfId="0" applyNumberFormat="1" applyFont="1"/>
    <xf numFmtId="167" fontId="0" fillId="0" borderId="8" xfId="2" applyNumberFormat="1" applyFont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0" borderId="1" xfId="2" applyNumberFormat="1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7" xfId="0" applyNumberFormat="1" applyBorder="1"/>
    <xf numFmtId="0" fontId="0" fillId="3" borderId="1" xfId="0" applyFill="1" applyBorder="1" applyAlignment="1">
      <alignment horizontal="left"/>
    </xf>
    <xf numFmtId="2" fontId="0" fillId="0" borderId="19" xfId="0" applyNumberFormat="1" applyBorder="1"/>
    <xf numFmtId="44" fontId="6" fillId="0" borderId="0" xfId="7" applyFont="1"/>
    <xf numFmtId="2" fontId="0" fillId="0" borderId="18" xfId="0" applyNumberFormat="1" applyBorder="1"/>
    <xf numFmtId="0" fontId="3" fillId="0" borderId="0" xfId="0" applyFont="1"/>
    <xf numFmtId="167" fontId="1" fillId="0" borderId="0" xfId="0" applyNumberFormat="1" applyFont="1"/>
    <xf numFmtId="167" fontId="1" fillId="0" borderId="0" xfId="2" applyNumberFormat="1" applyFont="1" applyAlignment="1">
      <alignment horizontal="center"/>
    </xf>
    <xf numFmtId="167" fontId="1" fillId="0" borderId="0" xfId="2" applyNumberFormat="1" applyFont="1"/>
    <xf numFmtId="167" fontId="7" fillId="0" borderId="0" xfId="0" applyNumberFormat="1" applyFont="1" applyAlignment="1">
      <alignment horizontal="righ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43" fontId="6" fillId="0" borderId="0" xfId="3" applyNumberFormat="1" applyFont="1"/>
    <xf numFmtId="0" fontId="0" fillId="0" borderId="0" xfId="3" applyFont="1"/>
    <xf numFmtId="43" fontId="6" fillId="0" borderId="8" xfId="3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2" applyNumberFormat="1" applyFont="1" applyBorder="1"/>
    <xf numFmtId="167" fontId="1" fillId="0" borderId="8" xfId="0" applyNumberFormat="1" applyFont="1" applyBorder="1"/>
    <xf numFmtId="0" fontId="6" fillId="3" borderId="1" xfId="0" applyFont="1" applyFill="1" applyBorder="1" applyAlignment="1">
      <alignment horizontal="left"/>
    </xf>
    <xf numFmtId="167" fontId="6" fillId="3" borderId="1" xfId="2" applyNumberFormat="1" applyFont="1" applyFill="1" applyBorder="1"/>
    <xf numFmtId="0" fontId="6" fillId="3" borderId="1" xfId="0" applyFont="1" applyFill="1" applyBorder="1"/>
    <xf numFmtId="167" fontId="6" fillId="3" borderId="21" xfId="2" applyNumberFormat="1" applyFont="1" applyFill="1" applyBorder="1"/>
    <xf numFmtId="167" fontId="6" fillId="3" borderId="23" xfId="2" applyNumberFormat="1" applyFont="1" applyFill="1" applyBorder="1"/>
    <xf numFmtId="0" fontId="0" fillId="0" borderId="22" xfId="0" applyBorder="1"/>
    <xf numFmtId="0" fontId="6" fillId="3" borderId="23" xfId="0" applyFont="1" applyFill="1" applyBorder="1"/>
    <xf numFmtId="0" fontId="0" fillId="0" borderId="23" xfId="0" applyBorder="1" applyAlignment="1">
      <alignment horizontal="left"/>
    </xf>
    <xf numFmtId="0" fontId="7" fillId="0" borderId="0" xfId="0" applyFont="1" applyAlignment="1">
      <alignment horizontal="center"/>
    </xf>
    <xf numFmtId="169" fontId="6" fillId="0" borderId="0" xfId="7" applyNumberFormat="1" applyFont="1" applyAlignment="1">
      <alignment horizontal="right"/>
    </xf>
    <xf numFmtId="0" fontId="0" fillId="2" borderId="25" xfId="0" applyFill="1" applyBorder="1" applyAlignment="1">
      <alignment horizontal="center"/>
    </xf>
    <xf numFmtId="167" fontId="6" fillId="3" borderId="27" xfId="2" applyNumberFormat="1" applyFont="1" applyFill="1" applyBorder="1"/>
    <xf numFmtId="167" fontId="6" fillId="3" borderId="25" xfId="2" applyNumberFormat="1" applyFont="1" applyFill="1" applyBorder="1"/>
    <xf numFmtId="0" fontId="0" fillId="0" borderId="29" xfId="0" applyBorder="1"/>
    <xf numFmtId="0" fontId="0" fillId="0" borderId="30" xfId="0" applyBorder="1"/>
    <xf numFmtId="0" fontId="7" fillId="0" borderId="2" xfId="0" applyFont="1" applyBorder="1"/>
    <xf numFmtId="169" fontId="6" fillId="0" borderId="0" xfId="7" applyNumberFormat="1" applyFont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7" fontId="2" fillId="0" borderId="8" xfId="0" applyNumberFormat="1" applyFont="1" applyBorder="1" applyAlignment="1">
      <alignment vertical="top"/>
    </xf>
    <xf numFmtId="0" fontId="4" fillId="0" borderId="8" xfId="5" applyFont="1" applyBorder="1"/>
    <xf numFmtId="0" fontId="6" fillId="0" borderId="8" xfId="0" applyFont="1" applyBorder="1" applyAlignment="1">
      <alignment horizontal="left"/>
    </xf>
    <xf numFmtId="0" fontId="7" fillId="4" borderId="0" xfId="0" applyFont="1" applyFill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7" fontId="6" fillId="4" borderId="0" xfId="0" applyNumberFormat="1" applyFont="1" applyFill="1" applyAlignment="1">
      <alignment horizontal="right"/>
    </xf>
    <xf numFmtId="43" fontId="6" fillId="4" borderId="0" xfId="0" applyNumberFormat="1" applyFont="1" applyFill="1" applyAlignment="1">
      <alignment horizontal="right"/>
    </xf>
    <xf numFmtId="164" fontId="6" fillId="4" borderId="8" xfId="0" applyNumberFormat="1" applyFont="1" applyFill="1" applyBorder="1" applyAlignment="1">
      <alignment horizontal="right"/>
    </xf>
    <xf numFmtId="43" fontId="6" fillId="4" borderId="0" xfId="2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166" fontId="6" fillId="4" borderId="8" xfId="0" applyNumberFormat="1" applyFont="1" applyFill="1" applyBorder="1" applyAlignment="1">
      <alignment horizontal="right"/>
    </xf>
    <xf numFmtId="166" fontId="6" fillId="4" borderId="8" xfId="2" applyNumberFormat="1" applyFont="1" applyFill="1" applyBorder="1" applyAlignment="1">
      <alignment horizontal="right"/>
    </xf>
    <xf numFmtId="44" fontId="6" fillId="4" borderId="0" xfId="7" applyFont="1" applyFill="1" applyAlignment="1">
      <alignment horizontal="right"/>
    </xf>
    <xf numFmtId="0" fontId="6" fillId="4" borderId="0" xfId="0" applyFont="1" applyFill="1"/>
    <xf numFmtId="164" fontId="6" fillId="4" borderId="0" xfId="2" applyNumberFormat="1" applyFont="1" applyFill="1" applyAlignment="1">
      <alignment horizontal="right"/>
    </xf>
    <xf numFmtId="39" fontId="6" fillId="4" borderId="0" xfId="0" applyNumberFormat="1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7" fontId="6" fillId="4" borderId="8" xfId="0" applyNumberFormat="1" applyFont="1" applyFill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44" fontId="6" fillId="4" borderId="8" xfId="7" applyFont="1" applyFill="1" applyBorder="1" applyAlignment="1">
      <alignment horizontal="right"/>
    </xf>
    <xf numFmtId="39" fontId="6" fillId="4" borderId="8" xfId="0" applyNumberFormat="1" applyFont="1" applyFill="1" applyBorder="1" applyAlignment="1">
      <alignment horizontal="right"/>
    </xf>
    <xf numFmtId="7" fontId="6" fillId="4" borderId="6" xfId="0" applyNumberFormat="1" applyFont="1" applyFill="1" applyBorder="1" applyAlignment="1">
      <alignment horizontal="right"/>
    </xf>
    <xf numFmtId="44" fontId="2" fillId="0" borderId="0" xfId="7" applyFont="1" applyAlignment="1">
      <alignment vertical="top"/>
    </xf>
    <xf numFmtId="44" fontId="6" fillId="0" borderId="0" xfId="7" applyFont="1" applyAlignment="1">
      <alignment horizontal="center"/>
    </xf>
    <xf numFmtId="44" fontId="5" fillId="0" borderId="0" xfId="7" applyFont="1" applyAlignment="1">
      <alignment horizontal="right" vertical="center" wrapText="1"/>
    </xf>
    <xf numFmtId="44" fontId="5" fillId="0" borderId="0" xfId="7" applyFont="1"/>
    <xf numFmtId="44" fontId="14" fillId="0" borderId="0" xfId="7" applyFont="1" applyAlignment="1">
      <alignment vertical="top"/>
    </xf>
    <xf numFmtId="167" fontId="4" fillId="0" borderId="1" xfId="2" applyNumberFormat="1" applyBorder="1"/>
    <xf numFmtId="0" fontId="1" fillId="0" borderId="0" xfId="0" applyFont="1"/>
    <xf numFmtId="0" fontId="0" fillId="0" borderId="0" xfId="0" applyAlignment="1">
      <alignment horizontal="right"/>
    </xf>
    <xf numFmtId="41" fontId="1" fillId="0" borderId="0" xfId="0" applyNumberFormat="1" applyFont="1"/>
    <xf numFmtId="1" fontId="1" fillId="0" borderId="0" xfId="0" applyNumberFormat="1" applyFont="1"/>
    <xf numFmtId="0" fontId="4" fillId="0" borderId="0" xfId="15"/>
    <xf numFmtId="0" fontId="26" fillId="0" borderId="0" xfId="15" applyFont="1" applyAlignment="1">
      <alignment vertical="center"/>
    </xf>
    <xf numFmtId="0" fontId="27" fillId="0" borderId="0" xfId="15" applyFont="1" applyAlignment="1">
      <alignment horizontal="center" vertical="center"/>
    </xf>
    <xf numFmtId="0" fontId="28" fillId="0" borderId="0" xfId="15" applyFont="1" applyAlignment="1">
      <alignment horizontal="center" vertical="center"/>
    </xf>
    <xf numFmtId="0" fontId="29" fillId="0" borderId="0" xfId="15" applyFont="1" applyAlignment="1">
      <alignment horizontal="right" vertical="center"/>
    </xf>
    <xf numFmtId="0" fontId="27" fillId="0" borderId="0" xfId="15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0" fillId="0" borderId="0" xfId="16" quotePrefix="1" applyFont="1"/>
    <xf numFmtId="0" fontId="20" fillId="0" borderId="0" xfId="16" quotePrefix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17" applyFont="1" applyAlignment="1">
      <alignment horizontal="center"/>
    </xf>
    <xf numFmtId="183" fontId="0" fillId="0" borderId="0" xfId="0" applyNumberFormat="1"/>
    <xf numFmtId="0" fontId="6" fillId="0" borderId="0" xfId="3" applyFont="1" applyAlignment="1">
      <alignment horizontal="left"/>
    </xf>
    <xf numFmtId="16" fontId="0" fillId="0" borderId="0" xfId="0" applyNumberFormat="1" applyAlignment="1">
      <alignment horizontal="center"/>
    </xf>
    <xf numFmtId="185" fontId="27" fillId="0" borderId="0" xfId="15" applyNumberFormat="1" applyFont="1" applyAlignment="1">
      <alignment horizontal="center" vertical="center"/>
    </xf>
    <xf numFmtId="0" fontId="6" fillId="0" borderId="0" xfId="18" applyFont="1"/>
    <xf numFmtId="167" fontId="6" fillId="0" borderId="0" xfId="7" applyNumberFormat="1" applyFont="1"/>
    <xf numFmtId="0" fontId="6" fillId="0" borderId="0" xfId="5" applyFont="1"/>
    <xf numFmtId="0" fontId="0" fillId="0" borderId="0" xfId="0" applyAlignment="1">
      <alignment horizontal="center"/>
    </xf>
    <xf numFmtId="43" fontId="19" fillId="0" borderId="10" xfId="0" applyNumberFormat="1" applyFont="1" applyBorder="1"/>
    <xf numFmtId="0" fontId="4" fillId="0" borderId="0" xfId="5" applyFont="1" applyFill="1"/>
    <xf numFmtId="0" fontId="9" fillId="0" borderId="0" xfId="5" quotePrefix="1" applyFont="1" applyFill="1" applyAlignment="1">
      <alignment horizontal="left"/>
    </xf>
    <xf numFmtId="17" fontId="6" fillId="0" borderId="0" xfId="5" applyNumberFormat="1" applyFont="1" applyFill="1"/>
    <xf numFmtId="0" fontId="4" fillId="0" borderId="0" xfId="5" applyFont="1" applyFill="1" applyAlignment="1">
      <alignment horizontal="center"/>
    </xf>
    <xf numFmtId="167" fontId="4" fillId="0" borderId="0" xfId="6" applyNumberFormat="1" applyFont="1" applyFill="1"/>
    <xf numFmtId="43" fontId="15" fillId="0" borderId="0" xfId="8" applyFont="1" applyFill="1" applyAlignment="1">
      <alignment horizontal="center"/>
    </xf>
    <xf numFmtId="170" fontId="4" fillId="0" borderId="0" xfId="2" applyNumberFormat="1" applyFill="1"/>
    <xf numFmtId="0" fontId="4" fillId="0" borderId="0" xfId="5" applyFont="1" applyFill="1" applyAlignment="1">
      <alignment horizontal="right"/>
    </xf>
    <xf numFmtId="37" fontId="4" fillId="0" borderId="0" xfId="5" applyNumberFormat="1" applyFont="1" applyFill="1"/>
    <xf numFmtId="170" fontId="4" fillId="0" borderId="0" xfId="5" applyNumberFormat="1" applyFont="1" applyFill="1"/>
    <xf numFmtId="43" fontId="4" fillId="0" borderId="0" xfId="5" applyNumberFormat="1" applyFont="1" applyFill="1"/>
    <xf numFmtId="43" fontId="3" fillId="0" borderId="0" xfId="5" applyNumberFormat="1" applyFont="1" applyFill="1" applyAlignment="1">
      <alignment horizontal="left" indent="1"/>
    </xf>
    <xf numFmtId="0" fontId="7" fillId="0" borderId="0" xfId="0" applyFont="1" applyBorder="1"/>
    <xf numFmtId="166" fontId="6" fillId="0" borderId="0" xfId="0" applyNumberFormat="1" applyFont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7" fontId="6" fillId="0" borderId="0" xfId="0" applyNumberFormat="1" applyFont="1" applyBorder="1" applyAlignment="1">
      <alignment horizontal="right"/>
    </xf>
    <xf numFmtId="167" fontId="6" fillId="0" borderId="0" xfId="6" applyNumberFormat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43" fontId="4" fillId="0" borderId="0" xfId="6" applyNumberFormat="1" applyFont="1" applyFill="1"/>
    <xf numFmtId="43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39" fontId="6" fillId="0" borderId="0" xfId="7" applyNumberFormat="1" applyFont="1"/>
    <xf numFmtId="7" fontId="6" fillId="5" borderId="6" xfId="0" applyNumberFormat="1" applyFont="1" applyFill="1" applyBorder="1" applyAlignment="1">
      <alignment horizontal="right"/>
    </xf>
    <xf numFmtId="43" fontId="6" fillId="0" borderId="0" xfId="3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167" fontId="6" fillId="0" borderId="0" xfId="2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/>
    <xf numFmtId="166" fontId="6" fillId="0" borderId="7" xfId="0" applyNumberFormat="1" applyFont="1" applyFill="1" applyBorder="1" applyAlignment="1">
      <alignment horizontal="right"/>
    </xf>
    <xf numFmtId="166" fontId="6" fillId="0" borderId="8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3" fontId="6" fillId="0" borderId="0" xfId="2" applyFont="1" applyFill="1" applyAlignment="1">
      <alignment horizontal="right"/>
    </xf>
    <xf numFmtId="44" fontId="6" fillId="0" borderId="0" xfId="0" applyNumberFormat="1" applyFont="1" applyFill="1" applyAlignment="1">
      <alignment horizontal="right"/>
    </xf>
    <xf numFmtId="0" fontId="11" fillId="0" borderId="8" xfId="0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77" fontId="6" fillId="0" borderId="0" xfId="7" applyNumberFormat="1" applyFont="1" applyFill="1" applyAlignment="1">
      <alignment horizontal="right"/>
    </xf>
    <xf numFmtId="177" fontId="6" fillId="0" borderId="7" xfId="7" applyNumberFormat="1" applyFont="1" applyFill="1" applyBorder="1" applyAlignment="1">
      <alignment horizontal="right"/>
    </xf>
    <xf numFmtId="166" fontId="6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 applyBorder="1"/>
    <xf numFmtId="44" fontId="6" fillId="0" borderId="0" xfId="7" applyFont="1" applyFill="1" applyBorder="1" applyAlignment="1">
      <alignment horizontal="right"/>
    </xf>
    <xf numFmtId="170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indent="1"/>
    </xf>
    <xf numFmtId="43" fontId="6" fillId="0" borderId="8" xfId="0" applyNumberFormat="1" applyFont="1" applyFill="1" applyBorder="1" applyAlignment="1">
      <alignment horizontal="right"/>
    </xf>
    <xf numFmtId="37" fontId="6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169" fontId="6" fillId="0" borderId="0" xfId="7" applyNumberFormat="1" applyFont="1" applyFill="1"/>
    <xf numFmtId="44" fontId="6" fillId="0" borderId="0" xfId="7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73" fontId="6" fillId="0" borderId="0" xfId="0" applyNumberFormat="1" applyFont="1" applyFill="1" applyAlignment="1">
      <alignment horizontal="right"/>
    </xf>
    <xf numFmtId="175" fontId="6" fillId="0" borderId="0" xfId="7" applyNumberFormat="1" applyFont="1" applyFill="1" applyAlignment="1">
      <alignment horizontal="right"/>
    </xf>
    <xf numFmtId="171" fontId="6" fillId="0" borderId="0" xfId="7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167" fontId="6" fillId="0" borderId="8" xfId="2" applyNumberFormat="1" applyFont="1" applyFill="1" applyBorder="1" applyAlignment="1">
      <alignment horizontal="right"/>
    </xf>
    <xf numFmtId="167" fontId="6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7" fontId="6" fillId="0" borderId="8" xfId="0" applyNumberFormat="1" applyFont="1" applyFill="1" applyBorder="1" applyAlignment="1">
      <alignment horizontal="right"/>
    </xf>
    <xf numFmtId="44" fontId="6" fillId="0" borderId="8" xfId="0" applyNumberFormat="1" applyFont="1" applyFill="1" applyBorder="1" applyAlignment="1">
      <alignment horizontal="right"/>
    </xf>
    <xf numFmtId="167" fontId="6" fillId="0" borderId="8" xfId="7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>
      <alignment horizontal="right"/>
    </xf>
    <xf numFmtId="7" fontId="6" fillId="0" borderId="8" xfId="0" applyNumberFormat="1" applyFont="1" applyFill="1" applyBorder="1" applyAlignment="1">
      <alignment horizontal="right"/>
    </xf>
    <xf numFmtId="5" fontId="6" fillId="0" borderId="8" xfId="0" applyNumberFormat="1" applyFont="1" applyFill="1" applyBorder="1" applyAlignment="1">
      <alignment horizontal="right"/>
    </xf>
    <xf numFmtId="7" fontId="6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5" fontId="6" fillId="0" borderId="8" xfId="0" applyNumberFormat="1" applyFont="1" applyFill="1" applyBorder="1"/>
    <xf numFmtId="39" fontId="2" fillId="0" borderId="0" xfId="0" applyNumberFormat="1" applyFont="1" applyFill="1" applyAlignment="1">
      <alignment vertical="top"/>
    </xf>
    <xf numFmtId="177" fontId="6" fillId="0" borderId="8" xfId="7" applyNumberFormat="1" applyFont="1" applyFill="1" applyBorder="1" applyAlignment="1">
      <alignment horizontal="right"/>
    </xf>
    <xf numFmtId="39" fontId="6" fillId="0" borderId="0" xfId="0" applyNumberFormat="1" applyFont="1" applyFill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8" fontId="6" fillId="0" borderId="0" xfId="2" applyNumberFormat="1" applyFont="1" applyFill="1" applyAlignment="1">
      <alignment horizontal="right"/>
    </xf>
    <xf numFmtId="174" fontId="6" fillId="0" borderId="0" xfId="2" applyNumberFormat="1" applyFont="1" applyFill="1" applyAlignment="1">
      <alignment horizontal="right"/>
    </xf>
    <xf numFmtId="171" fontId="6" fillId="0" borderId="9" xfId="7" applyNumberFormat="1" applyFont="1" applyFill="1" applyBorder="1" applyAlignment="1">
      <alignment horizontal="center" vertical="center"/>
    </xf>
    <xf numFmtId="5" fontId="7" fillId="0" borderId="6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 wrapText="1"/>
    </xf>
    <xf numFmtId="164" fontId="20" fillId="0" borderId="1" xfId="4" applyNumberFormat="1" applyFont="1" applyFill="1" applyBorder="1" applyAlignment="1">
      <alignment horizontal="center" wrapText="1"/>
    </xf>
    <xf numFmtId="7" fontId="20" fillId="0" borderId="1" xfId="4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37" fontId="6" fillId="0" borderId="0" xfId="0" applyNumberFormat="1" applyFont="1" applyFill="1"/>
    <xf numFmtId="44" fontId="6" fillId="0" borderId="0" xfId="7" applyFont="1" applyFill="1"/>
    <xf numFmtId="166" fontId="6" fillId="0" borderId="8" xfId="0" applyNumberFormat="1" applyFont="1" applyFill="1" applyBorder="1"/>
    <xf numFmtId="37" fontId="6" fillId="0" borderId="0" xfId="7" applyNumberFormat="1" applyFont="1" applyFill="1" applyAlignment="1">
      <alignment horizontal="right"/>
    </xf>
    <xf numFmtId="39" fontId="6" fillId="0" borderId="0" xfId="7" applyNumberFormat="1" applyFont="1" applyFill="1" applyAlignment="1">
      <alignment horizontal="right"/>
    </xf>
    <xf numFmtId="166" fontId="6" fillId="0" borderId="0" xfId="7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164" fontId="6" fillId="0" borderId="8" xfId="2" applyNumberFormat="1" applyFont="1" applyFill="1" applyBorder="1" applyAlignment="1">
      <alignment horizontal="right"/>
    </xf>
    <xf numFmtId="44" fontId="6" fillId="0" borderId="8" xfId="7" applyFont="1" applyFill="1" applyBorder="1" applyAlignment="1">
      <alignment horizontal="right"/>
    </xf>
    <xf numFmtId="3" fontId="6" fillId="0" borderId="0" xfId="2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9" fontId="6" fillId="0" borderId="8" xfId="0" applyNumberFormat="1" applyFont="1" applyFill="1" applyBorder="1" applyAlignment="1">
      <alignment horizontal="right"/>
    </xf>
    <xf numFmtId="7" fontId="6" fillId="0" borderId="6" xfId="0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/>
    </xf>
    <xf numFmtId="167" fontId="6" fillId="0" borderId="0" xfId="2" applyNumberFormat="1" applyFont="1" applyFill="1" applyAlignment="1">
      <alignment horizontal="left"/>
    </xf>
    <xf numFmtId="0" fontId="0" fillId="0" borderId="0" xfId="0" applyFill="1"/>
    <xf numFmtId="5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/>
    </xf>
    <xf numFmtId="167" fontId="6" fillId="0" borderId="0" xfId="2" applyNumberFormat="1" applyFont="1" applyFill="1"/>
    <xf numFmtId="167" fontId="21" fillId="0" borderId="2" xfId="2" applyNumberFormat="1" applyFont="1" applyFill="1" applyBorder="1" applyAlignment="1">
      <alignment wrapText="1"/>
    </xf>
    <xf numFmtId="17" fontId="6" fillId="0" borderId="3" xfId="7" applyNumberFormat="1" applyFont="1" applyFill="1" applyBorder="1"/>
    <xf numFmtId="43" fontId="6" fillId="0" borderId="0" xfId="2" applyFont="1" applyFill="1"/>
    <xf numFmtId="44" fontId="6" fillId="0" borderId="0" xfId="18" applyNumberFormat="1" applyFont="1" applyFill="1"/>
    <xf numFmtId="167" fontId="5" fillId="0" borderId="0" xfId="2" applyNumberFormat="1" applyFont="1" applyFill="1"/>
    <xf numFmtId="44" fontId="5" fillId="0" borderId="0" xfId="7" applyFont="1" applyFill="1"/>
    <xf numFmtId="167" fontId="6" fillId="0" borderId="0" xfId="7" applyNumberFormat="1" applyFont="1" applyFill="1"/>
    <xf numFmtId="0" fontId="6" fillId="0" borderId="0" xfId="18" applyFont="1" applyFill="1"/>
    <xf numFmtId="177" fontId="6" fillId="0" borderId="0" xfId="7" applyNumberFormat="1" applyFont="1" applyFill="1"/>
    <xf numFmtId="0" fontId="7" fillId="0" borderId="0" xfId="18" applyFont="1" applyFill="1"/>
    <xf numFmtId="0" fontId="6" fillId="0" borderId="1" xfId="18" applyFont="1" applyFill="1" applyBorder="1"/>
    <xf numFmtId="167" fontId="21" fillId="0" borderId="6" xfId="2" applyNumberFormat="1" applyFont="1" applyFill="1" applyBorder="1" applyAlignment="1">
      <alignment wrapText="1"/>
    </xf>
    <xf numFmtId="17" fontId="6" fillId="0" borderId="6" xfId="7" applyNumberFormat="1" applyFont="1" applyFill="1" applyBorder="1"/>
    <xf numFmtId="167" fontId="33" fillId="0" borderId="0" xfId="2" applyNumberFormat="1" applyFont="1" applyFill="1"/>
    <xf numFmtId="44" fontId="33" fillId="0" borderId="0" xfId="7" applyFont="1" applyFill="1"/>
    <xf numFmtId="44" fontId="5" fillId="0" borderId="0" xfId="7" applyFont="1" applyFill="1" applyAlignment="1">
      <alignment vertical="top"/>
    </xf>
    <xf numFmtId="167" fontId="5" fillId="0" borderId="0" xfId="2" applyNumberFormat="1" applyFont="1" applyFill="1" applyAlignment="1">
      <alignment vertical="top"/>
    </xf>
    <xf numFmtId="43" fontId="33" fillId="0" borderId="0" xfId="2" applyFont="1" applyFill="1"/>
    <xf numFmtId="0" fontId="7" fillId="0" borderId="0" xfId="0" applyFont="1" applyFill="1"/>
    <xf numFmtId="43" fontId="5" fillId="0" borderId="0" xfId="2" applyFont="1" applyFill="1" applyAlignment="1">
      <alignment vertical="top"/>
    </xf>
    <xf numFmtId="43" fontId="5" fillId="0" borderId="0" xfId="2" applyFont="1" applyFill="1"/>
    <xf numFmtId="0" fontId="10" fillId="0" borderId="0" xfId="0" applyFont="1" applyFill="1"/>
    <xf numFmtId="0" fontId="24" fillId="0" borderId="0" xfId="1" applyFont="1" applyFill="1">
      <alignment vertical="top"/>
    </xf>
    <xf numFmtId="39" fontId="5" fillId="0" borderId="0" xfId="1" applyNumberFormat="1" applyFont="1" applyFill="1">
      <alignment vertical="top"/>
    </xf>
    <xf numFmtId="44" fontId="5" fillId="0" borderId="0" xfId="7" applyFont="1" applyFill="1" applyAlignment="1">
      <alignment horizontal="right" vertical="center" wrapText="1"/>
    </xf>
    <xf numFmtId="167" fontId="5" fillId="0" borderId="0" xfId="2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top"/>
    </xf>
    <xf numFmtId="4" fontId="6" fillId="0" borderId="0" xfId="18" applyNumberFormat="1" applyFont="1" applyFill="1"/>
    <xf numFmtId="43" fontId="7" fillId="0" borderId="0" xfId="2" applyFont="1" applyFill="1"/>
    <xf numFmtId="0" fontId="5" fillId="0" borderId="0" xfId="0" applyFont="1" applyFill="1" applyAlignment="1">
      <alignment horizontal="left" vertical="center" wrapText="1"/>
    </xf>
    <xf numFmtId="183" fontId="6" fillId="0" borderId="0" xfId="18" applyNumberFormat="1" applyFont="1" applyFill="1"/>
    <xf numFmtId="37" fontId="5" fillId="0" borderId="0" xfId="1" applyNumberFormat="1" applyFont="1" applyFill="1">
      <alignment vertical="top"/>
    </xf>
    <xf numFmtId="167" fontId="5" fillId="0" borderId="0" xfId="1" applyNumberFormat="1" applyFont="1" applyFill="1">
      <alignment vertical="top"/>
    </xf>
    <xf numFmtId="0" fontId="5" fillId="0" borderId="0" xfId="1" applyFont="1" applyFill="1">
      <alignment vertical="top"/>
    </xf>
    <xf numFmtId="2" fontId="6" fillId="0" borderId="0" xfId="18" applyNumberFormat="1" applyFont="1" applyFill="1"/>
    <xf numFmtId="186" fontId="6" fillId="0" borderId="0" xfId="18" applyNumberFormat="1" applyFont="1" applyFill="1"/>
    <xf numFmtId="181" fontId="6" fillId="0" borderId="0" xfId="18" applyNumberFormat="1" applyFont="1" applyFill="1"/>
    <xf numFmtId="177" fontId="5" fillId="0" borderId="0" xfId="7" applyNumberFormat="1" applyFont="1" applyFill="1" applyAlignment="1">
      <alignment vertical="top"/>
    </xf>
    <xf numFmtId="41" fontId="5" fillId="0" borderId="0" xfId="7" applyNumberFormat="1" applyFont="1" applyFill="1" applyAlignment="1">
      <alignment vertical="top"/>
    </xf>
    <xf numFmtId="37" fontId="5" fillId="0" borderId="0" xfId="7" applyNumberFormat="1" applyFont="1" applyFill="1" applyAlignment="1">
      <alignment vertical="top"/>
    </xf>
    <xf numFmtId="37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5" fontId="6" fillId="0" borderId="0" xfId="0" applyNumberFormat="1" applyFont="1" applyFill="1"/>
    <xf numFmtId="44" fontId="6" fillId="0" borderId="0" xfId="0" applyNumberFormat="1" applyFont="1" applyFill="1"/>
    <xf numFmtId="0" fontId="35" fillId="0" borderId="0" xfId="1" applyFont="1" applyFill="1">
      <alignment vertical="top"/>
    </xf>
    <xf numFmtId="167" fontId="6" fillId="0" borderId="0" xfId="2" applyNumberFormat="1" applyFont="1" applyFill="1" applyAlignment="1">
      <alignment wrapText="1"/>
    </xf>
    <xf numFmtId="167" fontId="6" fillId="0" borderId="1" xfId="2" applyNumberFormat="1" applyFont="1" applyBorder="1"/>
    <xf numFmtId="0" fontId="7" fillId="0" borderId="1" xfId="0" applyFont="1" applyFill="1" applyBorder="1" applyAlignment="1">
      <alignment horizontal="left"/>
    </xf>
    <xf numFmtId="43" fontId="7" fillId="0" borderId="1" xfId="2" applyFont="1" applyFill="1" applyBorder="1"/>
    <xf numFmtId="0" fontId="7" fillId="7" borderId="1" xfId="0" applyFont="1" applyFill="1" applyBorder="1" applyAlignment="1">
      <alignment horizontal="left"/>
    </xf>
    <xf numFmtId="43" fontId="7" fillId="7" borderId="1" xfId="2" applyFont="1" applyFill="1" applyBorder="1"/>
    <xf numFmtId="0" fontId="7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2" applyFont="1" applyBorder="1"/>
    <xf numFmtId="167" fontId="7" fillId="0" borderId="1" xfId="2" applyNumberFormat="1" applyFont="1" applyBorder="1"/>
    <xf numFmtId="43" fontId="6" fillId="3" borderId="1" xfId="2" applyFont="1" applyFill="1" applyBorder="1"/>
    <xf numFmtId="43" fontId="7" fillId="3" borderId="1" xfId="2" applyFont="1" applyFill="1" applyBorder="1"/>
    <xf numFmtId="167" fontId="6" fillId="0" borderId="20" xfId="2" applyNumberFormat="1" applyFont="1" applyBorder="1"/>
    <xf numFmtId="43" fontId="7" fillId="0" borderId="20" xfId="2" applyFont="1" applyBorder="1"/>
    <xf numFmtId="167" fontId="7" fillId="3" borderId="20" xfId="2" applyNumberFormat="1" applyFont="1" applyFill="1" applyBorder="1"/>
    <xf numFmtId="167" fontId="7" fillId="3" borderId="4" xfId="2" applyNumberFormat="1" applyFont="1" applyFill="1" applyBorder="1"/>
    <xf numFmtId="167" fontId="6" fillId="3" borderId="20" xfId="2" applyNumberFormat="1" applyFont="1" applyFill="1" applyBorder="1"/>
    <xf numFmtId="167" fontId="6" fillId="3" borderId="1" xfId="0" applyNumberFormat="1" applyFont="1" applyFill="1" applyBorder="1"/>
    <xf numFmtId="0" fontId="7" fillId="0" borderId="23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1" xfId="2" applyNumberFormat="1" applyFont="1" applyBorder="1"/>
    <xf numFmtId="2" fontId="6" fillId="0" borderId="5" xfId="2" applyNumberFormat="1" applyFont="1" applyBorder="1"/>
    <xf numFmtId="2" fontId="6" fillId="0" borderId="20" xfId="2" applyNumberFormat="1" applyFont="1" applyBorder="1"/>
    <xf numFmtId="2" fontId="6" fillId="0" borderId="20" xfId="0" applyNumberFormat="1" applyFont="1" applyBorder="1"/>
    <xf numFmtId="2" fontId="6" fillId="0" borderId="4" xfId="2" applyNumberFormat="1" applyFont="1" applyBorder="1"/>
    <xf numFmtId="2" fontId="6" fillId="0" borderId="24" xfId="0" applyNumberFormat="1" applyFont="1" applyBorder="1"/>
    <xf numFmtId="1" fontId="6" fillId="0" borderId="1" xfId="0" applyNumberFormat="1" applyFont="1" applyBorder="1"/>
    <xf numFmtId="167" fontId="6" fillId="0" borderId="5" xfId="2" applyNumberFormat="1" applyFont="1" applyBorder="1"/>
    <xf numFmtId="167" fontId="6" fillId="0" borderId="4" xfId="2" applyNumberFormat="1" applyFont="1" applyBorder="1"/>
    <xf numFmtId="167" fontId="6" fillId="0" borderId="24" xfId="2" applyNumberFormat="1" applyFont="1" applyBorder="1"/>
    <xf numFmtId="167" fontId="0" fillId="0" borderId="1" xfId="2" applyNumberFormat="1" applyFont="1" applyFill="1" applyBorder="1"/>
    <xf numFmtId="167" fontId="0" fillId="0" borderId="25" xfId="2" applyNumberFormat="1" applyFont="1" applyFill="1" applyBorder="1"/>
    <xf numFmtId="167" fontId="0" fillId="0" borderId="21" xfId="2" applyNumberFormat="1" applyFont="1" applyFill="1" applyBorder="1"/>
    <xf numFmtId="167" fontId="0" fillId="0" borderId="23" xfId="2" applyNumberFormat="1" applyFont="1" applyFill="1" applyBorder="1"/>
    <xf numFmtId="167" fontId="0" fillId="0" borderId="27" xfId="2" applyNumberFormat="1" applyFont="1" applyFill="1" applyBorder="1"/>
    <xf numFmtId="167" fontId="0" fillId="7" borderId="20" xfId="2" applyNumberFormat="1" applyFont="1" applyFill="1" applyBorder="1"/>
    <xf numFmtId="167" fontId="0" fillId="7" borderId="21" xfId="2" applyNumberFormat="1" applyFont="1" applyFill="1" applyBorder="1"/>
    <xf numFmtId="167" fontId="0" fillId="7" borderId="1" xfId="2" applyNumberFormat="1" applyFont="1" applyFill="1" applyBorder="1"/>
    <xf numFmtId="167" fontId="1" fillId="0" borderId="0" xfId="2" applyNumberFormat="1" applyFont="1" applyFill="1"/>
    <xf numFmtId="167" fontId="1" fillId="0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67" fontId="6" fillId="0" borderId="25" xfId="2" applyNumberFormat="1" applyFont="1" applyBorder="1"/>
    <xf numFmtId="0" fontId="0" fillId="0" borderId="15" xfId="0" applyFill="1" applyBorder="1" applyAlignment="1">
      <alignment horizontal="center"/>
    </xf>
    <xf numFmtId="43" fontId="7" fillId="0" borderId="25" xfId="2" applyFont="1" applyFill="1" applyBorder="1"/>
    <xf numFmtId="43" fontId="7" fillId="7" borderId="25" xfId="2" applyFont="1" applyFill="1" applyBorder="1"/>
    <xf numFmtId="43" fontId="7" fillId="0" borderId="25" xfId="2" applyFont="1" applyBorder="1"/>
    <xf numFmtId="43" fontId="7" fillId="0" borderId="24" xfId="2" applyFont="1" applyBorder="1"/>
    <xf numFmtId="1" fontId="6" fillId="0" borderId="25" xfId="0" applyNumberFormat="1" applyFont="1" applyBorder="1"/>
    <xf numFmtId="167" fontId="0" fillId="0" borderId="25" xfId="2" applyNumberFormat="1" applyFont="1" applyBorder="1"/>
    <xf numFmtId="167" fontId="1" fillId="0" borderId="25" xfId="2" applyNumberFormat="1" applyFont="1" applyBorder="1"/>
    <xf numFmtId="2" fontId="0" fillId="0" borderId="25" xfId="0" applyNumberFormat="1" applyBorder="1"/>
    <xf numFmtId="167" fontId="4" fillId="0" borderId="25" xfId="2" applyNumberFormat="1" applyBorder="1"/>
    <xf numFmtId="0" fontId="0" fillId="0" borderId="17" xfId="0" applyBorder="1" applyAlignment="1">
      <alignment horizontal="left"/>
    </xf>
    <xf numFmtId="167" fontId="0" fillId="7" borderId="24" xfId="2" applyNumberFormat="1" applyFont="1" applyFill="1" applyBorder="1"/>
    <xf numFmtId="167" fontId="0" fillId="0" borderId="26" xfId="2" applyNumberFormat="1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17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44" fontId="6" fillId="4" borderId="0" xfId="7" applyFont="1" applyFill="1" applyBorder="1" applyAlignment="1">
      <alignment horizontal="right"/>
    </xf>
    <xf numFmtId="167" fontId="7" fillId="0" borderId="0" xfId="2" applyNumberFormat="1" applyFont="1" applyFill="1" applyAlignment="1">
      <alignment horizontal="right"/>
    </xf>
    <xf numFmtId="167" fontId="20" fillId="0" borderId="1" xfId="2" applyNumberFormat="1" applyFont="1" applyBorder="1" applyAlignment="1">
      <alignment horizontal="center" wrapText="1"/>
    </xf>
    <xf numFmtId="0" fontId="6" fillId="4" borderId="6" xfId="0" applyFont="1" applyFill="1" applyBorder="1" applyAlignment="1">
      <alignment horizontal="right"/>
    </xf>
    <xf numFmtId="167" fontId="6" fillId="0" borderId="8" xfId="2" applyNumberFormat="1" applyFont="1" applyFill="1" applyBorder="1" applyAlignment="1">
      <alignment horizontal="left"/>
    </xf>
    <xf numFmtId="44" fontId="6" fillId="0" borderId="0" xfId="0" applyNumberFormat="1" applyFont="1"/>
    <xf numFmtId="177" fontId="6" fillId="0" borderId="0" xfId="0" applyNumberFormat="1" applyFont="1" applyFill="1" applyAlignment="1">
      <alignment horizontal="right"/>
    </xf>
    <xf numFmtId="0" fontId="20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6" fontId="17" fillId="0" borderId="0" xfId="0" applyNumberFormat="1" applyFont="1" applyFill="1" applyAlignment="1">
      <alignment horizontal="right"/>
    </xf>
    <xf numFmtId="0" fontId="20" fillId="0" borderId="1" xfId="0" applyFont="1" applyFill="1" applyBorder="1" applyAlignment="1">
      <alignment horizontal="center" wrapText="1"/>
    </xf>
    <xf numFmtId="168" fontId="20" fillId="0" borderId="1" xfId="4" applyNumberFormat="1" applyFont="1" applyFill="1" applyBorder="1" applyAlignment="1">
      <alignment horizontal="center" wrapText="1"/>
    </xf>
    <xf numFmtId="169" fontId="6" fillId="0" borderId="0" xfId="7" applyNumberFormat="1" applyFont="1" applyFill="1" applyAlignment="1">
      <alignment horizontal="right"/>
    </xf>
    <xf numFmtId="0" fontId="16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/>
    </xf>
    <xf numFmtId="1" fontId="6" fillId="0" borderId="8" xfId="0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0" fillId="0" borderId="29" xfId="0" applyFill="1" applyBorder="1"/>
    <xf numFmtId="0" fontId="0" fillId="0" borderId="16" xfId="0" applyFill="1" applyBorder="1"/>
    <xf numFmtId="167" fontId="0" fillId="0" borderId="0" xfId="2" applyNumberFormat="1" applyFont="1" applyFill="1"/>
    <xf numFmtId="183" fontId="0" fillId="0" borderId="0" xfId="0" applyNumberFormat="1" applyFill="1"/>
    <xf numFmtId="0" fontId="37" fillId="0" borderId="0" xfId="13" applyFont="1" applyFill="1"/>
    <xf numFmtId="0" fontId="15" fillId="0" borderId="0" xfId="13" applyFont="1" applyFill="1"/>
    <xf numFmtId="0" fontId="22" fillId="0" borderId="4" xfId="13" applyFont="1" applyFill="1" applyBorder="1"/>
    <xf numFmtId="0" fontId="22" fillId="0" borderId="7" xfId="13" applyFont="1" applyFill="1" applyBorder="1"/>
    <xf numFmtId="0" fontId="22" fillId="0" borderId="32" xfId="13" applyFont="1" applyFill="1" applyBorder="1"/>
    <xf numFmtId="0" fontId="22" fillId="0" borderId="0" xfId="13" applyFont="1" applyFill="1"/>
    <xf numFmtId="0" fontId="22" fillId="0" borderId="31" xfId="13" applyFont="1" applyFill="1" applyBorder="1"/>
    <xf numFmtId="0" fontId="22" fillId="0" borderId="8" xfId="13" applyFont="1" applyFill="1" applyBorder="1"/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166" fontId="0" fillId="0" borderId="0" xfId="0" applyNumberFormat="1" applyFill="1"/>
    <xf numFmtId="3" fontId="0" fillId="0" borderId="0" xfId="0" applyNumberFormat="1" applyFill="1"/>
    <xf numFmtId="179" fontId="0" fillId="0" borderId="0" xfId="0" applyNumberFormat="1" applyFill="1"/>
    <xf numFmtId="3" fontId="0" fillId="0" borderId="16" xfId="0" applyNumberFormat="1" applyFill="1" applyBorder="1" applyAlignment="1">
      <alignment horizontal="right"/>
    </xf>
    <xf numFmtId="167" fontId="0" fillId="0" borderId="0" xfId="2" applyNumberFormat="1" applyFont="1" applyFill="1" applyAlignment="1">
      <alignment horizontal="center"/>
    </xf>
    <xf numFmtId="2" fontId="0" fillId="0" borderId="0" xfId="0" applyNumberFormat="1" applyFill="1"/>
    <xf numFmtId="0" fontId="0" fillId="0" borderId="16" xfId="0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44" fontId="0" fillId="0" borderId="0" xfId="7" applyFont="1" applyFill="1"/>
    <xf numFmtId="44" fontId="0" fillId="0" borderId="0" xfId="0" applyNumberFormat="1" applyFill="1"/>
    <xf numFmtId="10" fontId="0" fillId="0" borderId="0" xfId="12" applyNumberFormat="1" applyFont="1" applyFill="1"/>
    <xf numFmtId="0" fontId="0" fillId="0" borderId="28" xfId="0" applyFill="1" applyBorder="1" applyAlignment="1">
      <alignment horizontal="center"/>
    </xf>
    <xf numFmtId="166" fontId="0" fillId="0" borderId="29" xfId="0" applyNumberFormat="1" applyFill="1" applyBorder="1"/>
    <xf numFmtId="3" fontId="0" fillId="0" borderId="29" xfId="0" applyNumberFormat="1" applyFill="1" applyBorder="1"/>
    <xf numFmtId="170" fontId="0" fillId="0" borderId="29" xfId="0" applyNumberFormat="1" applyFill="1" applyBorder="1" applyAlignment="1">
      <alignment horizontal="center"/>
    </xf>
    <xf numFmtId="179" fontId="0" fillId="0" borderId="29" xfId="0" applyNumberFormat="1" applyFill="1" applyBorder="1"/>
    <xf numFmtId="1" fontId="0" fillId="0" borderId="30" xfId="0" applyNumberFormat="1" applyFill="1" applyBorder="1" applyAlignment="1">
      <alignment horizontal="center"/>
    </xf>
    <xf numFmtId="164" fontId="0" fillId="0" borderId="13" xfId="0" applyNumberFormat="1" applyFill="1" applyBorder="1"/>
    <xf numFmtId="3" fontId="0" fillId="0" borderId="13" xfId="0" applyNumberFormat="1" applyFill="1" applyBorder="1"/>
    <xf numFmtId="179" fontId="0" fillId="0" borderId="13" xfId="0" applyNumberFormat="1" applyFill="1" applyBorder="1"/>
    <xf numFmtId="170" fontId="0" fillId="0" borderId="15" xfId="0" applyNumberFormat="1" applyFill="1" applyBorder="1" applyAlignment="1">
      <alignment horizontal="center"/>
    </xf>
    <xf numFmtId="164" fontId="0" fillId="0" borderId="0" xfId="0" applyNumberFormat="1" applyFill="1"/>
    <xf numFmtId="170" fontId="0" fillId="0" borderId="28" xfId="0" applyNumberFormat="1" applyFill="1" applyBorder="1" applyAlignment="1">
      <alignment horizontal="center"/>
    </xf>
    <xf numFmtId="164" fontId="0" fillId="0" borderId="29" xfId="0" applyNumberFormat="1" applyFill="1" applyBorder="1"/>
    <xf numFmtId="0" fontId="0" fillId="0" borderId="30" xfId="0" applyFill="1" applyBorder="1"/>
    <xf numFmtId="0" fontId="0" fillId="0" borderId="0" xfId="0" applyFill="1" applyAlignment="1">
      <alignment wrapText="1"/>
    </xf>
    <xf numFmtId="0" fontId="0" fillId="0" borderId="15" xfId="0" applyFill="1" applyBorder="1"/>
    <xf numFmtId="14" fontId="0" fillId="0" borderId="0" xfId="0" applyNumberFormat="1" applyFill="1"/>
    <xf numFmtId="167" fontId="0" fillId="0" borderId="16" xfId="2" applyNumberFormat="1" applyFont="1" applyFill="1" applyBorder="1"/>
    <xf numFmtId="167" fontId="0" fillId="0" borderId="0" xfId="0" applyNumberFormat="1" applyFill="1"/>
    <xf numFmtId="3" fontId="24" fillId="0" borderId="0" xfId="0" applyNumberFormat="1" applyFont="1" applyFill="1"/>
    <xf numFmtId="37" fontId="4" fillId="0" borderId="0" xfId="14" applyNumberFormat="1" applyFont="1" applyFill="1"/>
    <xf numFmtId="3" fontId="5" fillId="0" borderId="0" xfId="0" applyNumberFormat="1" applyFont="1" applyFill="1"/>
    <xf numFmtId="37" fontId="0" fillId="0" borderId="0" xfId="0" applyNumberFormat="1" applyFill="1"/>
    <xf numFmtId="0" fontId="0" fillId="0" borderId="28" xfId="0" applyFill="1" applyBorder="1"/>
    <xf numFmtId="167" fontId="0" fillId="0" borderId="29" xfId="0" applyNumberFormat="1" applyFill="1" applyBorder="1"/>
    <xf numFmtId="167" fontId="0" fillId="0" borderId="30" xfId="0" applyNumberFormat="1" applyFill="1" applyBorder="1"/>
    <xf numFmtId="166" fontId="0" fillId="0" borderId="13" xfId="0" applyNumberFormat="1" applyFill="1" applyBorder="1" applyAlignment="1">
      <alignment horizontal="center"/>
    </xf>
    <xf numFmtId="37" fontId="0" fillId="0" borderId="13" xfId="0" applyNumberFormat="1" applyFill="1" applyBorder="1"/>
    <xf numFmtId="37" fontId="0" fillId="0" borderId="14" xfId="0" applyNumberFormat="1" applyFill="1" applyBorder="1"/>
    <xf numFmtId="166" fontId="0" fillId="0" borderId="29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30" xfId="0" applyNumberFormat="1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32" xfId="0" applyFill="1" applyBorder="1" applyAlignment="1">
      <alignment vertical="center" wrapText="1"/>
    </xf>
    <xf numFmtId="5" fontId="0" fillId="0" borderId="10" xfId="7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44" fontId="0" fillId="0" borderId="10" xfId="7" applyFont="1" applyFill="1" applyBorder="1" applyAlignment="1">
      <alignment horizontal="center" vertical="center"/>
    </xf>
    <xf numFmtId="5" fontId="0" fillId="0" borderId="10" xfId="0" applyNumberForma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32" xfId="0" applyFont="1" applyFill="1" applyBorder="1" applyAlignment="1">
      <alignment vertical="center" wrapText="1"/>
    </xf>
    <xf numFmtId="5" fontId="1" fillId="0" borderId="10" xfId="7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44" fontId="0" fillId="0" borderId="5" xfId="7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 wrapText="1"/>
    </xf>
    <xf numFmtId="0" fontId="0" fillId="0" borderId="8" xfId="0" applyFill="1" applyBorder="1"/>
    <xf numFmtId="44" fontId="0" fillId="0" borderId="22" xfId="7" applyFont="1" applyFill="1" applyBorder="1" applyAlignment="1">
      <alignment horizontal="center" vertical="center"/>
    </xf>
    <xf numFmtId="5" fontId="0" fillId="0" borderId="22" xfId="7" applyNumberFormat="1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10" fontId="0" fillId="0" borderId="1" xfId="0" applyNumberFormat="1" applyFill="1" applyBorder="1" applyAlignment="1">
      <alignment horizont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20" xfId="0" applyFill="1" applyBorder="1"/>
    <xf numFmtId="0" fontId="1" fillId="0" borderId="20" xfId="0" applyFont="1" applyFill="1" applyBorder="1"/>
    <xf numFmtId="3" fontId="0" fillId="0" borderId="20" xfId="0" applyNumberFormat="1" applyFill="1" applyBorder="1"/>
    <xf numFmtId="3" fontId="0" fillId="0" borderId="23" xfId="0" applyNumberFormat="1" applyFill="1" applyBorder="1"/>
    <xf numFmtId="10" fontId="0" fillId="0" borderId="23" xfId="0" applyNumberForma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183" fontId="0" fillId="0" borderId="23" xfId="0" applyNumberFormat="1" applyFill="1" applyBorder="1"/>
    <xf numFmtId="177" fontId="0" fillId="0" borderId="23" xfId="7" applyNumberFormat="1" applyFont="1" applyFill="1" applyBorder="1"/>
    <xf numFmtId="182" fontId="0" fillId="0" borderId="23" xfId="0" applyNumberFormat="1" applyFill="1" applyBorder="1"/>
    <xf numFmtId="0" fontId="1" fillId="0" borderId="23" xfId="0" applyFont="1" applyFill="1" applyBorder="1"/>
    <xf numFmtId="3" fontId="0" fillId="0" borderId="23" xfId="0" applyNumberFormat="1" applyFill="1" applyBorder="1" applyAlignment="1">
      <alignment horizontal="center"/>
    </xf>
    <xf numFmtId="179" fontId="0" fillId="0" borderId="23" xfId="0" applyNumberFormat="1" applyFill="1" applyBorder="1"/>
    <xf numFmtId="0" fontId="1" fillId="0" borderId="1" xfId="0" applyFont="1" applyFill="1" applyBorder="1"/>
    <xf numFmtId="3" fontId="0" fillId="0" borderId="35" xfId="0" applyNumberFormat="1" applyFill="1" applyBorder="1" applyAlignment="1">
      <alignment horizontal="center"/>
    </xf>
    <xf numFmtId="10" fontId="0" fillId="0" borderId="10" xfId="0" applyNumberFormat="1" applyFill="1" applyBorder="1"/>
    <xf numFmtId="0" fontId="0" fillId="0" borderId="21" xfId="0" applyFill="1" applyBorder="1"/>
    <xf numFmtId="3" fontId="0" fillId="0" borderId="8" xfId="0" applyNumberFormat="1" applyFill="1" applyBorder="1"/>
    <xf numFmtId="10" fontId="0" fillId="0" borderId="22" xfId="0" applyNumberFormat="1" applyFill="1" applyBorder="1"/>
    <xf numFmtId="10" fontId="0" fillId="0" borderId="0" xfId="0" applyNumberFormat="1" applyFill="1"/>
    <xf numFmtId="0" fontId="6" fillId="0" borderId="0" xfId="5" applyFont="1" applyFill="1"/>
    <xf numFmtId="0" fontId="9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1" fillId="0" borderId="0" xfId="5" applyFont="1" applyFill="1"/>
    <xf numFmtId="167" fontId="4" fillId="0" borderId="0" xfId="5" applyNumberFormat="1" applyFont="1" applyFill="1"/>
    <xf numFmtId="0" fontId="3" fillId="0" borderId="0" xfId="5" applyFont="1" applyFill="1" applyAlignment="1">
      <alignment horizontal="left" indent="1"/>
    </xf>
    <xf numFmtId="43" fontId="4" fillId="0" borderId="0" xfId="6" applyFont="1" applyFill="1"/>
    <xf numFmtId="0" fontId="0" fillId="0" borderId="0" xfId="5" applyFont="1" applyFill="1"/>
    <xf numFmtId="0" fontId="3" fillId="0" borderId="0" xfId="5" applyFont="1" applyFill="1"/>
    <xf numFmtId="0" fontId="3" fillId="0" borderId="0" xfId="5" applyFont="1" applyFill="1" applyAlignment="1">
      <alignment horizontal="left"/>
    </xf>
    <xf numFmtId="0" fontId="4" fillId="0" borderId="0" xfId="5" applyFont="1" applyFill="1" applyAlignment="1">
      <alignment horizontal="left" indent="1"/>
    </xf>
    <xf numFmtId="3" fontId="0" fillId="0" borderId="0" xfId="0" applyNumberFormat="1"/>
    <xf numFmtId="18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29" xfId="0" applyFont="1" applyFill="1" applyBorder="1"/>
    <xf numFmtId="0" fontId="42" fillId="0" borderId="45" xfId="0" applyFont="1" applyFill="1" applyBorder="1" applyAlignment="1">
      <alignment horizontal="center"/>
    </xf>
    <xf numFmtId="0" fontId="42" fillId="0" borderId="8" xfId="0" applyFont="1" applyFill="1" applyBorder="1"/>
    <xf numFmtId="184" fontId="42" fillId="0" borderId="21" xfId="0" applyNumberFormat="1" applyFont="1" applyFill="1" applyBorder="1"/>
    <xf numFmtId="184" fontId="42" fillId="0" borderId="26" xfId="0" applyNumberFormat="1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0" fontId="6" fillId="0" borderId="1" xfId="12" applyNumberFormat="1" applyFont="1" applyFill="1" applyBorder="1"/>
    <xf numFmtId="10" fontId="6" fillId="0" borderId="2" xfId="12" applyNumberFormat="1" applyFont="1" applyFill="1" applyBorder="1"/>
    <xf numFmtId="0" fontId="6" fillId="0" borderId="35" xfId="0" applyFont="1" applyFill="1" applyBorder="1"/>
    <xf numFmtId="0" fontId="7" fillId="0" borderId="39" xfId="0" applyFont="1" applyFill="1" applyBorder="1" applyAlignment="1">
      <alignment horizontal="center"/>
    </xf>
    <xf numFmtId="0" fontId="43" fillId="0" borderId="0" xfId="20" applyFont="1" applyFill="1"/>
    <xf numFmtId="0" fontId="42" fillId="0" borderId="15" xfId="0" applyFont="1" applyFill="1" applyBorder="1" applyAlignment="1">
      <alignment horizontal="center"/>
    </xf>
    <xf numFmtId="167" fontId="6" fillId="0" borderId="38" xfId="2" applyNumberFormat="1" applyFont="1" applyFill="1" applyBorder="1"/>
    <xf numFmtId="0" fontId="7" fillId="0" borderId="35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0" xfId="0" applyFont="1" applyFill="1" applyAlignment="1">
      <alignment horizontal="left"/>
    </xf>
    <xf numFmtId="0" fontId="6" fillId="0" borderId="16" xfId="0" applyFont="1" applyFill="1" applyBorder="1"/>
    <xf numFmtId="0" fontId="6" fillId="0" borderId="15" xfId="0" applyFont="1" applyFill="1" applyBorder="1" applyAlignment="1">
      <alignment horizontal="left"/>
    </xf>
    <xf numFmtId="43" fontId="6" fillId="0" borderId="16" xfId="2" applyFont="1" applyFill="1" applyBorder="1"/>
    <xf numFmtId="43" fontId="6" fillId="0" borderId="8" xfId="2" applyFont="1" applyFill="1" applyBorder="1"/>
    <xf numFmtId="43" fontId="6" fillId="0" borderId="40" xfId="2" applyFont="1" applyFill="1" applyBorder="1"/>
    <xf numFmtId="180" fontId="6" fillId="0" borderId="0" xfId="0" applyNumberFormat="1" applyFont="1" applyFill="1"/>
    <xf numFmtId="0" fontId="7" fillId="0" borderId="0" xfId="0" applyFont="1" applyFill="1" applyAlignment="1">
      <alignment wrapText="1"/>
    </xf>
    <xf numFmtId="43" fontId="6" fillId="0" borderId="35" xfId="0" applyNumberFormat="1" applyFont="1" applyFill="1" applyBorder="1"/>
    <xf numFmtId="43" fontId="6" fillId="0" borderId="41" xfId="0" applyNumberFormat="1" applyFont="1" applyFill="1" applyBorder="1"/>
    <xf numFmtId="43" fontId="6" fillId="0" borderId="39" xfId="0" applyNumberFormat="1" applyFont="1" applyFill="1" applyBorder="1"/>
    <xf numFmtId="43" fontId="6" fillId="0" borderId="38" xfId="2" applyFont="1" applyFill="1" applyBorder="1"/>
    <xf numFmtId="180" fontId="6" fillId="0" borderId="0" xfId="2" applyNumberFormat="1" applyFont="1" applyFill="1"/>
    <xf numFmtId="180" fontId="6" fillId="0" borderId="16" xfId="2" applyNumberFormat="1" applyFont="1" applyFill="1" applyBorder="1"/>
    <xf numFmtId="167" fontId="6" fillId="0" borderId="0" xfId="0" applyNumberFormat="1" applyFont="1" applyFill="1"/>
    <xf numFmtId="167" fontId="6" fillId="0" borderId="35" xfId="0" applyNumberFormat="1" applyFont="1" applyFill="1" applyBorder="1"/>
    <xf numFmtId="0" fontId="6" fillId="0" borderId="15" xfId="0" applyFont="1" applyFill="1" applyBorder="1"/>
    <xf numFmtId="167" fontId="6" fillId="0" borderId="16" xfId="2" applyNumberFormat="1" applyFont="1" applyFill="1" applyBorder="1"/>
    <xf numFmtId="167" fontId="42" fillId="0" borderId="0" xfId="2" applyNumberFormat="1" applyFont="1" applyFill="1"/>
    <xf numFmtId="43" fontId="6" fillId="0" borderId="35" xfId="2" applyFont="1" applyFill="1" applyBorder="1"/>
    <xf numFmtId="43" fontId="42" fillId="0" borderId="0" xfId="2" applyFont="1" applyFill="1"/>
    <xf numFmtId="43" fontId="6" fillId="0" borderId="0" xfId="0" applyNumberFormat="1" applyFont="1" applyFill="1"/>
    <xf numFmtId="183" fontId="6" fillId="0" borderId="0" xfId="0" applyNumberFormat="1" applyFont="1" applyFill="1"/>
    <xf numFmtId="0" fontId="6" fillId="0" borderId="29" xfId="0" applyFont="1" applyFill="1" applyBorder="1" applyAlignment="1">
      <alignment horizontal="right"/>
    </xf>
    <xf numFmtId="43" fontId="6" fillId="0" borderId="44" xfId="2" applyFont="1" applyFill="1" applyBorder="1"/>
    <xf numFmtId="43" fontId="6" fillId="0" borderId="7" xfId="2" applyFont="1" applyFill="1" applyBorder="1"/>
    <xf numFmtId="0" fontId="6" fillId="0" borderId="13" xfId="0" applyFont="1" applyFill="1" applyBorder="1" applyAlignment="1">
      <alignment horizontal="left"/>
    </xf>
    <xf numFmtId="167" fontId="6" fillId="0" borderId="13" xfId="2" applyNumberFormat="1" applyFont="1" applyFill="1" applyBorder="1"/>
    <xf numFmtId="0" fontId="6" fillId="0" borderId="43" xfId="0" applyFont="1" applyFill="1" applyBorder="1"/>
    <xf numFmtId="0" fontId="6" fillId="0" borderId="13" xfId="0" applyFont="1" applyFill="1" applyBorder="1"/>
    <xf numFmtId="0" fontId="6" fillId="0" borderId="12" xfId="0" applyFont="1" applyFill="1" applyBorder="1"/>
    <xf numFmtId="43" fontId="6" fillId="0" borderId="13" xfId="2" applyFont="1" applyFill="1" applyBorder="1"/>
    <xf numFmtId="167" fontId="6" fillId="0" borderId="14" xfId="2" applyNumberFormat="1" applyFont="1" applyFill="1" applyBorder="1"/>
    <xf numFmtId="0" fontId="6" fillId="0" borderId="42" xfId="0" applyFont="1" applyFill="1" applyBorder="1"/>
    <xf numFmtId="0" fontId="6" fillId="0" borderId="29" xfId="0" applyFont="1" applyFill="1" applyBorder="1" applyAlignment="1">
      <alignment horizontal="left"/>
    </xf>
    <xf numFmtId="0" fontId="44" fillId="0" borderId="0" xfId="0" applyFont="1" applyFill="1"/>
    <xf numFmtId="0" fontId="6" fillId="0" borderId="28" xfId="0" applyFont="1" applyFill="1" applyBorder="1" applyAlignment="1">
      <alignment horizontal="left"/>
    </xf>
    <xf numFmtId="0" fontId="6" fillId="0" borderId="43" xfId="0" applyFont="1" applyFill="1" applyBorder="1" applyAlignment="1">
      <alignment horizontal="left"/>
    </xf>
    <xf numFmtId="167" fontId="6" fillId="0" borderId="43" xfId="2" applyNumberFormat="1" applyFont="1" applyFill="1" applyBorder="1"/>
    <xf numFmtId="0" fontId="6" fillId="0" borderId="0" xfId="19" applyFont="1" applyFill="1"/>
    <xf numFmtId="0" fontId="6" fillId="0" borderId="1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43" fontId="6" fillId="0" borderId="29" xfId="0" applyNumberFormat="1" applyFont="1" applyFill="1" applyBorder="1"/>
    <xf numFmtId="0" fontId="6" fillId="0" borderId="30" xfId="0" applyFont="1" applyFill="1" applyBorder="1"/>
    <xf numFmtId="0" fontId="6" fillId="0" borderId="34" xfId="0" applyFont="1" applyFill="1" applyBorder="1"/>
    <xf numFmtId="0" fontId="6" fillId="0" borderId="1" xfId="0" applyFont="1" applyFill="1" applyBorder="1" applyAlignment="1">
      <alignment wrapText="1"/>
    </xf>
    <xf numFmtId="184" fontId="22" fillId="0" borderId="31" xfId="0" applyNumberFormat="1" applyFont="1" applyFill="1" applyBorder="1" applyAlignment="1">
      <alignment horizontal="center"/>
    </xf>
    <xf numFmtId="184" fontId="22" fillId="0" borderId="8" xfId="0" applyNumberFormat="1" applyFont="1" applyFill="1" applyBorder="1" applyAlignment="1">
      <alignment horizontal="center"/>
    </xf>
    <xf numFmtId="184" fontId="22" fillId="0" borderId="37" xfId="0" applyNumberFormat="1" applyFont="1" applyFill="1" applyBorder="1"/>
    <xf numFmtId="43" fontId="6" fillId="0" borderId="23" xfId="0" applyNumberFormat="1" applyFont="1" applyFill="1" applyBorder="1"/>
    <xf numFmtId="43" fontId="6" fillId="0" borderId="21" xfId="0" applyNumberFormat="1" applyFont="1" applyFill="1" applyBorder="1"/>
    <xf numFmtId="184" fontId="22" fillId="0" borderId="36" xfId="0" applyNumberFormat="1" applyFont="1" applyFill="1" applyBorder="1"/>
    <xf numFmtId="43" fontId="4" fillId="0" borderId="0" xfId="2" applyFont="1" applyFill="1"/>
    <xf numFmtId="167" fontId="6" fillId="0" borderId="1" xfId="2" applyNumberFormat="1" applyFont="1" applyFill="1" applyBorder="1"/>
    <xf numFmtId="49" fontId="6" fillId="0" borderId="1" xfId="2" applyNumberFormat="1" applyFont="1" applyFill="1" applyBorder="1"/>
    <xf numFmtId="188" fontId="6" fillId="0" borderId="0" xfId="3" applyNumberFormat="1" applyFont="1" applyFill="1"/>
    <xf numFmtId="188" fontId="6" fillId="0" borderId="0" xfId="3" applyNumberFormat="1" applyFont="1"/>
    <xf numFmtId="43" fontId="19" fillId="0" borderId="10" xfId="2" applyFont="1" applyFill="1" applyBorder="1"/>
    <xf numFmtId="49" fontId="0" fillId="0" borderId="0" xfId="0" applyNumberFormat="1" applyFill="1"/>
    <xf numFmtId="188" fontId="6" fillId="0" borderId="8" xfId="2" applyNumberFormat="1" applyFont="1" applyFill="1" applyBorder="1"/>
    <xf numFmtId="188" fontId="6" fillId="0" borderId="0" xfId="2" applyNumberFormat="1" applyFont="1" applyFill="1"/>
    <xf numFmtId="167" fontId="6" fillId="0" borderId="0" xfId="0" applyNumberFormat="1" applyFont="1" applyFill="1" applyBorder="1" applyAlignment="1">
      <alignment horizontal="right"/>
    </xf>
    <xf numFmtId="167" fontId="17" fillId="0" borderId="0" xfId="0" applyNumberFormat="1" applyFont="1"/>
    <xf numFmtId="167" fontId="0" fillId="7" borderId="2" xfId="2" applyNumberFormat="1" applyFont="1" applyFill="1" applyBorder="1"/>
    <xf numFmtId="167" fontId="0" fillId="7" borderId="31" xfId="2" applyNumberFormat="1" applyFont="1" applyFill="1" applyBorder="1"/>
    <xf numFmtId="167" fontId="0" fillId="7" borderId="23" xfId="2" applyNumberFormat="1" applyFont="1" applyFill="1" applyBorder="1"/>
    <xf numFmtId="167" fontId="0" fillId="7" borderId="27" xfId="2" applyNumberFormat="1" applyFont="1" applyFill="1" applyBorder="1"/>
    <xf numFmtId="43" fontId="0" fillId="0" borderId="0" xfId="0" applyNumberFormat="1"/>
    <xf numFmtId="174" fontId="6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39" fontId="6" fillId="4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177" fontId="17" fillId="0" borderId="0" xfId="7" applyNumberFormat="1" applyFont="1" applyFill="1" applyAlignment="1">
      <alignment horizontal="right"/>
    </xf>
    <xf numFmtId="44" fontId="17" fillId="0" borderId="0" xfId="7" applyFont="1" applyFill="1" applyAlignment="1">
      <alignment horizontal="right"/>
    </xf>
    <xf numFmtId="0" fontId="17" fillId="0" borderId="0" xfId="0" applyFont="1"/>
    <xf numFmtId="167" fontId="0" fillId="0" borderId="0" xfId="2" applyNumberFormat="1" applyFont="1" applyFill="1" applyBorder="1"/>
    <xf numFmtId="0" fontId="0" fillId="2" borderId="51" xfId="0" applyFill="1" applyBorder="1" applyAlignment="1">
      <alignment horizontal="center"/>
    </xf>
    <xf numFmtId="0" fontId="0" fillId="0" borderId="51" xfId="0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0" fillId="3" borderId="51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6" fillId="0" borderId="51" xfId="0" applyFont="1" applyBorder="1"/>
    <xf numFmtId="0" fontId="0" fillId="0" borderId="48" xfId="0" applyBorder="1" applyAlignment="1">
      <alignment horizontal="left"/>
    </xf>
    <xf numFmtId="167" fontId="0" fillId="0" borderId="29" xfId="2" applyNumberFormat="1" applyFont="1" applyFill="1" applyBorder="1"/>
    <xf numFmtId="167" fontId="0" fillId="0" borderId="30" xfId="2" applyNumberFormat="1" applyFont="1" applyFill="1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7" fontId="6" fillId="3" borderId="2" xfId="2" applyNumberFormat="1" applyFont="1" applyFill="1" applyBorder="1"/>
    <xf numFmtId="167" fontId="6" fillId="3" borderId="2" xfId="0" applyNumberFormat="1" applyFont="1" applyFill="1" applyBorder="1"/>
    <xf numFmtId="167" fontId="6" fillId="3" borderId="4" xfId="2" applyNumberFormat="1" applyFont="1" applyFill="1" applyBorder="1"/>
    <xf numFmtId="43" fontId="7" fillId="3" borderId="2" xfId="2" applyFont="1" applyFill="1" applyBorder="1"/>
    <xf numFmtId="167" fontId="1" fillId="0" borderId="2" xfId="2" applyNumberFormat="1" applyFont="1" applyBorder="1"/>
    <xf numFmtId="167" fontId="6" fillId="8" borderId="0" xfId="2" applyNumberFormat="1" applyFont="1" applyFill="1" applyAlignment="1">
      <alignment horizontal="right"/>
    </xf>
    <xf numFmtId="0" fontId="0" fillId="8" borderId="0" xfId="0" applyFill="1"/>
    <xf numFmtId="167" fontId="6" fillId="8" borderId="0" xfId="2" applyNumberFormat="1" applyFont="1" applyFill="1"/>
    <xf numFmtId="167" fontId="1" fillId="0" borderId="0" xfId="0" applyNumberFormat="1" applyFont="1" applyFill="1"/>
    <xf numFmtId="0" fontId="6" fillId="0" borderId="0" xfId="0" applyFont="1" applyFill="1" applyBorder="1"/>
    <xf numFmtId="0" fontId="45" fillId="0" borderId="0" xfId="0" applyFont="1"/>
    <xf numFmtId="167" fontId="6" fillId="0" borderId="2" xfId="2" applyNumberFormat="1" applyFont="1" applyBorder="1"/>
    <xf numFmtId="167" fontId="7" fillId="0" borderId="2" xfId="2" applyNumberFormat="1" applyFont="1" applyBorder="1"/>
    <xf numFmtId="167" fontId="6" fillId="0" borderId="0" xfId="0" applyNumberFormat="1" applyFont="1" applyFill="1" applyBorder="1"/>
    <xf numFmtId="0" fontId="11" fillId="0" borderId="0" xfId="0" applyFont="1" applyFill="1" applyBorder="1"/>
    <xf numFmtId="167" fontId="6" fillId="0" borderId="0" xfId="2" applyNumberFormat="1" applyFont="1" applyFill="1" applyBorder="1"/>
    <xf numFmtId="43" fontId="46" fillId="3" borderId="1" xfId="2" applyFont="1" applyFill="1" applyBorder="1"/>
    <xf numFmtId="167" fontId="4" fillId="0" borderId="0" xfId="2" applyNumberFormat="1" applyFont="1" applyFill="1" applyAlignment="1">
      <alignment horizontal="center"/>
    </xf>
    <xf numFmtId="178" fontId="6" fillId="0" borderId="0" xfId="0" applyNumberFormat="1" applyFont="1" applyFill="1" applyBorder="1"/>
    <xf numFmtId="167" fontId="5" fillId="0" borderId="0" xfId="2" applyNumberFormat="1" applyFont="1" applyAlignment="1">
      <alignment horizontal="right" vertical="center" wrapText="1"/>
    </xf>
    <xf numFmtId="167" fontId="17" fillId="9" borderId="0" xfId="2" applyNumberFormat="1" applyFont="1" applyFill="1"/>
    <xf numFmtId="167" fontId="3" fillId="0" borderId="0" xfId="0" applyNumberFormat="1" applyFont="1"/>
    <xf numFmtId="0" fontId="0" fillId="0" borderId="15" xfId="0" applyBorder="1" applyAlignment="1">
      <alignment horizontal="center"/>
    </xf>
    <xf numFmtId="0" fontId="6" fillId="8" borderId="0" xfId="0" applyFont="1" applyFill="1" applyAlignment="1">
      <alignment horizontal="center"/>
    </xf>
    <xf numFmtId="167" fontId="6" fillId="8" borderId="0" xfId="2" applyNumberFormat="1" applyFont="1" applyFill="1" applyAlignment="1">
      <alignment horizontal="center"/>
    </xf>
    <xf numFmtId="5" fontId="7" fillId="8" borderId="8" xfId="0" applyNumberFormat="1" applyFont="1" applyFill="1" applyBorder="1" applyAlignment="1">
      <alignment horizontal="right"/>
    </xf>
    <xf numFmtId="168" fontId="6" fillId="8" borderId="0" xfId="0" applyNumberFormat="1" applyFont="1" applyFill="1" applyAlignment="1">
      <alignment horizontal="right"/>
    </xf>
    <xf numFmtId="166" fontId="6" fillId="8" borderId="8" xfId="0" applyNumberFormat="1" applyFont="1" applyFill="1" applyBorder="1" applyAlignment="1">
      <alignment horizontal="right"/>
    </xf>
    <xf numFmtId="166" fontId="6" fillId="8" borderId="0" xfId="0" applyNumberFormat="1" applyFont="1" applyFill="1" applyAlignment="1">
      <alignment horizontal="right"/>
    </xf>
    <xf numFmtId="177" fontId="6" fillId="8" borderId="0" xfId="7" applyNumberFormat="1" applyFont="1" applyFill="1" applyAlignment="1">
      <alignment horizontal="right"/>
    </xf>
    <xf numFmtId="177" fontId="6" fillId="8" borderId="8" xfId="7" applyNumberFormat="1" applyFont="1" applyFill="1" applyBorder="1" applyAlignment="1">
      <alignment horizontal="right"/>
    </xf>
    <xf numFmtId="169" fontId="6" fillId="8" borderId="0" xfId="7" applyNumberFormat="1" applyFont="1" applyFill="1" applyAlignment="1">
      <alignment horizontal="right"/>
    </xf>
    <xf numFmtId="0" fontId="6" fillId="8" borderId="0" xfId="0" applyFont="1" applyFill="1" applyAlignment="1">
      <alignment horizontal="right"/>
    </xf>
    <xf numFmtId="3" fontId="6" fillId="8" borderId="0" xfId="0" applyNumberFormat="1" applyFont="1" applyFill="1" applyAlignment="1">
      <alignment horizontal="right"/>
    </xf>
    <xf numFmtId="164" fontId="6" fillId="8" borderId="0" xfId="0" applyNumberFormat="1" applyFont="1" applyFill="1" applyBorder="1" applyAlignment="1">
      <alignment horizontal="right"/>
    </xf>
    <xf numFmtId="3" fontId="6" fillId="8" borderId="8" xfId="0" applyNumberFormat="1" applyFont="1" applyFill="1" applyBorder="1" applyAlignment="1">
      <alignment horizontal="right"/>
    </xf>
    <xf numFmtId="164" fontId="6" fillId="8" borderId="8" xfId="0" applyNumberFormat="1" applyFont="1" applyFill="1" applyBorder="1" applyAlignment="1">
      <alignment horizontal="right"/>
    </xf>
    <xf numFmtId="3" fontId="6" fillId="8" borderId="0" xfId="0" applyNumberFormat="1" applyFont="1" applyFill="1" applyBorder="1" applyAlignment="1">
      <alignment horizontal="right"/>
    </xf>
    <xf numFmtId="44" fontId="6" fillId="8" borderId="0" xfId="7" applyFont="1" applyFill="1" applyAlignment="1">
      <alignment horizontal="right"/>
    </xf>
    <xf numFmtId="164" fontId="6" fillId="8" borderId="0" xfId="0" applyNumberFormat="1" applyFont="1" applyFill="1" applyAlignment="1">
      <alignment horizontal="right"/>
    </xf>
    <xf numFmtId="2" fontId="6" fillId="8" borderId="0" xfId="0" applyNumberFormat="1" applyFont="1" applyFill="1" applyAlignment="1">
      <alignment horizontal="right"/>
    </xf>
    <xf numFmtId="167" fontId="6" fillId="8" borderId="8" xfId="2" applyNumberFormat="1" applyFont="1" applyFill="1" applyBorder="1" applyAlignment="1">
      <alignment horizontal="right"/>
    </xf>
    <xf numFmtId="164" fontId="6" fillId="8" borderId="0" xfId="7" applyNumberFormat="1" applyFont="1" applyFill="1" applyAlignment="1">
      <alignment horizontal="right"/>
    </xf>
    <xf numFmtId="177" fontId="6" fillId="8" borderId="0" xfId="7" applyNumberFormat="1" applyFont="1" applyFill="1" applyBorder="1" applyAlignment="1">
      <alignment horizontal="right"/>
    </xf>
    <xf numFmtId="43" fontId="7" fillId="8" borderId="1" xfId="2" applyFont="1" applyFill="1" applyBorder="1"/>
    <xf numFmtId="17" fontId="0" fillId="8" borderId="0" xfId="0" applyNumberFormat="1" applyFill="1"/>
    <xf numFmtId="43" fontId="6" fillId="8" borderId="1" xfId="2" applyFont="1" applyFill="1" applyBorder="1"/>
    <xf numFmtId="43" fontId="7" fillId="8" borderId="1" xfId="2" applyNumberFormat="1" applyFont="1" applyFill="1" applyBorder="1"/>
    <xf numFmtId="43" fontId="7" fillId="8" borderId="25" xfId="2" applyFont="1" applyFill="1" applyBorder="1"/>
    <xf numFmtId="167" fontId="6" fillId="8" borderId="0" xfId="0" applyNumberFormat="1" applyFont="1" applyFill="1" applyBorder="1"/>
    <xf numFmtId="43" fontId="7" fillId="8" borderId="2" xfId="2" applyFont="1" applyFill="1" applyBorder="1"/>
    <xf numFmtId="43" fontId="7" fillId="8" borderId="3" xfId="2" applyFont="1" applyFill="1" applyBorder="1"/>
    <xf numFmtId="0" fontId="0" fillId="8" borderId="1" xfId="0" applyFill="1" applyBorder="1" applyAlignment="1">
      <alignment horizontal="left"/>
    </xf>
    <xf numFmtId="167" fontId="0" fillId="8" borderId="1" xfId="2" applyNumberFormat="1" applyFont="1" applyFill="1" applyBorder="1"/>
    <xf numFmtId="167" fontId="0" fillId="8" borderId="25" xfId="2" applyNumberFormat="1" applyFont="1" applyFill="1" applyBorder="1"/>
    <xf numFmtId="0" fontId="1" fillId="8" borderId="1" xfId="0" applyFont="1" applyFill="1" applyBorder="1" applyAlignment="1">
      <alignment horizontal="left"/>
    </xf>
    <xf numFmtId="167" fontId="1" fillId="8" borderId="1" xfId="2" applyNumberFormat="1" applyFont="1" applyFill="1" applyBorder="1"/>
    <xf numFmtId="167" fontId="1" fillId="8" borderId="2" xfId="2" applyNumberFormat="1" applyFont="1" applyFill="1" applyBorder="1"/>
    <xf numFmtId="167" fontId="7" fillId="8" borderId="1" xfId="2" applyNumberFormat="1" applyFont="1" applyFill="1" applyBorder="1"/>
    <xf numFmtId="167" fontId="7" fillId="8" borderId="2" xfId="2" applyNumberFormat="1" applyFont="1" applyFill="1" applyBorder="1"/>
    <xf numFmtId="167" fontId="0" fillId="8" borderId="46" xfId="2" applyNumberFormat="1" applyFont="1" applyFill="1" applyBorder="1"/>
    <xf numFmtId="167" fontId="0" fillId="8" borderId="37" xfId="2" applyNumberFormat="1" applyFont="1" applyFill="1" applyBorder="1"/>
    <xf numFmtId="167" fontId="1" fillId="8" borderId="14" xfId="0" applyNumberFormat="1" applyFont="1" applyFill="1" applyBorder="1"/>
    <xf numFmtId="167" fontId="0" fillId="8" borderId="47" xfId="2" applyNumberFormat="1" applyFont="1" applyFill="1" applyBorder="1"/>
    <xf numFmtId="167" fontId="0" fillId="8" borderId="21" xfId="2" applyNumberFormat="1" applyFont="1" applyFill="1" applyBorder="1"/>
    <xf numFmtId="167" fontId="1" fillId="8" borderId="16" xfId="0" applyNumberFormat="1" applyFont="1" applyFill="1" applyBorder="1"/>
    <xf numFmtId="167" fontId="0" fillId="8" borderId="48" xfId="2" applyNumberFormat="1" applyFont="1" applyFill="1" applyBorder="1"/>
    <xf numFmtId="167" fontId="0" fillId="8" borderId="49" xfId="2" applyNumberFormat="1" applyFont="1" applyFill="1" applyBorder="1"/>
    <xf numFmtId="167" fontId="0" fillId="8" borderId="50" xfId="2" applyNumberFormat="1" applyFont="1" applyFill="1" applyBorder="1"/>
    <xf numFmtId="167" fontId="1" fillId="8" borderId="30" xfId="0" applyNumberFormat="1" applyFont="1" applyFill="1" applyBorder="1"/>
    <xf numFmtId="167" fontId="7" fillId="8" borderId="0" xfId="2" applyNumberFormat="1" applyFont="1" applyFill="1" applyAlignment="1">
      <alignment horizontal="center"/>
    </xf>
    <xf numFmtId="1" fontId="7" fillId="8" borderId="0" xfId="0" applyNumberFormat="1" applyFont="1" applyFill="1"/>
    <xf numFmtId="167" fontId="7" fillId="8" borderId="0" xfId="2" applyNumberFormat="1" applyFont="1" applyFill="1"/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0" fontId="6" fillId="8" borderId="1" xfId="0" applyFont="1" applyFill="1" applyBorder="1"/>
    <xf numFmtId="167" fontId="6" fillId="8" borderId="21" xfId="2" applyNumberFormat="1" applyFont="1" applyFill="1" applyBorder="1"/>
    <xf numFmtId="0" fontId="0" fillId="8" borderId="12" xfId="0" applyFill="1" applyBorder="1"/>
    <xf numFmtId="0" fontId="0" fillId="8" borderId="14" xfId="0" applyFill="1" applyBorder="1"/>
    <xf numFmtId="0" fontId="1" fillId="8" borderId="15" xfId="0" applyFont="1" applyFill="1" applyBorder="1"/>
    <xf numFmtId="0" fontId="0" fillId="8" borderId="16" xfId="0" applyFill="1" applyBorder="1"/>
    <xf numFmtId="17" fontId="1" fillId="8" borderId="15" xfId="0" applyNumberFormat="1" applyFont="1" applyFill="1" applyBorder="1"/>
    <xf numFmtId="0" fontId="0" fillId="8" borderId="15" xfId="0" applyFill="1" applyBorder="1"/>
    <xf numFmtId="167" fontId="0" fillId="8" borderId="16" xfId="2" applyNumberFormat="1" applyFont="1" applyFill="1" applyBorder="1"/>
    <xf numFmtId="167" fontId="0" fillId="8" borderId="40" xfId="2" applyNumberFormat="1" applyFont="1" applyFill="1" applyBorder="1"/>
    <xf numFmtId="0" fontId="0" fillId="8" borderId="28" xfId="0" applyFill="1" applyBorder="1"/>
    <xf numFmtId="0" fontId="0" fillId="8" borderId="30" xfId="0" applyFill="1" applyBorder="1"/>
    <xf numFmtId="0" fontId="0" fillId="8" borderId="0" xfId="0" applyFill="1" applyAlignment="1">
      <alignment horizontal="right"/>
    </xf>
    <xf numFmtId="167" fontId="0" fillId="8" borderId="36" xfId="2" applyNumberFormat="1" applyFont="1" applyFill="1" applyBorder="1"/>
    <xf numFmtId="167" fontId="0" fillId="8" borderId="51" xfId="2" applyNumberFormat="1" applyFont="1" applyFill="1" applyBorder="1"/>
    <xf numFmtId="0" fontId="0" fillId="8" borderId="15" xfId="0" applyFill="1" applyBorder="1" applyAlignment="1">
      <alignment horizontal="center"/>
    </xf>
    <xf numFmtId="167" fontId="1" fillId="8" borderId="0" xfId="0" applyNumberFormat="1" applyFont="1" applyFill="1"/>
    <xf numFmtId="0" fontId="6" fillId="8" borderId="23" xfId="0" applyFont="1" applyFill="1" applyBorder="1"/>
    <xf numFmtId="167" fontId="6" fillId="8" borderId="1" xfId="2" applyNumberFormat="1" applyFont="1" applyFill="1" applyBorder="1"/>
    <xf numFmtId="0" fontId="6" fillId="8" borderId="1" xfId="0" applyFont="1" applyFill="1" applyBorder="1" applyAlignment="1">
      <alignment horizontal="left"/>
    </xf>
    <xf numFmtId="167" fontId="0" fillId="8" borderId="0" xfId="0" applyNumberFormat="1" applyFill="1"/>
    <xf numFmtId="7" fontId="6" fillId="8" borderId="6" xfId="0" applyNumberFormat="1" applyFont="1" applyFill="1" applyBorder="1" applyAlignment="1">
      <alignment horizontal="right"/>
    </xf>
    <xf numFmtId="5" fontId="7" fillId="8" borderId="6" xfId="0" applyNumberFormat="1" applyFont="1" applyFill="1" applyBorder="1" applyAlignment="1">
      <alignment horizontal="right"/>
    </xf>
    <xf numFmtId="177" fontId="6" fillId="8" borderId="8" xfId="0" applyNumberFormat="1" applyFont="1" applyFill="1" applyBorder="1" applyAlignment="1">
      <alignment horizontal="right"/>
    </xf>
    <xf numFmtId="177" fontId="7" fillId="8" borderId="6" xfId="0" applyNumberFormat="1" applyFont="1" applyFill="1" applyBorder="1" applyAlignment="1">
      <alignment horizontal="right"/>
    </xf>
    <xf numFmtId="177" fontId="7" fillId="8" borderId="8" xfId="0" applyNumberFormat="1" applyFont="1" applyFill="1" applyBorder="1" applyAlignment="1">
      <alignment horizontal="right"/>
    </xf>
    <xf numFmtId="177" fontId="6" fillId="8" borderId="0" xfId="0" applyNumberFormat="1" applyFont="1" applyFill="1" applyAlignment="1">
      <alignment horizontal="right"/>
    </xf>
    <xf numFmtId="164" fontId="6" fillId="8" borderId="0" xfId="2" applyNumberFormat="1" applyFont="1" applyFill="1" applyAlignment="1">
      <alignment horizontal="right"/>
    </xf>
    <xf numFmtId="169" fontId="6" fillId="8" borderId="0" xfId="7" applyNumberFormat="1" applyFont="1" applyFill="1"/>
    <xf numFmtId="167" fontId="6" fillId="8" borderId="0" xfId="0" applyNumberFormat="1" applyFont="1" applyFill="1" applyAlignment="1">
      <alignment horizontal="right"/>
    </xf>
    <xf numFmtId="167" fontId="6" fillId="8" borderId="23" xfId="2" applyNumberFormat="1" applyFont="1" applyFill="1" applyBorder="1"/>
    <xf numFmtId="183" fontId="0" fillId="8" borderId="23" xfId="0" applyNumberFormat="1" applyFill="1" applyBorder="1"/>
    <xf numFmtId="3" fontId="0" fillId="8" borderId="23" xfId="0" applyNumberFormat="1" applyFill="1" applyBorder="1"/>
    <xf numFmtId="182" fontId="0" fillId="8" borderId="23" xfId="0" applyNumberFormat="1" applyFill="1" applyBorder="1"/>
    <xf numFmtId="3" fontId="1" fillId="8" borderId="23" xfId="0" applyNumberFormat="1" applyFont="1" applyFill="1" applyBorder="1"/>
    <xf numFmtId="10" fontId="0" fillId="8" borderId="23" xfId="0" applyNumberFormat="1" applyFill="1" applyBorder="1"/>
    <xf numFmtId="177" fontId="0" fillId="8" borderId="23" xfId="7" applyNumberFormat="1" applyFont="1" applyFill="1" applyBorder="1"/>
    <xf numFmtId="182" fontId="1" fillId="8" borderId="23" xfId="0" applyNumberFormat="1" applyFont="1" applyFill="1" applyBorder="1"/>
    <xf numFmtId="10" fontId="1" fillId="8" borderId="23" xfId="0" applyNumberFormat="1" applyFont="1" applyFill="1" applyBorder="1"/>
    <xf numFmtId="3" fontId="0" fillId="8" borderId="1" xfId="0" applyNumberFormat="1" applyFill="1" applyBorder="1"/>
    <xf numFmtId="179" fontId="0" fillId="8" borderId="2" xfId="0" applyNumberFormat="1" applyFill="1" applyBorder="1"/>
    <xf numFmtId="3" fontId="0" fillId="8" borderId="33" xfId="0" applyNumberFormat="1" applyFill="1" applyBorder="1"/>
    <xf numFmtId="10" fontId="0" fillId="8" borderId="3" xfId="0" applyNumberFormat="1" applyFill="1" applyBorder="1"/>
    <xf numFmtId="1" fontId="0" fillId="8" borderId="16" xfId="0" applyNumberFormat="1" applyFill="1" applyBorder="1" applyAlignment="1">
      <alignment horizontal="right"/>
    </xf>
    <xf numFmtId="166" fontId="0" fillId="8" borderId="0" xfId="0" applyNumberFormat="1" applyFill="1"/>
    <xf numFmtId="166" fontId="6" fillId="8" borderId="0" xfId="0" applyNumberFormat="1" applyFont="1" applyFill="1"/>
    <xf numFmtId="3" fontId="0" fillId="8" borderId="0" xfId="0" applyNumberFormat="1" applyFill="1"/>
    <xf numFmtId="179" fontId="0" fillId="8" borderId="0" xfId="0" applyNumberFormat="1" applyFill="1"/>
    <xf numFmtId="167" fontId="0" fillId="8" borderId="0" xfId="2" applyNumberFormat="1" applyFont="1" applyFill="1"/>
    <xf numFmtId="167" fontId="0" fillId="8" borderId="29" xfId="0" applyNumberFormat="1" applyFill="1" applyBorder="1"/>
    <xf numFmtId="164" fontId="0" fillId="8" borderId="0" xfId="0" applyNumberFormat="1" applyFill="1" applyAlignment="1">
      <alignment horizontal="center"/>
    </xf>
    <xf numFmtId="164" fontId="0" fillId="8" borderId="16" xfId="0" applyNumberFormat="1" applyFill="1" applyBorder="1" applyAlignment="1">
      <alignment horizontal="center"/>
    </xf>
    <xf numFmtId="44" fontId="4" fillId="0" borderId="10" xfId="7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vertical="center" wrapText="1"/>
    </xf>
    <xf numFmtId="5" fontId="1" fillId="8" borderId="10" xfId="7" applyNumberFormat="1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horizontal="left" vertical="center" wrapText="1"/>
    </xf>
    <xf numFmtId="5" fontId="4" fillId="8" borderId="10" xfId="7" applyNumberFormat="1" applyFont="1" applyFill="1" applyBorder="1" applyAlignment="1">
      <alignment horizontal="center" vertical="center"/>
    </xf>
    <xf numFmtId="0" fontId="0" fillId="8" borderId="32" xfId="0" applyFill="1" applyBorder="1" applyAlignment="1">
      <alignment vertical="center" wrapText="1"/>
    </xf>
    <xf numFmtId="5" fontId="0" fillId="8" borderId="10" xfId="0" applyNumberFormat="1" applyFill="1" applyBorder="1" applyAlignment="1">
      <alignment horizontal="center"/>
    </xf>
    <xf numFmtId="5" fontId="1" fillId="8" borderId="10" xfId="0" applyNumberFormat="1" applyFont="1" applyFill="1" applyBorder="1" applyAlignment="1">
      <alignment horizontal="center"/>
    </xf>
    <xf numFmtId="0" fontId="25" fillId="8" borderId="32" xfId="0" applyFont="1" applyFill="1" applyBorder="1" applyAlignment="1">
      <alignment horizontal="left"/>
    </xf>
    <xf numFmtId="0" fontId="0" fillId="0" borderId="32" xfId="0" applyFill="1" applyBorder="1"/>
    <xf numFmtId="0" fontId="0" fillId="8" borderId="32" xfId="0" applyFill="1" applyBorder="1"/>
    <xf numFmtId="0" fontId="25" fillId="8" borderId="32" xfId="0" applyFont="1" applyFill="1" applyBorder="1" applyAlignment="1">
      <alignment horizontal="left" vertical="center"/>
    </xf>
    <xf numFmtId="5" fontId="0" fillId="8" borderId="10" xfId="7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/>
    </xf>
    <xf numFmtId="0" fontId="29" fillId="8" borderId="0" xfId="0" applyFont="1" applyFill="1"/>
    <xf numFmtId="0" fontId="20" fillId="8" borderId="0" xfId="0" applyFont="1" applyFill="1" applyAlignment="1">
      <alignment horizontal="center"/>
    </xf>
    <xf numFmtId="0" fontId="1" fillId="8" borderId="0" xfId="0" applyFont="1" applyFill="1" applyAlignment="1">
      <alignment horizontal="right"/>
    </xf>
    <xf numFmtId="0" fontId="0" fillId="8" borderId="0" xfId="0" applyFill="1" applyAlignment="1">
      <alignment horizontal="center"/>
    </xf>
    <xf numFmtId="0" fontId="1" fillId="8" borderId="0" xfId="0" applyFont="1" applyFill="1" applyAlignment="1">
      <alignment horizontal="right" wrapText="1"/>
    </xf>
    <xf numFmtId="167" fontId="0" fillId="8" borderId="0" xfId="2" applyNumberFormat="1" applyFont="1" applyFill="1" applyAlignment="1">
      <alignment horizontal="center"/>
    </xf>
    <xf numFmtId="167" fontId="0" fillId="8" borderId="8" xfId="2" applyNumberFormat="1" applyFont="1" applyFill="1" applyBorder="1"/>
    <xf numFmtId="167" fontId="6" fillId="8" borderId="0" xfId="0" applyNumberFormat="1" applyFont="1" applyFill="1"/>
    <xf numFmtId="3" fontId="0" fillId="8" borderId="4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8" borderId="32" xfId="0" applyFont="1" applyFill="1" applyBorder="1" applyAlignment="1">
      <alignment vertical="center" wrapText="1"/>
    </xf>
    <xf numFmtId="170" fontId="0" fillId="8" borderId="0" xfId="0" applyNumberFormat="1" applyFill="1" applyAlignment="1">
      <alignment horizontal="left"/>
    </xf>
    <xf numFmtId="170" fontId="0" fillId="8" borderId="0" xfId="0" applyNumberFormat="1" applyFill="1" applyAlignment="1">
      <alignment horizontal="center"/>
    </xf>
    <xf numFmtId="0" fontId="4" fillId="8" borderId="0" xfId="15" applyFill="1"/>
    <xf numFmtId="164" fontId="0" fillId="8" borderId="0" xfId="0" applyNumberFormat="1" applyFill="1"/>
    <xf numFmtId="0" fontId="6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6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1" fillId="0" borderId="0" xfId="17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8" borderId="8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7" fontId="1" fillId="8" borderId="2" xfId="0" applyNumberFormat="1" applyFont="1" applyFill="1" applyBorder="1" applyAlignment="1">
      <alignment horizontal="center"/>
    </xf>
    <xf numFmtId="167" fontId="1" fillId="8" borderId="3" xfId="0" applyNumberFormat="1" applyFont="1" applyFill="1" applyBorder="1" applyAlignment="1">
      <alignment horizontal="center"/>
    </xf>
    <xf numFmtId="167" fontId="1" fillId="8" borderId="45" xfId="0" applyNumberFormat="1" applyFont="1" applyFill="1" applyBorder="1" applyAlignment="1">
      <alignment horizontal="center"/>
    </xf>
    <xf numFmtId="167" fontId="1" fillId="8" borderId="8" xfId="0" applyNumberFormat="1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29" xfId="0" applyFont="1" applyFill="1" applyBorder="1" applyAlignment="1">
      <alignment horizontal="center"/>
    </xf>
  </cellXfs>
  <cellStyles count="21">
    <cellStyle name="20% - Accent1 2 2 10 3" xfId="19" xr:uid="{850447BE-4ADA-4DDF-B873-D3573DAFF4DB}"/>
    <cellStyle name="Comma" xfId="2" builtinId="3"/>
    <cellStyle name="Comma 2" xfId="4" xr:uid="{00000000-0005-0000-0000-000001000000}"/>
    <cellStyle name="Comma 2 3" xfId="8" xr:uid="{00000000-0005-0000-0000-000002000000}"/>
    <cellStyle name="Comma 3" xfId="6" xr:uid="{00000000-0005-0000-0000-000003000000}"/>
    <cellStyle name="Currency" xfId="7" builtinId="4"/>
    <cellStyle name="Currency 2" xfId="11" xr:uid="{00000000-0005-0000-0000-000005000000}"/>
    <cellStyle name="Hyperlink" xfId="20" builtinId="8"/>
    <cellStyle name="Normal" xfId="0" builtinId="0"/>
    <cellStyle name="Normal 10 2 2" xfId="14" xr:uid="{00000000-0005-0000-0000-000007000000}"/>
    <cellStyle name="Normal 2" xfId="3" xr:uid="{00000000-0005-0000-0000-000008000000}"/>
    <cellStyle name="Normal 2 2" xfId="18" xr:uid="{4420B9D4-C883-4F15-8A49-2E132F4E4059}"/>
    <cellStyle name="Normal 2 3 3" xfId="1" xr:uid="{00000000-0005-0000-0000-000009000000}"/>
    <cellStyle name="Normal 3" xfId="5" xr:uid="{00000000-0005-0000-0000-00000A000000}"/>
    <cellStyle name="Normal 41" xfId="13" xr:uid="{00000000-0005-0000-0000-00000B000000}"/>
    <cellStyle name="Normal 54" xfId="15" xr:uid="{00000000-0005-0000-0000-00000C000000}"/>
    <cellStyle name="Normal 89" xfId="17" xr:uid="{00000000-0005-0000-0000-00000D000000}"/>
    <cellStyle name="Normal 94" xfId="16" xr:uid="{00000000-0005-0000-0000-00000E000000}"/>
    <cellStyle name="Percent" xfId="12" builtinId="5"/>
    <cellStyle name="Percent 2" xfId="9" xr:uid="{00000000-0005-0000-0000-000010000000}"/>
    <cellStyle name="Percent 3" xfId="10" xr:uid="{00000000-0005-0000-0000-000011000000}"/>
  </cellStyles>
  <dxfs count="0"/>
  <tableStyles count="0" defaultTableStyle="TableStyleMedium2" defaultPivotStyle="PivotStyleLight16"/>
  <colors>
    <mruColors>
      <color rgb="FFFFFF99"/>
      <color rgb="FF99FF33"/>
      <color rgb="FFCCFFFF"/>
      <color rgb="FF0000FF"/>
      <color rgb="FFCCFF99"/>
      <color rgb="FFFF9933"/>
      <color rgb="FFCCCCFF"/>
      <color rgb="FFFFCC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E7C7F5-6E0F-4A11-9CC4-A4471D9639EF}"/>
            </a:ext>
          </a:extLst>
        </xdr:cNvPr>
        <xdr:cNvSpPr txBox="1"/>
      </xdr:nvSpPr>
      <xdr:spPr>
        <a:xfrm>
          <a:off x="1" y="7810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950B88F-3BD8-403A-996C-C573264625D9}"/>
            </a:ext>
          </a:extLst>
        </xdr:cNvPr>
        <xdr:cNvCxnSpPr/>
      </xdr:nvCxnSpPr>
      <xdr:spPr>
        <a:xfrm flipH="1">
          <a:off x="609600" y="762000"/>
          <a:ext cx="2" cy="1914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88E799D-5051-4ADD-8F9D-757A8EA1BA69}"/>
            </a:ext>
          </a:extLst>
        </xdr:cNvPr>
        <xdr:cNvCxnSpPr/>
      </xdr:nvCxnSpPr>
      <xdr:spPr>
        <a:xfrm>
          <a:off x="47625" y="2676525"/>
          <a:ext cx="561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45774B-970C-41D1-BD4F-FE8FE25A262E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AEADA9-60C6-4D08-8460-A278A3A017BA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8044A31-EFA3-41F8-91E0-FA4F2A85226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091DAA-82BA-42E8-BAC8-F4BD3EBF4E12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5A3D0A7-BE5F-43D2-8C78-78F1171738A2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CD9A315-D2E0-4724-AAF8-1E1B23FBEF11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336FF5-7CBA-4831-B58E-54CF756CBA58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2AB511-240A-42A8-9F09-A2298296805C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F2E5048-C867-42C6-AFED-00D7F21F879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0</xdr:rowOff>
    </xdr:from>
    <xdr:to>
      <xdr:col>4</xdr:col>
      <xdr:colOff>300562</xdr:colOff>
      <xdr:row>22</xdr:row>
      <xdr:rowOff>30816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5DD430-7849-4438-8E54-464496AFF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182880"/>
          <a:ext cx="3859102" cy="3871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opher.mickelso\Desktop\UG-200568%20CNGC%20Exh%20MCP%202-6%20and%20WP-1%2007.10.20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s\WA%202020\Old%20files\NEW%20CNGC%20Exh%20IDM-2-5%20and%20WP-1-ISAACARCHI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WA%20CAP/WA%20CAP%202019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 MCP-2"/>
      <sheetName val="Exh MCP-2 - ROO Summary Sheet"/>
      <sheetName val="Cover Page MCP-3"/>
      <sheetName val="Exh MCP-3 - Rev Req Calc"/>
      <sheetName val="Cover Page MCP-4"/>
      <sheetName val="Exh MCP-4 - Conversion Factor"/>
      <sheetName val="Cover Page MCP-5"/>
      <sheetName val="Exh MCP-5 - Summary of Adj"/>
      <sheetName val="Cover Page MCP-6"/>
      <sheetName val="MCP-6 - 2020 Plant Additions"/>
      <sheetName val="MCP-6 - Supporting Explanations"/>
      <sheetName val="Workpaper - Support Documents &gt;"/>
      <sheetName val="Index"/>
      <sheetName val="Operating Report"/>
      <sheetName val="Rate Base"/>
      <sheetName val="Plant in Serv &amp; Accum Depr"/>
      <sheetName val="Adv for Const. &amp; Def Tax"/>
      <sheetName val="Capital Structure Calculation"/>
      <sheetName val="State Allocation Formulas"/>
      <sheetName val="Adjustment Workpapers---&gt;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</sheetNames>
    <sheetDataSet>
      <sheetData sheetId="0"/>
      <sheetData sheetId="1">
        <row r="16">
          <cell r="N16">
            <v>14281138.780194044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M-2 Cover Page"/>
      <sheetName val="Exh IDM-2 - Revenue Summary"/>
      <sheetName val="IDM-3 Cover Page"/>
      <sheetName val="Exh IDM-3 - Revenue Adjustments"/>
      <sheetName val="IDM-4 Cover Page"/>
      <sheetName val="Exh IDM-4 -Revenue Distribution"/>
      <sheetName val="IDM-5 Cover Page"/>
      <sheetName val="Exh IDM-5 Decoup. Exhibit"/>
      <sheetName val="WORKPAPERS---&gt;"/>
      <sheetName val="Index"/>
      <sheetName val="1501 Summary"/>
      <sheetName val="Rev Recon Summary"/>
      <sheetName val="End of Period Calculations"/>
      <sheetName val="Allocation Report Summary"/>
      <sheetName val="Weather Normalization"/>
      <sheetName val="WACAP2018"/>
    </sheetNames>
    <sheetDataSet>
      <sheetData sheetId="0"/>
      <sheetData sheetId="1">
        <row r="346">
          <cell r="D346">
            <v>0.2</v>
          </cell>
        </row>
        <row r="348">
          <cell r="D348">
            <v>4.0000000000000002E-4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AP 2019"/>
      <sheetName val="Ammort Split 2019"/>
      <sheetName val="WACAP 2018"/>
      <sheetName val="Ammort Split 2018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/>
      <sheetData sheetId="1">
        <row r="13">
          <cell r="N13">
            <v>-393.67</v>
          </cell>
        </row>
        <row r="25">
          <cell r="N25">
            <v>66080.39</v>
          </cell>
        </row>
        <row r="38">
          <cell r="N38">
            <v>-340.03</v>
          </cell>
        </row>
        <row r="51">
          <cell r="N51">
            <v>-11238.970000000001</v>
          </cell>
        </row>
        <row r="63">
          <cell r="N63">
            <v>-298.17</v>
          </cell>
        </row>
        <row r="75">
          <cell r="N75">
            <v>1324.06</v>
          </cell>
        </row>
        <row r="90">
          <cell r="N90">
            <v>-10685.080000000002</v>
          </cell>
        </row>
        <row r="100">
          <cell r="N100">
            <v>-22.7</v>
          </cell>
        </row>
        <row r="115">
          <cell r="N115">
            <v>162.29999999999998</v>
          </cell>
        </row>
        <row r="130">
          <cell r="N130">
            <v>1578.2499999999998</v>
          </cell>
        </row>
        <row r="145">
          <cell r="N145">
            <v>201.97000000000003</v>
          </cell>
        </row>
      </sheetData>
      <sheetData sheetId="2">
        <row r="14">
          <cell r="Q14">
            <v>8606.2899999999991</v>
          </cell>
        </row>
        <row r="15">
          <cell r="O15">
            <v>8606.2900000000045</v>
          </cell>
        </row>
        <row r="20">
          <cell r="O20">
            <v>3720439.63</v>
          </cell>
        </row>
        <row r="26">
          <cell r="Q26">
            <v>-1444647.4400000013</v>
          </cell>
        </row>
        <row r="27">
          <cell r="O27">
            <v>-1444647.4400000011</v>
          </cell>
        </row>
        <row r="39">
          <cell r="Q39">
            <v>7433.6600000000544</v>
          </cell>
        </row>
        <row r="40">
          <cell r="O40">
            <v>7433.6600000000653</v>
          </cell>
        </row>
        <row r="52">
          <cell r="Q52">
            <v>245706.20000000004</v>
          </cell>
        </row>
        <row r="53">
          <cell r="O53">
            <v>245706.19999999998</v>
          </cell>
        </row>
        <row r="58">
          <cell r="O58">
            <v>1137.43</v>
          </cell>
        </row>
        <row r="64">
          <cell r="Q64">
            <v>6518.3300000000017</v>
          </cell>
        </row>
        <row r="65">
          <cell r="O65">
            <v>6518.33</v>
          </cell>
        </row>
        <row r="70">
          <cell r="O70">
            <v>2112086.7999999998</v>
          </cell>
        </row>
        <row r="76">
          <cell r="Q76">
            <v>-28946.250000001055</v>
          </cell>
        </row>
        <row r="77">
          <cell r="O77">
            <v>-28946.250000001688</v>
          </cell>
        </row>
        <row r="85">
          <cell r="O85">
            <v>120997.44</v>
          </cell>
        </row>
        <row r="88">
          <cell r="Q88"/>
        </row>
        <row r="91">
          <cell r="Q91">
            <v>233597.07000000004</v>
          </cell>
        </row>
        <row r="92">
          <cell r="O92">
            <v>233597.07</v>
          </cell>
        </row>
        <row r="101">
          <cell r="Q101">
            <v>496.46</v>
          </cell>
        </row>
        <row r="102">
          <cell r="O102">
            <v>496.46000000000004</v>
          </cell>
        </row>
        <row r="108">
          <cell r="O108">
            <v>14.1</v>
          </cell>
        </row>
        <row r="109">
          <cell r="O109">
            <v>0</v>
          </cell>
        </row>
        <row r="116">
          <cell r="Q116">
            <v>-3548.04</v>
          </cell>
        </row>
        <row r="117">
          <cell r="O117">
            <v>-3548.0399999999977</v>
          </cell>
        </row>
        <row r="123">
          <cell r="O123">
            <v>9622.91</v>
          </cell>
        </row>
        <row r="124">
          <cell r="O124">
            <v>3115.63</v>
          </cell>
        </row>
        <row r="131">
          <cell r="Q131">
            <v>-34503.840000000004</v>
          </cell>
        </row>
        <row r="132">
          <cell r="O132">
            <v>-34503.839999999989</v>
          </cell>
        </row>
        <row r="138">
          <cell r="O138"/>
        </row>
        <row r="139">
          <cell r="O139"/>
        </row>
        <row r="146">
          <cell r="Q146">
            <v>-4415.5599999999995</v>
          </cell>
        </row>
        <row r="147">
          <cell r="O147">
            <v>-4415.5599999999995</v>
          </cell>
        </row>
        <row r="152">
          <cell r="O152">
            <v>-1013703.1700000038</v>
          </cell>
        </row>
      </sheetData>
      <sheetData sheetId="3"/>
      <sheetData sheetId="4">
        <row r="10">
          <cell r="D10">
            <v>4.2</v>
          </cell>
          <cell r="E10">
            <v>3.5</v>
          </cell>
          <cell r="F10">
            <v>5.17</v>
          </cell>
          <cell r="G10">
            <v>12.93</v>
          </cell>
          <cell r="H10">
            <v>24.04</v>
          </cell>
          <cell r="I10">
            <v>31.96</v>
          </cell>
          <cell r="J10">
            <v>30.35</v>
          </cell>
          <cell r="K10">
            <v>22.3</v>
          </cell>
          <cell r="L10">
            <v>20.41</v>
          </cell>
          <cell r="M10">
            <v>12.52</v>
          </cell>
          <cell r="N10">
            <v>7.13</v>
          </cell>
          <cell r="O10">
            <v>4.6900000000000004</v>
          </cell>
        </row>
        <row r="12">
          <cell r="D12">
            <v>24.45</v>
          </cell>
          <cell r="E12">
            <v>21.6</v>
          </cell>
          <cell r="F12">
            <v>32.049999999999997</v>
          </cell>
          <cell r="G12">
            <v>59.39</v>
          </cell>
          <cell r="H12">
            <v>89.84</v>
          </cell>
          <cell r="I12">
            <v>127</v>
          </cell>
          <cell r="J12">
            <v>127.65</v>
          </cell>
          <cell r="K12">
            <v>93.93</v>
          </cell>
          <cell r="L12">
            <v>78.319999999999993</v>
          </cell>
          <cell r="M12">
            <v>48.24</v>
          </cell>
          <cell r="N12">
            <v>31.22</v>
          </cell>
          <cell r="O12">
            <v>23.85</v>
          </cell>
        </row>
        <row r="14">
          <cell r="D14">
            <v>152.5</v>
          </cell>
          <cell r="E14">
            <v>161.43</v>
          </cell>
          <cell r="F14">
            <v>209.7</v>
          </cell>
          <cell r="G14">
            <v>357.27</v>
          </cell>
          <cell r="H14">
            <v>308.02999999999997</v>
          </cell>
          <cell r="I14">
            <v>430.43</v>
          </cell>
          <cell r="J14">
            <v>498.23</v>
          </cell>
          <cell r="K14">
            <v>423.12</v>
          </cell>
          <cell r="L14">
            <v>397.9</v>
          </cell>
          <cell r="M14">
            <v>289.11</v>
          </cell>
          <cell r="N14">
            <v>210.22</v>
          </cell>
          <cell r="O14">
            <v>189.53</v>
          </cell>
        </row>
        <row r="16">
          <cell r="D16">
            <v>574</v>
          </cell>
          <cell r="E16">
            <v>812.31</v>
          </cell>
          <cell r="F16">
            <v>761.38</v>
          </cell>
          <cell r="G16">
            <v>864.72</v>
          </cell>
          <cell r="H16">
            <v>1162.6199999999999</v>
          </cell>
          <cell r="I16">
            <v>1882.86</v>
          </cell>
          <cell r="J16">
            <v>2112.66</v>
          </cell>
          <cell r="K16">
            <v>1703.1</v>
          </cell>
          <cell r="L16">
            <v>2111.2199999999998</v>
          </cell>
          <cell r="M16">
            <v>1307.21</v>
          </cell>
          <cell r="N16">
            <v>797.62</v>
          </cell>
          <cell r="O16">
            <v>870.43</v>
          </cell>
        </row>
        <row r="18">
          <cell r="D18">
            <v>941.72</v>
          </cell>
          <cell r="E18">
            <v>1104.77</v>
          </cell>
          <cell r="F18">
            <v>866.54</v>
          </cell>
          <cell r="G18">
            <v>1124.56</v>
          </cell>
          <cell r="H18">
            <v>1588.5</v>
          </cell>
          <cell r="I18">
            <v>1825.11</v>
          </cell>
          <cell r="J18">
            <v>2353.02</v>
          </cell>
          <cell r="K18">
            <v>2365.04</v>
          </cell>
          <cell r="L18">
            <v>1936.49</v>
          </cell>
          <cell r="M18">
            <v>1927.27</v>
          </cell>
          <cell r="N18">
            <v>1389.07</v>
          </cell>
          <cell r="O18">
            <v>1154.77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yhrum, Isaac" id="{F1E240B2-EA95-4C22-BE2A-7C63E2CE66E2}" userId="S::Isaac.Myhrum@cngc.com::e363f7e5-b5ec-4eac-9ee7-dc4b3bd077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313" dT="2019-03-07T23:12:42.13" personId="{F1E240B2-EA95-4C22-BE2A-7C63E2CE66E2}" id="{06752CAA-3622-41CE-B992-812D76D580B4}">
    <text>Needs to include 916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10" dT="2020-03-11T20:37:44.83" personId="{F1E240B2-EA95-4C22-BE2A-7C63E2CE66E2}" id="{9EE06999-B2F3-47A5-B78E-0487BA9D560E}">
    <text>Low income bill assistance liability</text>
  </threadedComment>
  <threadedComment ref="I430" dT="2020-05-05T20:33:49.14" personId="{F1E240B2-EA95-4C22-BE2A-7C63E2CE66E2}" id="{026BD73F-96CD-42DD-9D50-1546514056BF}">
    <text>WA502-Adjusted in Revenue Reconciliation, cell F19.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9" dT="2020-05-01T15:42:47.66" personId="{F1E240B2-EA95-4C22-BE2A-7C63E2CE66E2}" id="{A97E243B-16DD-487B-8ADE-C2C8605DEEEA}">
    <text>502(R) ADJUSTMENT</text>
  </threadedComment>
  <threadedComment ref="F19" dT="2020-05-01T15:42:32.12" personId="{F1E240B2-EA95-4C22-BE2A-7C63E2CE66E2}" id="{7D37534C-3599-44D0-B96A-CEE8F01B7689}">
    <text>502(R) ADJUSTMENT</text>
  </threadedComment>
  <threadedComment ref="H19" dT="2020-05-01T15:47:22.03" personId="{F1E240B2-EA95-4C22-BE2A-7C63E2CE66E2}" id="{15BC22D5-1FC1-444D-B4FC-BD78DA06B6F6}">
    <text>502(R) ADJUSTMENT</text>
  </threadedComment>
  <threadedComment ref="O19" dT="2020-05-01T16:30:12.19" personId="{F1E240B2-EA95-4C22-BE2A-7C63E2CE66E2}" id="{C213BD54-5982-4EC5-9CC8-720331917164}">
    <text>502R ADJUSTMENT</text>
  </threadedComment>
  <threadedComment ref="N159" dT="2020-05-01T16:28:28.60" personId="{F1E240B2-EA95-4C22-BE2A-7C63E2CE66E2}" id="{95867AAC-DA7F-44EE-A41F-214EA8D44D74}">
    <text>05LV(4809)</text>
  </threadedComment>
  <threadedComment ref="P399" dT="2020-05-01T21:39:21.33" personId="{F1E240B2-EA95-4C22-BE2A-7C63E2CE66E2}" id="{A4717A08-DA27-4DBD-8928-EDA8DF671665}">
    <text>This value is a reverse value of the difference from CNGCWA908.</text>
  </threadedComment>
  <threadedComment ref="P419" dT="2020-05-01T22:00:24.90" personId="{F1E240B2-EA95-4C22-BE2A-7C63E2CE66E2}" id="{821E10AF-0DEE-4968-B2A5-1B06E1D87856}">
    <text>Mirror adjustment with WA903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ferc.gov/enforcement/acct-matts/interest-rates.asp" TargetMode="External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31"/>
  <sheetViews>
    <sheetView workbookViewId="0"/>
  </sheetViews>
  <sheetFormatPr defaultColWidth="9.140625" defaultRowHeight="15" x14ac:dyDescent="0.25"/>
  <cols>
    <col min="1" max="1" width="98.7109375" style="140" customWidth="1"/>
    <col min="2" max="2" width="29.42578125" style="140" customWidth="1"/>
    <col min="3" max="16384" width="9.140625" style="140"/>
  </cols>
  <sheetData>
    <row r="1" spans="1:1" ht="15.75" x14ac:dyDescent="0.25">
      <c r="A1" s="145" t="s">
        <v>643</v>
      </c>
    </row>
    <row r="2" spans="1:1" ht="15.75" x14ac:dyDescent="0.25">
      <c r="A2" s="145" t="s">
        <v>644</v>
      </c>
    </row>
    <row r="3" spans="1:1" ht="15.75" x14ac:dyDescent="0.25">
      <c r="A3" s="145" t="s">
        <v>427</v>
      </c>
    </row>
    <row r="4" spans="1:1" ht="15.75" x14ac:dyDescent="0.25">
      <c r="A4" s="144"/>
    </row>
    <row r="5" spans="1:1" ht="15.75" x14ac:dyDescent="0.25">
      <c r="A5" s="144"/>
    </row>
    <row r="6" spans="1:1" ht="15.75" x14ac:dyDescent="0.25">
      <c r="A6" s="144"/>
    </row>
    <row r="7" spans="1:1" ht="15.75" x14ac:dyDescent="0.25">
      <c r="A7" s="144"/>
    </row>
    <row r="8" spans="1:1" ht="15.75" x14ac:dyDescent="0.25">
      <c r="A8" s="144"/>
    </row>
    <row r="9" spans="1:1" ht="15.75" x14ac:dyDescent="0.25">
      <c r="A9" s="144"/>
    </row>
    <row r="10" spans="1:1" ht="15.75" x14ac:dyDescent="0.25">
      <c r="A10" s="144"/>
    </row>
    <row r="11" spans="1:1" ht="15.75" x14ac:dyDescent="0.25">
      <c r="A11" s="144"/>
    </row>
    <row r="12" spans="1:1" ht="15.75" x14ac:dyDescent="0.25">
      <c r="A12" s="144"/>
    </row>
    <row r="13" spans="1:1" ht="15.75" x14ac:dyDescent="0.25">
      <c r="A13" s="144"/>
    </row>
    <row r="14" spans="1:1" ht="15.75" x14ac:dyDescent="0.25">
      <c r="A14" s="144"/>
    </row>
    <row r="15" spans="1:1" ht="15.75" x14ac:dyDescent="0.25">
      <c r="A15" s="144"/>
    </row>
    <row r="16" spans="1:1" ht="15.75" x14ac:dyDescent="0.25">
      <c r="A16" s="142"/>
    </row>
    <row r="17" spans="1:1" ht="15.75" x14ac:dyDescent="0.25">
      <c r="A17" s="142"/>
    </row>
    <row r="18" spans="1:1" ht="15.75" x14ac:dyDescent="0.25">
      <c r="A18" s="144"/>
    </row>
    <row r="19" spans="1:1" ht="15.75" x14ac:dyDescent="0.25">
      <c r="A19" s="142" t="s">
        <v>426</v>
      </c>
    </row>
    <row r="20" spans="1:1" ht="15.75" x14ac:dyDescent="0.25">
      <c r="A20" s="142"/>
    </row>
    <row r="21" spans="1:1" ht="15.75" x14ac:dyDescent="0.25">
      <c r="A21" s="142" t="s">
        <v>428</v>
      </c>
    </row>
    <row r="22" spans="1:1" ht="15.75" x14ac:dyDescent="0.25">
      <c r="A22" s="142"/>
    </row>
    <row r="23" spans="1:1" ht="15.75" x14ac:dyDescent="0.25">
      <c r="A23" s="142"/>
    </row>
    <row r="24" spans="1:1" ht="15.75" x14ac:dyDescent="0.25">
      <c r="A24" s="143" t="s">
        <v>433</v>
      </c>
    </row>
    <row r="25" spans="1:1" ht="15.75" x14ac:dyDescent="0.25">
      <c r="A25" s="142"/>
    </row>
    <row r="26" spans="1:1" ht="15.75" x14ac:dyDescent="0.25">
      <c r="A26" s="142"/>
    </row>
    <row r="27" spans="1:1" ht="15.75" x14ac:dyDescent="0.25">
      <c r="A27" s="142"/>
    </row>
    <row r="28" spans="1:1" ht="15.75" x14ac:dyDescent="0.25">
      <c r="A28" s="142"/>
    </row>
    <row r="29" spans="1:1" ht="15.75" x14ac:dyDescent="0.25">
      <c r="A29" s="142"/>
    </row>
    <row r="30" spans="1:1" ht="15.75" x14ac:dyDescent="0.25">
      <c r="A30" s="161">
        <v>44036</v>
      </c>
    </row>
    <row r="31" spans="1:1" x14ac:dyDescent="0.25">
      <c r="A31" s="141"/>
    </row>
  </sheetData>
  <printOptions horizontalCentered="1"/>
  <pageMargins left="0.5" right="0.5" top="1" bottom="0.75" header="0.5" footer="0.3"/>
  <pageSetup scale="99" fitToHeight="0" orientation="portrait" useFirstPageNumber="1" horizontalDpi="1200" verticalDpi="1200" r:id="rId1"/>
  <headerFooter scaleWithDoc="0">
    <oddHeader>&amp;C&amp;10Cascade Natural Gas Corporation
SUMMARY OF REVENUES BY RATE SCHEDULE&amp;R&amp;9Docket No. UG-200568
Exhibit No. ___ (IDM-7)
Page &amp;P of 5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FF00"/>
    <pageSetUpPr fitToPage="1"/>
  </sheetPr>
  <dimension ref="B3:G35"/>
  <sheetViews>
    <sheetView workbookViewId="0"/>
  </sheetViews>
  <sheetFormatPr defaultRowHeight="15" x14ac:dyDescent="0.25"/>
  <cols>
    <col min="2" max="2" width="13.5703125" customWidth="1"/>
    <col min="3" max="3" width="30" customWidth="1"/>
    <col min="4" max="4" width="14.5703125" customWidth="1"/>
  </cols>
  <sheetData>
    <row r="3" spans="2:7" ht="15.75" x14ac:dyDescent="0.25">
      <c r="B3" s="147"/>
      <c r="C3" s="147"/>
      <c r="D3" s="147"/>
      <c r="E3" s="147"/>
      <c r="F3" s="147"/>
      <c r="G3" s="146"/>
    </row>
    <row r="4" spans="2:7" ht="15.75" x14ac:dyDescent="0.25">
      <c r="B4" s="842" t="s">
        <v>329</v>
      </c>
      <c r="C4" s="842"/>
      <c r="D4" s="842"/>
      <c r="E4" s="842"/>
      <c r="F4" s="842"/>
      <c r="G4" s="842"/>
    </row>
    <row r="5" spans="2:7" ht="15.75" x14ac:dyDescent="0.25">
      <c r="B5" s="842" t="s">
        <v>596</v>
      </c>
      <c r="C5" s="842"/>
      <c r="D5" s="842"/>
      <c r="E5" s="842"/>
      <c r="F5" s="842"/>
      <c r="G5" s="842"/>
    </row>
    <row r="6" spans="2:7" ht="15.75" x14ac:dyDescent="0.25">
      <c r="B6" s="842" t="s">
        <v>458</v>
      </c>
      <c r="C6" s="842"/>
      <c r="D6" s="842"/>
      <c r="E6" s="842"/>
      <c r="F6" s="842"/>
      <c r="G6" s="842"/>
    </row>
    <row r="7" spans="2:7" ht="15.75" x14ac:dyDescent="0.25">
      <c r="B7" s="842" t="s">
        <v>459</v>
      </c>
      <c r="C7" s="842"/>
      <c r="D7" s="842"/>
      <c r="E7" s="842"/>
      <c r="F7" s="842"/>
      <c r="G7" s="842"/>
    </row>
    <row r="8" spans="2:7" ht="15.75" x14ac:dyDescent="0.25">
      <c r="B8" s="842" t="s">
        <v>557</v>
      </c>
      <c r="C8" s="842"/>
      <c r="D8" s="842"/>
      <c r="E8" s="842"/>
      <c r="F8" s="842"/>
      <c r="G8" s="842"/>
    </row>
    <row r="9" spans="2:7" ht="15.75" x14ac:dyDescent="0.25">
      <c r="B9" s="147"/>
      <c r="C9" s="157"/>
      <c r="D9" s="157"/>
      <c r="E9" s="157"/>
      <c r="F9" s="157"/>
      <c r="G9" s="157"/>
    </row>
    <row r="10" spans="2:7" ht="15.75" x14ac:dyDescent="0.25">
      <c r="B10" s="147"/>
      <c r="C10" s="148" t="s">
        <v>465</v>
      </c>
      <c r="D10" s="148"/>
      <c r="E10" s="148" t="s">
        <v>218</v>
      </c>
      <c r="F10" s="148"/>
      <c r="G10" s="146" t="s">
        <v>34</v>
      </c>
    </row>
    <row r="11" spans="2:7" ht="15.75" x14ac:dyDescent="0.25">
      <c r="B11" s="147"/>
      <c r="C11" s="156"/>
      <c r="D11" s="156"/>
      <c r="E11" s="156"/>
      <c r="F11" s="156"/>
      <c r="G11" s="155"/>
    </row>
    <row r="12" spans="2:7" ht="15.75" x14ac:dyDescent="0.25">
      <c r="B12" s="154" t="s">
        <v>464</v>
      </c>
      <c r="C12" s="153" t="s">
        <v>463</v>
      </c>
      <c r="D12" s="147"/>
      <c r="E12" s="153" t="s">
        <v>462</v>
      </c>
      <c r="F12" s="153"/>
      <c r="G12" s="152" t="s">
        <v>461</v>
      </c>
    </row>
    <row r="13" spans="2:7" ht="15.75" x14ac:dyDescent="0.25">
      <c r="B13" s="154"/>
      <c r="C13" s="148" t="s">
        <v>460</v>
      </c>
      <c r="D13" s="147"/>
      <c r="E13" s="153"/>
      <c r="F13" s="153"/>
      <c r="G13" s="152"/>
    </row>
    <row r="14" spans="2:7" ht="15.75" x14ac:dyDescent="0.25">
      <c r="B14" s="148">
        <v>1</v>
      </c>
      <c r="C14" s="147" t="s">
        <v>459</v>
      </c>
      <c r="D14" s="147"/>
      <c r="E14" s="147" t="s">
        <v>458</v>
      </c>
      <c r="F14" s="147"/>
      <c r="G14" s="146">
        <v>1</v>
      </c>
    </row>
    <row r="15" spans="2:7" ht="15.75" x14ac:dyDescent="0.25">
      <c r="B15" s="148">
        <f t="shared" ref="B15:B20" si="0">B14+1</f>
        <v>2</v>
      </c>
      <c r="C15" s="147" t="s">
        <v>457</v>
      </c>
      <c r="D15" s="147"/>
      <c r="E15" s="147" t="s">
        <v>456</v>
      </c>
      <c r="F15" s="147"/>
      <c r="G15" s="151" t="s">
        <v>599</v>
      </c>
    </row>
    <row r="16" spans="2:7" ht="15.75" x14ac:dyDescent="0.25">
      <c r="B16" s="148">
        <f t="shared" si="0"/>
        <v>3</v>
      </c>
      <c r="C16" s="147" t="s">
        <v>597</v>
      </c>
      <c r="D16" s="147"/>
      <c r="E16" s="147" t="s">
        <v>455</v>
      </c>
      <c r="F16" s="147"/>
      <c r="G16" s="151" t="s">
        <v>601</v>
      </c>
    </row>
    <row r="17" spans="2:7" ht="15.75" x14ac:dyDescent="0.25">
      <c r="B17" s="148">
        <f t="shared" si="0"/>
        <v>4</v>
      </c>
      <c r="C17" s="147" t="s">
        <v>454</v>
      </c>
      <c r="D17" s="147"/>
      <c r="E17" s="147" t="s">
        <v>453</v>
      </c>
      <c r="F17" s="147"/>
      <c r="G17" s="146" t="s">
        <v>602</v>
      </c>
    </row>
    <row r="18" spans="2:7" ht="15.75" x14ac:dyDescent="0.25">
      <c r="B18" s="148">
        <f t="shared" si="0"/>
        <v>5</v>
      </c>
      <c r="C18" s="147" t="s">
        <v>563</v>
      </c>
      <c r="D18" s="149"/>
      <c r="E18" s="147" t="s">
        <v>452</v>
      </c>
      <c r="F18" s="149"/>
      <c r="G18" s="150">
        <v>16</v>
      </c>
    </row>
    <row r="19" spans="2:7" ht="15.75" x14ac:dyDescent="0.25">
      <c r="B19" s="148">
        <f t="shared" si="0"/>
        <v>6</v>
      </c>
      <c r="C19" s="149" t="s">
        <v>451</v>
      </c>
      <c r="D19" s="147"/>
      <c r="E19" s="147" t="s">
        <v>450</v>
      </c>
      <c r="F19" s="147"/>
      <c r="G19" s="146">
        <v>17</v>
      </c>
    </row>
    <row r="20" spans="2:7" ht="15.75" x14ac:dyDescent="0.25">
      <c r="B20" s="148">
        <f t="shared" si="0"/>
        <v>7</v>
      </c>
      <c r="C20" s="149" t="s">
        <v>564</v>
      </c>
      <c r="D20" s="147"/>
      <c r="E20" s="147" t="s">
        <v>449</v>
      </c>
      <c r="F20" s="147"/>
      <c r="G20" s="146" t="s">
        <v>600</v>
      </c>
    </row>
    <row r="21" spans="2:7" ht="15.75" x14ac:dyDescent="0.25">
      <c r="B21" s="148">
        <v>8</v>
      </c>
      <c r="C21" s="419" t="s">
        <v>582</v>
      </c>
      <c r="D21" s="147"/>
      <c r="E21" s="147" t="s">
        <v>583</v>
      </c>
      <c r="F21" s="147"/>
      <c r="G21" s="146">
        <v>21</v>
      </c>
    </row>
    <row r="22" spans="2:7" ht="15.75" x14ac:dyDescent="0.25">
      <c r="B22" s="800">
        <v>9</v>
      </c>
      <c r="C22" s="801" t="s">
        <v>629</v>
      </c>
      <c r="D22" s="801"/>
      <c r="E22" s="801" t="s">
        <v>630</v>
      </c>
      <c r="F22" s="801"/>
      <c r="G22" s="802">
        <v>22</v>
      </c>
    </row>
    <row r="23" spans="2:7" ht="15.75" x14ac:dyDescent="0.25">
      <c r="B23" s="148"/>
      <c r="C23" s="147"/>
      <c r="D23" s="147"/>
      <c r="E23" s="147"/>
      <c r="F23" s="147"/>
      <c r="G23" s="146"/>
    </row>
    <row r="24" spans="2:7" ht="15.75" x14ac:dyDescent="0.25">
      <c r="B24" s="148"/>
      <c r="C24" s="147"/>
      <c r="D24" s="147"/>
      <c r="E24" s="147"/>
      <c r="F24" s="147"/>
      <c r="G24" s="146"/>
    </row>
    <row r="25" spans="2:7" ht="15.75" x14ac:dyDescent="0.25">
      <c r="B25" s="148"/>
      <c r="C25" s="147"/>
      <c r="D25" s="147"/>
      <c r="E25" s="147"/>
      <c r="F25" s="147"/>
      <c r="G25" s="146"/>
    </row>
    <row r="26" spans="2:7" ht="15.75" x14ac:dyDescent="0.25">
      <c r="B26" s="148"/>
      <c r="C26" s="147"/>
      <c r="D26" s="147"/>
      <c r="E26" s="147"/>
      <c r="F26" s="147"/>
      <c r="G26" s="146"/>
    </row>
    <row r="27" spans="2:7" ht="15.75" x14ac:dyDescent="0.25">
      <c r="B27" s="148"/>
      <c r="C27" s="147"/>
      <c r="D27" s="147"/>
      <c r="E27" s="147"/>
      <c r="F27" s="147"/>
      <c r="G27" s="146"/>
    </row>
    <row r="28" spans="2:7" ht="15.75" x14ac:dyDescent="0.25">
      <c r="B28" s="148"/>
      <c r="C28" s="147"/>
      <c r="D28" s="147"/>
      <c r="E28" s="147"/>
      <c r="F28" s="147"/>
      <c r="G28" s="146"/>
    </row>
    <row r="29" spans="2:7" ht="15.75" x14ac:dyDescent="0.25">
      <c r="B29" s="148"/>
      <c r="C29" s="147"/>
      <c r="D29" s="147"/>
      <c r="E29" s="147"/>
      <c r="F29" s="147"/>
      <c r="G29" s="146"/>
    </row>
    <row r="30" spans="2:7" ht="15.75" x14ac:dyDescent="0.25">
      <c r="B30" s="148"/>
      <c r="C30" s="147"/>
      <c r="D30" s="147"/>
      <c r="E30" s="147"/>
      <c r="F30" s="147"/>
      <c r="G30" s="146"/>
    </row>
    <row r="31" spans="2:7" ht="15.75" x14ac:dyDescent="0.25">
      <c r="B31" s="148"/>
      <c r="C31" s="147"/>
      <c r="D31" s="147"/>
      <c r="E31" s="147"/>
      <c r="F31" s="147"/>
      <c r="G31" s="146"/>
    </row>
    <row r="32" spans="2:7" ht="15.75" x14ac:dyDescent="0.25">
      <c r="B32" s="148"/>
      <c r="C32" s="147"/>
      <c r="D32" s="147"/>
      <c r="E32" s="147"/>
      <c r="F32" s="147"/>
      <c r="G32" s="146"/>
    </row>
    <row r="33" spans="2:7" ht="15.75" x14ac:dyDescent="0.25">
      <c r="B33" s="148"/>
      <c r="C33" s="147"/>
      <c r="D33" s="147"/>
      <c r="E33" s="147"/>
      <c r="F33" s="147"/>
      <c r="G33" s="146"/>
    </row>
    <row r="34" spans="2:7" ht="15.75" x14ac:dyDescent="0.25">
      <c r="B34" s="148"/>
      <c r="C34" s="147"/>
      <c r="D34" s="147"/>
      <c r="E34" s="147"/>
      <c r="F34" s="147"/>
      <c r="G34" s="146"/>
    </row>
    <row r="35" spans="2:7" ht="15.75" x14ac:dyDescent="0.25">
      <c r="B35" s="148"/>
      <c r="C35" s="147"/>
      <c r="D35" s="147"/>
      <c r="E35" s="147"/>
      <c r="F35" s="147"/>
      <c r="G35" s="146"/>
    </row>
  </sheetData>
  <mergeCells count="5">
    <mergeCell ref="B4:G4"/>
    <mergeCell ref="B5:G5"/>
    <mergeCell ref="B6:G6"/>
    <mergeCell ref="B7:G7"/>
    <mergeCell ref="B8:G8"/>
  </mergeCells>
  <pageMargins left="0.7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682E-D33A-43FC-90C0-2F7FA924B9E0}">
  <sheetPr codeName="Sheet15">
    <pageSetUpPr fitToPage="1"/>
  </sheetPr>
  <dimension ref="A1:AO493"/>
  <sheetViews>
    <sheetView workbookViewId="0"/>
  </sheetViews>
  <sheetFormatPr defaultColWidth="9.140625" defaultRowHeight="15" x14ac:dyDescent="0.25"/>
  <cols>
    <col min="1" max="1" width="5.5703125" style="299" customWidth="1"/>
    <col min="2" max="2" width="56.28515625" style="299" customWidth="1"/>
    <col min="3" max="3" width="22" style="299" customWidth="1"/>
    <col min="4" max="4" width="0.85546875" style="299" customWidth="1"/>
    <col min="5" max="5" width="14.28515625" style="299" customWidth="1"/>
    <col min="6" max="6" width="13" style="291" customWidth="1"/>
    <col min="7" max="7" width="17.7109375" style="269" bestFit="1" customWidth="1"/>
    <col min="8" max="8" width="13" style="291" bestFit="1" customWidth="1"/>
    <col min="9" max="9" width="17.7109375" style="269" bestFit="1" customWidth="1"/>
    <col min="10" max="10" width="13" style="291" bestFit="1" customWidth="1"/>
    <col min="11" max="11" width="17.7109375" style="269" bestFit="1" customWidth="1"/>
    <col min="12" max="12" width="13.7109375" style="291" bestFit="1" customWidth="1"/>
    <col min="13" max="13" width="17.7109375" style="269" bestFit="1" customWidth="1"/>
    <col min="14" max="14" width="13.7109375" style="291" bestFit="1" customWidth="1"/>
    <col min="15" max="15" width="17.7109375" style="269" bestFit="1" customWidth="1"/>
    <col min="16" max="16" width="13.7109375" style="291" bestFit="1" customWidth="1"/>
    <col min="17" max="17" width="17.7109375" style="269" bestFit="1" customWidth="1"/>
    <col min="18" max="18" width="13.7109375" style="291" bestFit="1" customWidth="1"/>
    <col min="19" max="19" width="17.7109375" style="269" bestFit="1" customWidth="1"/>
    <col min="20" max="20" width="13.7109375" style="291" bestFit="1" customWidth="1"/>
    <col min="21" max="21" width="17.7109375" style="269" bestFit="1" customWidth="1"/>
    <col min="22" max="22" width="13.7109375" style="291" bestFit="1" customWidth="1"/>
    <col min="23" max="23" width="17.7109375" style="269" bestFit="1" customWidth="1"/>
    <col min="24" max="24" width="13.7109375" style="291" bestFit="1" customWidth="1"/>
    <col min="25" max="25" width="17.7109375" style="269" bestFit="1" customWidth="1"/>
    <col min="26" max="26" width="13.7109375" style="291" bestFit="1" customWidth="1"/>
    <col min="27" max="27" width="17.7109375" style="269" bestFit="1" customWidth="1"/>
    <col min="28" max="28" width="13.7109375" style="291" bestFit="1" customWidth="1"/>
    <col min="29" max="29" width="17.7109375" style="269" bestFit="1" customWidth="1"/>
    <col min="30" max="30" width="18.7109375" style="68" bestFit="1" customWidth="1"/>
    <col min="31" max="31" width="7.28515625" style="68" customWidth="1"/>
    <col min="32" max="32" width="15.5703125" style="68" customWidth="1"/>
    <col min="33" max="33" width="18.140625" style="68" customWidth="1"/>
    <col min="34" max="34" width="14.42578125" style="68" bestFit="1" customWidth="1"/>
    <col min="35" max="35" width="50.140625" style="68" bestFit="1" customWidth="1"/>
    <col min="36" max="36" width="37.28515625" style="68" bestFit="1" customWidth="1"/>
    <col min="37" max="37" width="38.28515625" style="68" bestFit="1" customWidth="1"/>
    <col min="38" max="38" width="25.7109375" style="68" bestFit="1" customWidth="1"/>
    <col min="39" max="39" width="22.5703125" style="68" customWidth="1"/>
    <col min="40" max="40" width="20" style="68" customWidth="1"/>
    <col min="41" max="41" width="28.5703125" style="68" customWidth="1"/>
    <col min="42" max="42" width="20.140625" style="162" customWidth="1"/>
    <col min="43" max="16384" width="9.140625" style="162"/>
  </cols>
  <sheetData>
    <row r="1" spans="1:30" x14ac:dyDescent="0.25">
      <c r="B1" s="301" t="s">
        <v>481</v>
      </c>
    </row>
    <row r="2" spans="1:30" x14ac:dyDescent="0.25">
      <c r="B2" s="301" t="s">
        <v>482</v>
      </c>
    </row>
    <row r="3" spans="1:30" x14ac:dyDescent="0.25">
      <c r="B3" s="301" t="s">
        <v>483</v>
      </c>
    </row>
    <row r="4" spans="1:30" ht="57" customHeight="1" x14ac:dyDescent="0.25">
      <c r="C4" s="302" t="s">
        <v>221</v>
      </c>
      <c r="D4" s="302"/>
      <c r="E4" s="302"/>
      <c r="F4" s="303" t="s">
        <v>248</v>
      </c>
      <c r="G4" s="293">
        <v>43466</v>
      </c>
      <c r="H4" s="292" t="s">
        <v>248</v>
      </c>
      <c r="I4" s="293">
        <v>43497</v>
      </c>
      <c r="J4" s="292" t="s">
        <v>248</v>
      </c>
      <c r="K4" s="293">
        <v>43525</v>
      </c>
      <c r="L4" s="292" t="s">
        <v>248</v>
      </c>
      <c r="M4" s="293">
        <v>43556</v>
      </c>
      <c r="N4" s="292" t="s">
        <v>248</v>
      </c>
      <c r="O4" s="293">
        <v>43586</v>
      </c>
      <c r="P4" s="292" t="s">
        <v>248</v>
      </c>
      <c r="Q4" s="304">
        <v>43617</v>
      </c>
      <c r="R4" s="292" t="s">
        <v>248</v>
      </c>
      <c r="S4" s="293">
        <v>43647</v>
      </c>
      <c r="T4" s="292" t="s">
        <v>248</v>
      </c>
      <c r="U4" s="293">
        <v>43678</v>
      </c>
      <c r="V4" s="292" t="s">
        <v>248</v>
      </c>
      <c r="W4" s="293">
        <v>43709</v>
      </c>
      <c r="X4" s="292" t="s">
        <v>248</v>
      </c>
      <c r="Y4" s="293">
        <v>43739</v>
      </c>
      <c r="Z4" s="292" t="s">
        <v>248</v>
      </c>
      <c r="AA4" s="293">
        <v>43770</v>
      </c>
      <c r="AB4" s="292" t="s">
        <v>248</v>
      </c>
      <c r="AC4" s="293">
        <v>43800</v>
      </c>
      <c r="AD4" s="131" t="s">
        <v>235</v>
      </c>
    </row>
    <row r="5" spans="1:30" x14ac:dyDescent="0.25">
      <c r="A5" s="299">
        <v>1</v>
      </c>
      <c r="B5" s="314" t="s">
        <v>491</v>
      </c>
      <c r="F5" s="305"/>
      <c r="G5" s="306"/>
      <c r="H5" s="305"/>
      <c r="I5" s="306"/>
      <c r="J5" s="305"/>
      <c r="K5" s="306"/>
      <c r="L5" s="305"/>
      <c r="M5" s="306"/>
    </row>
    <row r="6" spans="1:30" x14ac:dyDescent="0.25">
      <c r="A6" s="299">
        <v>2</v>
      </c>
      <c r="B6" s="229" t="s">
        <v>9</v>
      </c>
      <c r="C6" s="269">
        <v>5</v>
      </c>
      <c r="D6" s="269"/>
      <c r="E6" s="269"/>
      <c r="F6" s="305">
        <f>G6/$C$6</f>
        <v>192137.1</v>
      </c>
      <c r="G6" s="315">
        <v>960685.5</v>
      </c>
      <c r="H6" s="305">
        <f>I6/$C$6</f>
        <v>192402.6</v>
      </c>
      <c r="I6" s="307">
        <v>962013</v>
      </c>
      <c r="J6" s="305">
        <f>K6/$C$6</f>
        <v>193096</v>
      </c>
      <c r="K6" s="307">
        <v>965480</v>
      </c>
      <c r="L6" s="305">
        <f>M6/$C$6</f>
        <v>193332.2</v>
      </c>
      <c r="M6" s="307">
        <v>966661</v>
      </c>
      <c r="N6" s="291">
        <f>O6/$C$6</f>
        <v>193496.7</v>
      </c>
      <c r="O6" s="307">
        <v>967483.5</v>
      </c>
      <c r="P6" s="291">
        <f>Q6/$C$6</f>
        <v>193475.86000000002</v>
      </c>
      <c r="Q6" s="307">
        <v>967379.3</v>
      </c>
      <c r="R6" s="291">
        <f>S6/$C$6</f>
        <v>193607</v>
      </c>
      <c r="S6" s="307">
        <v>968035</v>
      </c>
      <c r="T6" s="291">
        <f>U6/$C$6</f>
        <v>193243.46000000002</v>
      </c>
      <c r="U6" s="307">
        <v>966217.3</v>
      </c>
      <c r="V6" s="291">
        <f>W6/$C$6</f>
        <v>192895</v>
      </c>
      <c r="W6" s="316">
        <v>964475</v>
      </c>
      <c r="X6" s="291">
        <f>Y6/$C$6</f>
        <v>194064</v>
      </c>
      <c r="Y6" s="307">
        <v>970320</v>
      </c>
      <c r="Z6" s="291">
        <f>AA6/$C$6</f>
        <v>194622.2</v>
      </c>
      <c r="AA6" s="307">
        <v>973111</v>
      </c>
      <c r="AB6" s="291">
        <f>AC6/$C$6</f>
        <v>195359</v>
      </c>
      <c r="AC6" s="307">
        <v>976795</v>
      </c>
      <c r="AD6" s="68">
        <f>SUM(G6,I6,K6,M6,O6,Q6,S6,U6,W6,Y6,AA6,AC6)</f>
        <v>11608655.6</v>
      </c>
    </row>
    <row r="7" spans="1:30" x14ac:dyDescent="0.25">
      <c r="A7" s="299">
        <v>3</v>
      </c>
      <c r="B7" s="229" t="s">
        <v>28</v>
      </c>
      <c r="F7" s="305"/>
      <c r="G7" s="315">
        <v>5284738.49</v>
      </c>
      <c r="H7" s="308"/>
      <c r="I7" s="307">
        <v>5665855.4100000001</v>
      </c>
      <c r="J7" s="308"/>
      <c r="K7" s="307">
        <v>6095743.0599999996</v>
      </c>
      <c r="L7" s="308"/>
      <c r="M7" s="307">
        <v>3335957.1</v>
      </c>
      <c r="N7" s="308"/>
      <c r="O7" s="307">
        <v>2015767.5</v>
      </c>
      <c r="P7" s="308"/>
      <c r="Q7" s="307">
        <v>1100880.3799999999</v>
      </c>
      <c r="R7" s="308"/>
      <c r="S7" s="307">
        <v>875303.46000000008</v>
      </c>
      <c r="T7" s="308"/>
      <c r="U7" s="307">
        <v>754930.51000000443</v>
      </c>
      <c r="V7" s="308"/>
      <c r="W7" s="316">
        <v>732277.02000000386</v>
      </c>
      <c r="X7" s="317"/>
      <c r="Y7" s="307">
        <v>1732073.4400000023</v>
      </c>
      <c r="Z7" s="308"/>
      <c r="AA7" s="307">
        <v>3163652.9399999841</v>
      </c>
      <c r="AB7" s="308"/>
      <c r="AC7" s="307">
        <v>4801832.7199999914</v>
      </c>
      <c r="AD7" s="68">
        <f t="shared" ref="AD7:AD27" si="0">SUM(G7:AC7)</f>
        <v>35559012.029999986</v>
      </c>
    </row>
    <row r="8" spans="1:30" x14ac:dyDescent="0.25">
      <c r="A8" s="299">
        <v>4</v>
      </c>
      <c r="B8" s="229" t="s">
        <v>11</v>
      </c>
      <c r="F8" s="305"/>
      <c r="G8" s="315">
        <v>8467434.1400000006</v>
      </c>
      <c r="H8" s="308"/>
      <c r="I8" s="307">
        <v>9078065.6099999994</v>
      </c>
      <c r="J8" s="308"/>
      <c r="K8" s="307">
        <v>9766852.3100000005</v>
      </c>
      <c r="L8" s="308"/>
      <c r="M8" s="307">
        <v>5345038.21</v>
      </c>
      <c r="N8" s="308"/>
      <c r="O8" s="307">
        <v>3229770.01</v>
      </c>
      <c r="P8" s="308"/>
      <c r="Q8" s="307">
        <v>1763912.6300000004</v>
      </c>
      <c r="R8" s="308"/>
      <c r="S8" s="307">
        <v>1402483.2600000002</v>
      </c>
      <c r="T8" s="308"/>
      <c r="U8" s="307">
        <v>1209632.4000000004</v>
      </c>
      <c r="V8" s="308"/>
      <c r="W8" s="316">
        <v>1173346.4000000015</v>
      </c>
      <c r="X8" s="317"/>
      <c r="Y8" s="307">
        <v>2775201.5199999977</v>
      </c>
      <c r="Z8" s="308"/>
      <c r="AA8" s="307">
        <v>5078352.850000049</v>
      </c>
      <c r="AB8" s="308"/>
      <c r="AC8" s="307">
        <v>7735997.6800000295</v>
      </c>
      <c r="AD8" s="68">
        <f t="shared" si="0"/>
        <v>57026087.02000007</v>
      </c>
    </row>
    <row r="9" spans="1:30" x14ac:dyDescent="0.25">
      <c r="A9" s="299">
        <v>5</v>
      </c>
      <c r="B9" s="229" t="s">
        <v>484</v>
      </c>
      <c r="F9" s="305"/>
      <c r="G9" s="315"/>
      <c r="H9" s="308"/>
      <c r="I9" s="307"/>
      <c r="J9" s="308"/>
      <c r="K9" s="307"/>
      <c r="L9" s="308"/>
      <c r="M9" s="307">
        <v>255227.54</v>
      </c>
      <c r="N9" s="308"/>
      <c r="O9" s="307">
        <v>554960.1</v>
      </c>
      <c r="P9" s="308"/>
      <c r="Q9" s="307">
        <v>308169.32000000007</v>
      </c>
      <c r="R9" s="308"/>
      <c r="S9" s="307">
        <v>245033.45999999996</v>
      </c>
      <c r="T9" s="308"/>
      <c r="U9" s="307">
        <v>211353.62999999971</v>
      </c>
      <c r="V9" s="308"/>
      <c r="W9" s="316">
        <v>205005.51999999987</v>
      </c>
      <c r="X9" s="317"/>
      <c r="Y9" s="307">
        <v>484855.83999999985</v>
      </c>
      <c r="Z9" s="308"/>
      <c r="AA9" s="307">
        <v>1122775.28</v>
      </c>
      <c r="AB9" s="308"/>
      <c r="AC9" s="307">
        <v>2372072.1300000022</v>
      </c>
      <c r="AD9" s="68">
        <f t="shared" si="0"/>
        <v>5759452.8200000022</v>
      </c>
    </row>
    <row r="10" spans="1:30" x14ac:dyDescent="0.25">
      <c r="A10" s="299">
        <v>6</v>
      </c>
      <c r="B10" s="229" t="s">
        <v>115</v>
      </c>
      <c r="F10" s="305"/>
      <c r="G10" s="315">
        <v>65749.87</v>
      </c>
      <c r="H10" s="308"/>
      <c r="I10" s="307">
        <v>70592.62</v>
      </c>
      <c r="J10" s="308"/>
      <c r="K10" s="307">
        <v>75950.17</v>
      </c>
      <c r="L10" s="308"/>
      <c r="M10" s="307">
        <v>41473.65</v>
      </c>
      <c r="N10" s="308"/>
      <c r="O10" s="307">
        <v>25103.15</v>
      </c>
      <c r="P10" s="308"/>
      <c r="Q10" s="307">
        <v>13626.939999999999</v>
      </c>
      <c r="R10" s="308"/>
      <c r="S10" s="307">
        <v>10801.74</v>
      </c>
      <c r="T10" s="308"/>
      <c r="U10" s="307">
        <v>9300.3800000000574</v>
      </c>
      <c r="V10" s="308"/>
      <c r="W10" s="316">
        <v>9012.3500000000568</v>
      </c>
      <c r="X10" s="317"/>
      <c r="Y10" s="307">
        <v>21542.869999999966</v>
      </c>
      <c r="Z10" s="308"/>
      <c r="AA10" s="307">
        <v>39179.300000000156</v>
      </c>
      <c r="AB10" s="308"/>
      <c r="AC10" s="307">
        <v>58836.480000000069</v>
      </c>
      <c r="AD10" s="68">
        <f t="shared" si="0"/>
        <v>441169.52000000025</v>
      </c>
    </row>
    <row r="11" spans="1:30" x14ac:dyDescent="0.25">
      <c r="A11" s="299">
        <v>7</v>
      </c>
      <c r="B11" s="229" t="s">
        <v>116</v>
      </c>
      <c r="F11" s="305"/>
      <c r="G11" s="315">
        <v>260496.75</v>
      </c>
      <c r="H11" s="308"/>
      <c r="I11" s="307">
        <v>279285.98</v>
      </c>
      <c r="J11" s="308"/>
      <c r="K11" s="307">
        <v>300472.10000000003</v>
      </c>
      <c r="L11" s="308"/>
      <c r="M11" s="307">
        <v>164421.34</v>
      </c>
      <c r="N11" s="308"/>
      <c r="O11" s="307">
        <v>99366.31</v>
      </c>
      <c r="P11" s="308"/>
      <c r="Q11" s="307">
        <v>54238.939999999995</v>
      </c>
      <c r="R11" s="308"/>
      <c r="S11" s="307">
        <v>43085.749999999993</v>
      </c>
      <c r="T11" s="308"/>
      <c r="U11" s="307">
        <v>37147.089999999902</v>
      </c>
      <c r="V11" s="308"/>
      <c r="W11" s="316">
        <v>36023.059999999896</v>
      </c>
      <c r="X11" s="317"/>
      <c r="Y11" s="307">
        <v>85376.89000000013</v>
      </c>
      <c r="Z11" s="308"/>
      <c r="AA11" s="307">
        <v>164763.37</v>
      </c>
      <c r="AB11" s="308"/>
      <c r="AC11" s="307">
        <v>274743.24000000232</v>
      </c>
      <c r="AD11" s="68">
        <f t="shared" si="0"/>
        <v>1799420.8200000019</v>
      </c>
    </row>
    <row r="12" spans="1:30" x14ac:dyDescent="0.25">
      <c r="A12" s="299">
        <v>8</v>
      </c>
      <c r="B12" s="229" t="s">
        <v>117</v>
      </c>
      <c r="F12" s="305"/>
      <c r="G12" s="315">
        <v>-502156.72</v>
      </c>
      <c r="H12" s="308"/>
      <c r="I12" s="307">
        <v>-538378.4</v>
      </c>
      <c r="J12" s="308"/>
      <c r="K12" s="307">
        <v>-579222.6</v>
      </c>
      <c r="L12" s="308"/>
      <c r="M12" s="307">
        <v>-317048.08</v>
      </c>
      <c r="N12" s="308"/>
      <c r="O12" s="307">
        <v>-191555.88</v>
      </c>
      <c r="P12" s="308"/>
      <c r="Q12" s="307">
        <v>-104629.59</v>
      </c>
      <c r="R12" s="308"/>
      <c r="S12" s="307">
        <v>-83208.389999999985</v>
      </c>
      <c r="T12" s="308"/>
      <c r="U12" s="307">
        <v>-71775.449999999575</v>
      </c>
      <c r="V12" s="308"/>
      <c r="W12" s="316">
        <v>-69625.289999999601</v>
      </c>
      <c r="X12" s="317"/>
      <c r="Y12" s="307">
        <v>-164594.83000000034</v>
      </c>
      <c r="Z12" s="308"/>
      <c r="AA12" s="307">
        <v>-141379.54000000004</v>
      </c>
      <c r="AB12" s="308"/>
      <c r="AC12" s="307">
        <v>234549.39000000109</v>
      </c>
      <c r="AD12" s="68">
        <f t="shared" si="0"/>
        <v>-2529025.379999999</v>
      </c>
    </row>
    <row r="13" spans="1:30" x14ac:dyDescent="0.25">
      <c r="A13" s="299">
        <v>9</v>
      </c>
      <c r="B13" s="229" t="s">
        <v>118</v>
      </c>
      <c r="F13" s="305"/>
      <c r="G13" s="315">
        <v>150363.18</v>
      </c>
      <c r="H13" s="308"/>
      <c r="I13" s="307">
        <v>161200.32000000001</v>
      </c>
      <c r="J13" s="308"/>
      <c r="K13" s="307">
        <v>173427.29</v>
      </c>
      <c r="L13" s="308"/>
      <c r="M13" s="307">
        <v>94888.52</v>
      </c>
      <c r="N13" s="308"/>
      <c r="O13" s="307">
        <v>57386.93</v>
      </c>
      <c r="P13" s="308"/>
      <c r="Q13" s="307">
        <v>31336.27</v>
      </c>
      <c r="R13" s="308"/>
      <c r="S13" s="307">
        <v>24929.890000000003</v>
      </c>
      <c r="T13" s="308"/>
      <c r="U13" s="307">
        <v>21514.669999999962</v>
      </c>
      <c r="V13" s="308"/>
      <c r="W13" s="316">
        <v>20877.509999999947</v>
      </c>
      <c r="X13" s="317"/>
      <c r="Y13" s="307">
        <v>49293.549999999974</v>
      </c>
      <c r="Z13" s="308"/>
      <c r="AA13" s="307">
        <v>59022.970000000052</v>
      </c>
      <c r="AB13" s="308"/>
      <c r="AC13" s="307">
        <v>2106.0300000000038</v>
      </c>
      <c r="AD13" s="68">
        <f t="shared" si="0"/>
        <v>846347.13</v>
      </c>
    </row>
    <row r="14" spans="1:30" x14ac:dyDescent="0.25">
      <c r="A14" s="299">
        <v>10</v>
      </c>
      <c r="B14" s="229" t="s">
        <v>119</v>
      </c>
      <c r="F14" s="305"/>
      <c r="G14" s="315">
        <v>534993.67000000004</v>
      </c>
      <c r="H14" s="308"/>
      <c r="I14" s="307">
        <v>573574.09</v>
      </c>
      <c r="J14" s="308"/>
      <c r="K14" s="307">
        <v>617087.46</v>
      </c>
      <c r="L14" s="308"/>
      <c r="M14" s="307">
        <v>337842.75</v>
      </c>
      <c r="N14" s="308"/>
      <c r="O14" s="307">
        <v>204119.38</v>
      </c>
      <c r="P14" s="308"/>
      <c r="Q14" s="307">
        <v>111538.57999999999</v>
      </c>
      <c r="R14" s="308"/>
      <c r="S14" s="307">
        <v>88726.22</v>
      </c>
      <c r="T14" s="308"/>
      <c r="U14" s="307">
        <v>76538.619999999923</v>
      </c>
      <c r="V14" s="308"/>
      <c r="W14" s="316">
        <v>74250.129999999961</v>
      </c>
      <c r="X14" s="317"/>
      <c r="Y14" s="307">
        <v>175382.53999999998</v>
      </c>
      <c r="Z14" s="308"/>
      <c r="AA14" s="307">
        <v>315379.34999999951</v>
      </c>
      <c r="AB14" s="308"/>
      <c r="AC14" s="307">
        <v>464586.02999999875</v>
      </c>
      <c r="AD14" s="68">
        <f t="shared" si="0"/>
        <v>3574018.8199999989</v>
      </c>
    </row>
    <row r="15" spans="1:30" x14ac:dyDescent="0.25">
      <c r="A15" s="299">
        <v>11</v>
      </c>
      <c r="B15" s="318" t="s">
        <v>181</v>
      </c>
      <c r="F15" s="305"/>
      <c r="G15" s="315">
        <v>-139277.07999999999</v>
      </c>
      <c r="H15" s="308"/>
      <c r="I15" s="307">
        <v>-149321.51</v>
      </c>
      <c r="J15" s="308"/>
      <c r="K15" s="307">
        <v>-160645.72</v>
      </c>
      <c r="L15" s="308"/>
      <c r="M15" s="307">
        <v>-87900.17</v>
      </c>
      <c r="N15" s="308"/>
      <c r="O15" s="307">
        <v>-53115.56</v>
      </c>
      <c r="P15" s="308"/>
      <c r="Q15" s="307">
        <v>-28982.67</v>
      </c>
      <c r="R15" s="308"/>
      <c r="S15" s="307">
        <v>-23027.41</v>
      </c>
      <c r="T15" s="308"/>
      <c r="U15" s="307">
        <v>-19861.46999999995</v>
      </c>
      <c r="V15" s="308"/>
      <c r="W15" s="316">
        <v>-19269.969999999943</v>
      </c>
      <c r="X15" s="317"/>
      <c r="Y15" s="307">
        <v>-45638.790000000045</v>
      </c>
      <c r="Z15" s="308"/>
      <c r="AA15" s="307">
        <v>-86962.85</v>
      </c>
      <c r="AB15" s="308"/>
      <c r="AC15" s="307">
        <v>-142018.98000000106</v>
      </c>
      <c r="AD15" s="68">
        <f t="shared" si="0"/>
        <v>-956022.1800000011</v>
      </c>
    </row>
    <row r="16" spans="1:30" x14ac:dyDescent="0.25">
      <c r="A16" s="299">
        <v>12</v>
      </c>
      <c r="B16" s="318" t="s">
        <v>182</v>
      </c>
      <c r="F16" s="305"/>
      <c r="G16" s="311">
        <v>-64759.08</v>
      </c>
      <c r="H16" s="308"/>
      <c r="I16" s="307">
        <v>-69435.16</v>
      </c>
      <c r="J16" s="308"/>
      <c r="K16" s="307">
        <v>-74702.460000000006</v>
      </c>
      <c r="L16" s="308"/>
      <c r="M16" s="307">
        <v>-40874.629999999997</v>
      </c>
      <c r="N16" s="308"/>
      <c r="O16" s="307">
        <v>-24701.53</v>
      </c>
      <c r="P16" s="308"/>
      <c r="Q16" s="307">
        <v>-13475.820000000002</v>
      </c>
      <c r="R16" s="308"/>
      <c r="S16" s="307">
        <v>-10712.03</v>
      </c>
      <c r="T16" s="308"/>
      <c r="U16" s="307">
        <v>-9239.3200000000525</v>
      </c>
      <c r="V16" s="308"/>
      <c r="W16" s="316">
        <v>-8960.5900000000529</v>
      </c>
      <c r="X16" s="317"/>
      <c r="Y16" s="307">
        <v>-21217.219999999987</v>
      </c>
      <c r="Z16" s="308"/>
      <c r="AA16" s="307">
        <v>-37519.840000000193</v>
      </c>
      <c r="AB16" s="308"/>
      <c r="AC16" s="307">
        <v>-53147.17000000018</v>
      </c>
      <c r="AD16" s="68">
        <f t="shared" si="0"/>
        <v>-428744.85000000044</v>
      </c>
    </row>
    <row r="17" spans="1:30" x14ac:dyDescent="0.25">
      <c r="A17" s="299">
        <v>13</v>
      </c>
      <c r="B17" s="318" t="s">
        <v>183</v>
      </c>
      <c r="F17" s="305"/>
      <c r="G17" s="315">
        <v>-118658.05</v>
      </c>
      <c r="H17" s="308"/>
      <c r="I17" s="307">
        <v>-127220.94</v>
      </c>
      <c r="J17" s="308"/>
      <c r="K17" s="307">
        <v>-136878.6</v>
      </c>
      <c r="L17" s="308"/>
      <c r="M17" s="307">
        <v>-74853.320000000007</v>
      </c>
      <c r="N17" s="308"/>
      <c r="O17" s="307">
        <v>-45224.77</v>
      </c>
      <c r="P17" s="308"/>
      <c r="Q17" s="307">
        <v>-24684.59</v>
      </c>
      <c r="R17" s="308"/>
      <c r="S17" s="307">
        <v>-19625.54</v>
      </c>
      <c r="T17" s="308"/>
      <c r="U17" s="307">
        <v>-16914.649999999972</v>
      </c>
      <c r="V17" s="308"/>
      <c r="W17" s="316">
        <v>-16398.499999999964</v>
      </c>
      <c r="X17" s="317"/>
      <c r="Y17" s="307">
        <v>-38854.949999999968</v>
      </c>
      <c r="Z17" s="308"/>
      <c r="AA17" s="307">
        <v>-46544.749999999898</v>
      </c>
      <c r="AB17" s="308"/>
      <c r="AC17" s="307">
        <v>-1643.2900000000043</v>
      </c>
      <c r="AD17" s="68">
        <f t="shared" si="0"/>
        <v>-667501.94999999995</v>
      </c>
    </row>
    <row r="18" spans="1:30" x14ac:dyDescent="0.25">
      <c r="A18" s="299">
        <v>14</v>
      </c>
      <c r="B18" s="229" t="s">
        <v>120</v>
      </c>
      <c r="F18" s="305"/>
      <c r="G18" s="315">
        <v>731771.17</v>
      </c>
      <c r="H18" s="308"/>
      <c r="I18" s="307">
        <v>785548.47</v>
      </c>
      <c r="J18" s="308"/>
      <c r="K18" s="307">
        <v>856306.87</v>
      </c>
      <c r="L18" s="308"/>
      <c r="M18" s="307">
        <v>498969.66</v>
      </c>
      <c r="N18" s="308"/>
      <c r="O18" s="307">
        <v>323529.15000000002</v>
      </c>
      <c r="P18" s="308"/>
      <c r="Q18" s="307">
        <v>199519.88</v>
      </c>
      <c r="R18" s="308"/>
      <c r="S18" s="307">
        <v>168225.07</v>
      </c>
      <c r="T18" s="308"/>
      <c r="U18" s="307">
        <v>154753.43000000037</v>
      </c>
      <c r="V18" s="308"/>
      <c r="W18" s="316">
        <v>149535.53000000041</v>
      </c>
      <c r="X18" s="317"/>
      <c r="Y18" s="307">
        <v>283745.92999999959</v>
      </c>
      <c r="Z18" s="308"/>
      <c r="AA18" s="307">
        <v>513950.299999999</v>
      </c>
      <c r="AB18" s="308"/>
      <c r="AC18" s="307">
        <v>840306.26999999722</v>
      </c>
      <c r="AD18" s="68">
        <f t="shared" si="0"/>
        <v>5506161.7299999967</v>
      </c>
    </row>
    <row r="19" spans="1:30" x14ac:dyDescent="0.25">
      <c r="A19" s="299">
        <v>15</v>
      </c>
      <c r="B19" s="229" t="s">
        <v>122</v>
      </c>
      <c r="F19" s="305"/>
      <c r="G19" s="315">
        <v>2794.62</v>
      </c>
      <c r="H19" s="308"/>
      <c r="I19" s="307">
        <v>2949.31</v>
      </c>
      <c r="J19" s="308"/>
      <c r="K19" s="307">
        <v>3589.15</v>
      </c>
      <c r="L19" s="308"/>
      <c r="M19" s="307">
        <v>2050.19</v>
      </c>
      <c r="N19" s="308"/>
      <c r="O19" s="307">
        <v>1091.04</v>
      </c>
      <c r="P19" s="308"/>
      <c r="Q19" s="307">
        <v>689.89</v>
      </c>
      <c r="R19" s="308"/>
      <c r="S19" s="307">
        <v>603.13</v>
      </c>
      <c r="T19" s="308"/>
      <c r="U19" s="307"/>
      <c r="V19" s="308"/>
      <c r="W19" s="316"/>
      <c r="X19" s="317"/>
      <c r="Y19" s="307"/>
      <c r="Z19" s="308"/>
      <c r="AA19" s="307"/>
      <c r="AB19" s="308"/>
      <c r="AC19" s="307"/>
      <c r="AD19" s="68">
        <f t="shared" si="0"/>
        <v>13767.33</v>
      </c>
    </row>
    <row r="20" spans="1:30" x14ac:dyDescent="0.25">
      <c r="A20" s="299">
        <v>16</v>
      </c>
      <c r="B20" s="229" t="s">
        <v>121</v>
      </c>
      <c r="F20" s="305"/>
      <c r="G20" s="315">
        <v>284.5</v>
      </c>
      <c r="H20" s="308"/>
      <c r="I20" s="307">
        <v>270.78000000000003</v>
      </c>
      <c r="J20" s="308"/>
      <c r="K20" s="307">
        <v>336.81</v>
      </c>
      <c r="L20" s="308"/>
      <c r="M20" s="307">
        <v>171.04</v>
      </c>
      <c r="N20" s="308"/>
      <c r="O20" s="307">
        <v>149.83000000000001</v>
      </c>
      <c r="P20" s="308"/>
      <c r="Q20" s="307">
        <v>76.77</v>
      </c>
      <c r="R20" s="308"/>
      <c r="S20" s="307"/>
      <c r="T20" s="308"/>
      <c r="U20" s="307"/>
      <c r="V20" s="308"/>
      <c r="W20" s="316"/>
      <c r="X20" s="317"/>
      <c r="Y20" s="307"/>
      <c r="Z20" s="308"/>
      <c r="AA20" s="307"/>
      <c r="AB20" s="308"/>
      <c r="AC20" s="307"/>
      <c r="AD20" s="68">
        <f t="shared" si="0"/>
        <v>1289.7299999999998</v>
      </c>
    </row>
    <row r="21" spans="1:30" x14ac:dyDescent="0.25">
      <c r="A21" s="299">
        <v>17</v>
      </c>
      <c r="B21" s="229" t="s">
        <v>123</v>
      </c>
      <c r="C21" s="319"/>
      <c r="D21" s="319"/>
      <c r="E21" s="319"/>
      <c r="F21" s="305"/>
      <c r="G21" s="315">
        <v>-91.34</v>
      </c>
      <c r="H21" s="308"/>
      <c r="I21" s="307">
        <v>-85.84</v>
      </c>
      <c r="J21" s="308"/>
      <c r="K21" s="307">
        <v>-118.35</v>
      </c>
      <c r="L21" s="308"/>
      <c r="M21" s="307">
        <v>-65.84</v>
      </c>
      <c r="N21" s="308"/>
      <c r="O21" s="307">
        <v>-47.96</v>
      </c>
      <c r="P21" s="308"/>
      <c r="Q21" s="307">
        <v>-27.770000000000003</v>
      </c>
      <c r="R21" s="308"/>
      <c r="S21" s="307">
        <v>46.779999999999994</v>
      </c>
      <c r="T21" s="308"/>
      <c r="U21" s="307">
        <v>-19.919999999999998</v>
      </c>
      <c r="V21" s="308"/>
      <c r="W21" s="316">
        <v>-18.73</v>
      </c>
      <c r="X21" s="317"/>
      <c r="Y21" s="307">
        <v>-116.73000000000002</v>
      </c>
      <c r="Z21" s="308"/>
      <c r="AA21" s="307">
        <v>-63.14</v>
      </c>
      <c r="AB21" s="308"/>
      <c r="AC21" s="307">
        <v>-101.1</v>
      </c>
      <c r="AD21" s="68">
        <f t="shared" si="0"/>
        <v>-709.94</v>
      </c>
    </row>
    <row r="22" spans="1:30" x14ac:dyDescent="0.25">
      <c r="A22" s="299">
        <v>18</v>
      </c>
      <c r="B22" s="299" t="s">
        <v>124</v>
      </c>
      <c r="F22" s="305"/>
      <c r="G22" s="315">
        <v>2909.03</v>
      </c>
      <c r="H22" s="308"/>
      <c r="I22" s="307">
        <v>3282.99</v>
      </c>
      <c r="J22" s="308"/>
      <c r="K22" s="307">
        <v>3375.39</v>
      </c>
      <c r="L22" s="308"/>
      <c r="M22" s="307">
        <v>1578.75</v>
      </c>
      <c r="N22" s="308"/>
      <c r="O22" s="307">
        <v>840.65</v>
      </c>
      <c r="P22" s="308"/>
      <c r="Q22" s="307">
        <v>501.37</v>
      </c>
      <c r="R22" s="308"/>
      <c r="S22" s="307">
        <v>529.22</v>
      </c>
      <c r="T22" s="308"/>
      <c r="U22" s="307">
        <v>477.24</v>
      </c>
      <c r="V22" s="308"/>
      <c r="W22" s="316">
        <v>507.70999999999975</v>
      </c>
      <c r="X22" s="317"/>
      <c r="Y22" s="307">
        <v>1107.7100000000003</v>
      </c>
      <c r="Z22" s="308"/>
      <c r="AA22" s="307">
        <v>2233.9499999999998</v>
      </c>
      <c r="AB22" s="308"/>
      <c r="AC22" s="307">
        <v>3312.719999999998</v>
      </c>
      <c r="AD22" s="68">
        <f t="shared" si="0"/>
        <v>20656.729999999996</v>
      </c>
    </row>
    <row r="23" spans="1:30" x14ac:dyDescent="0.25">
      <c r="A23" s="299">
        <v>19</v>
      </c>
      <c r="B23" s="229" t="s">
        <v>29</v>
      </c>
      <c r="F23" s="305"/>
      <c r="G23" s="315">
        <v>-10.64</v>
      </c>
      <c r="H23" s="308"/>
      <c r="I23" s="307">
        <v>-10.64</v>
      </c>
      <c r="J23" s="308"/>
      <c r="K23" s="307">
        <v>-33.08</v>
      </c>
      <c r="L23" s="308"/>
      <c r="M23" s="307">
        <v>-55.39</v>
      </c>
      <c r="N23" s="308"/>
      <c r="O23" s="307">
        <v>-14.61</v>
      </c>
      <c r="P23" s="308"/>
      <c r="Q23" s="307">
        <v>-10.620000000000001</v>
      </c>
      <c r="R23" s="308"/>
      <c r="S23" s="307">
        <v>-15.3</v>
      </c>
      <c r="T23" s="308"/>
      <c r="U23" s="307"/>
      <c r="V23" s="308"/>
      <c r="W23" s="316"/>
      <c r="X23" s="317"/>
      <c r="Y23" s="307">
        <v>-221.14000000000001</v>
      </c>
      <c r="Z23" s="308"/>
      <c r="AA23" s="307">
        <v>-5.43</v>
      </c>
      <c r="AB23" s="308"/>
      <c r="AC23" s="307">
        <v>-5</v>
      </c>
      <c r="AD23" s="68">
        <f t="shared" si="0"/>
        <v>-381.85</v>
      </c>
    </row>
    <row r="24" spans="1:30" x14ac:dyDescent="0.25">
      <c r="A24" s="299">
        <v>20</v>
      </c>
      <c r="B24" s="229" t="s">
        <v>30</v>
      </c>
      <c r="F24" s="305"/>
      <c r="G24" s="307">
        <f>SUM(G6:G23)</f>
        <v>15637268.009999996</v>
      </c>
      <c r="H24" s="307"/>
      <c r="I24" s="307">
        <f>SUM(I6:I23)</f>
        <v>16698186.09</v>
      </c>
      <c r="J24" s="307"/>
      <c r="K24" s="307">
        <f>SUM(K6:K23)</f>
        <v>17907019.800000004</v>
      </c>
      <c r="L24" s="307"/>
      <c r="M24" s="307">
        <f>SUM(M6:M23)</f>
        <v>10523482.319999995</v>
      </c>
      <c r="N24" s="307"/>
      <c r="O24" s="307">
        <f>SUM(O6:O23)</f>
        <v>7164907.2400000002</v>
      </c>
      <c r="P24" s="307"/>
      <c r="Q24" s="307">
        <f>SUM(Q6:Q23)</f>
        <v>4380059.21</v>
      </c>
      <c r="R24" s="307"/>
      <c r="S24" s="307">
        <f>SUM(S6:S23)</f>
        <v>3691214.3100000005</v>
      </c>
      <c r="T24" s="307"/>
      <c r="U24" s="307">
        <f>SUM(U6:U23)</f>
        <v>3324054.4600000056</v>
      </c>
      <c r="V24" s="307"/>
      <c r="W24" s="307">
        <f>SUM(W6:W23)</f>
        <v>3251037.1500000064</v>
      </c>
      <c r="X24" s="307"/>
      <c r="Y24" s="307">
        <f>SUM(Y6:Y23)</f>
        <v>6308256.6299999999</v>
      </c>
      <c r="Z24" s="307"/>
      <c r="AA24" s="307">
        <f>SUM(AA6:AA23)</f>
        <v>11119945.760000031</v>
      </c>
      <c r="AB24" s="307"/>
      <c r="AC24" s="307">
        <f>SUM(AC6:AC23)</f>
        <v>17568222.150000021</v>
      </c>
      <c r="AD24" s="68">
        <f t="shared" si="0"/>
        <v>117573653.13000005</v>
      </c>
    </row>
    <row r="25" spans="1:30" x14ac:dyDescent="0.25">
      <c r="A25" s="299">
        <v>21</v>
      </c>
      <c r="B25" s="229" t="s">
        <v>31</v>
      </c>
      <c r="E25" s="294"/>
      <c r="F25" s="309"/>
      <c r="G25" s="308">
        <v>19425579</v>
      </c>
      <c r="H25" s="308"/>
      <c r="I25" s="308">
        <v>20826493</v>
      </c>
      <c r="J25" s="308"/>
      <c r="K25" s="308">
        <v>22406682</v>
      </c>
      <c r="L25" s="308"/>
      <c r="M25" s="305">
        <v>12262419</v>
      </c>
      <c r="O25" s="308">
        <v>7409574</v>
      </c>
      <c r="P25" s="308"/>
      <c r="Q25" s="308">
        <v>5484878</v>
      </c>
      <c r="R25" s="308"/>
      <c r="S25" s="308">
        <v>3217527</v>
      </c>
      <c r="T25" s="311"/>
      <c r="U25" s="308">
        <v>2775098</v>
      </c>
      <c r="V25" s="311"/>
      <c r="W25" s="296">
        <v>2691847</v>
      </c>
      <c r="X25" s="312"/>
      <c r="Y25" s="308">
        <v>6366761</v>
      </c>
      <c r="Z25" s="311"/>
      <c r="AA25" s="308">
        <v>11628968</v>
      </c>
      <c r="AB25" s="311"/>
      <c r="AC25" s="308">
        <v>17650518</v>
      </c>
      <c r="AD25" s="47">
        <f t="shared" si="0"/>
        <v>132146344</v>
      </c>
    </row>
    <row r="26" spans="1:30" x14ac:dyDescent="0.25">
      <c r="A26" s="299">
        <v>22</v>
      </c>
      <c r="B26" s="299" t="s">
        <v>32</v>
      </c>
      <c r="E26" s="294"/>
      <c r="F26" s="309"/>
      <c r="G26" s="308">
        <v>0</v>
      </c>
      <c r="H26" s="308"/>
      <c r="I26" s="308"/>
      <c r="J26" s="308"/>
      <c r="K26" s="308">
        <v>-6</v>
      </c>
      <c r="L26" s="308"/>
      <c r="M26" s="308">
        <v>-61</v>
      </c>
      <c r="N26" s="308"/>
      <c r="O26" s="308">
        <v>-5</v>
      </c>
      <c r="P26" s="308"/>
      <c r="Q26" s="308"/>
      <c r="R26" s="308"/>
      <c r="S26" s="308"/>
      <c r="T26" s="311"/>
      <c r="U26" s="291"/>
      <c r="V26" s="294"/>
      <c r="W26" s="296"/>
      <c r="X26" s="312"/>
      <c r="Y26" s="291">
        <v>-294</v>
      </c>
      <c r="Z26" s="294"/>
      <c r="AA26" s="308"/>
      <c r="AB26" s="311"/>
      <c r="AC26" s="291"/>
      <c r="AD26" s="47">
        <f t="shared" si="0"/>
        <v>-366</v>
      </c>
    </row>
    <row r="27" spans="1:30" x14ac:dyDescent="0.25">
      <c r="A27" s="299">
        <v>23</v>
      </c>
      <c r="B27" s="299" t="s">
        <v>33</v>
      </c>
      <c r="C27" s="301"/>
      <c r="D27" s="301"/>
      <c r="E27" s="320"/>
      <c r="F27" s="309"/>
      <c r="G27" s="308">
        <f t="shared" ref="G27:O27" si="1">SUM(G25:G26)</f>
        <v>19425579</v>
      </c>
      <c r="H27" s="308">
        <f t="shared" si="1"/>
        <v>0</v>
      </c>
      <c r="I27" s="308">
        <f t="shared" si="1"/>
        <v>20826493</v>
      </c>
      <c r="J27" s="308">
        <f t="shared" si="1"/>
        <v>0</v>
      </c>
      <c r="K27" s="308">
        <f t="shared" si="1"/>
        <v>22406676</v>
      </c>
      <c r="L27" s="308">
        <f t="shared" si="1"/>
        <v>0</v>
      </c>
      <c r="M27" s="308">
        <f t="shared" si="1"/>
        <v>12262358</v>
      </c>
      <c r="N27" s="308">
        <f t="shared" si="1"/>
        <v>0</v>
      </c>
      <c r="O27" s="308">
        <f t="shared" si="1"/>
        <v>7409569</v>
      </c>
      <c r="P27" s="308"/>
      <c r="Q27" s="308">
        <f>SUM(Q25:Q26)</f>
        <v>5484878</v>
      </c>
      <c r="R27" s="308"/>
      <c r="S27" s="308">
        <f>SUM(S25:S26)</f>
        <v>3217527</v>
      </c>
      <c r="T27" s="311"/>
      <c r="U27" s="308">
        <f>SUM(U25:U26)</f>
        <v>2775098</v>
      </c>
      <c r="V27" s="311"/>
      <c r="W27" s="308">
        <f>SUM(W25:W26)</f>
        <v>2691847</v>
      </c>
      <c r="X27" s="311"/>
      <c r="Y27" s="308">
        <f>SUM(Y25:Y26)</f>
        <v>6366467</v>
      </c>
      <c r="Z27" s="311"/>
      <c r="AA27" s="308">
        <f>SUM(AA25:AA26)</f>
        <v>11628968</v>
      </c>
      <c r="AB27" s="311"/>
      <c r="AC27" s="308">
        <f>SUM(AC25:AC26)</f>
        <v>17650518</v>
      </c>
      <c r="AD27" s="47">
        <f t="shared" si="0"/>
        <v>132145978</v>
      </c>
    </row>
    <row r="28" spans="1:30" x14ac:dyDescent="0.25">
      <c r="A28" s="299">
        <v>24</v>
      </c>
      <c r="C28" s="301"/>
      <c r="D28" s="301"/>
      <c r="E28" s="301"/>
      <c r="F28" s="305"/>
      <c r="G28" s="306"/>
      <c r="H28" s="305"/>
      <c r="I28" s="306"/>
      <c r="J28" s="305"/>
      <c r="K28" s="306"/>
      <c r="L28" s="305"/>
      <c r="M28" s="306"/>
    </row>
    <row r="29" spans="1:30" x14ac:dyDescent="0.25">
      <c r="A29" s="299">
        <v>25</v>
      </c>
      <c r="B29" s="314" t="s">
        <v>166</v>
      </c>
    </row>
    <row r="30" spans="1:30" x14ac:dyDescent="0.25">
      <c r="A30" s="299">
        <v>26</v>
      </c>
      <c r="B30" s="229" t="s">
        <v>9</v>
      </c>
      <c r="C30" s="269">
        <v>13</v>
      </c>
      <c r="D30" s="269"/>
      <c r="E30" s="269"/>
      <c r="F30" s="291">
        <f>G30/$C$30</f>
        <v>1</v>
      </c>
      <c r="G30" s="269">
        <v>13</v>
      </c>
      <c r="H30" s="291">
        <f>I30/$C$30</f>
        <v>1</v>
      </c>
      <c r="I30" s="307">
        <v>13</v>
      </c>
      <c r="J30" s="291">
        <f>K30/$C$30</f>
        <v>1</v>
      </c>
      <c r="K30" s="307">
        <v>13</v>
      </c>
      <c r="L30" s="291">
        <f>M30/$C$30</f>
        <v>1</v>
      </c>
      <c r="M30" s="307">
        <v>13</v>
      </c>
      <c r="N30" s="291">
        <f>O30/$C$30</f>
        <v>1</v>
      </c>
      <c r="O30" s="307">
        <v>13</v>
      </c>
      <c r="P30" s="291">
        <f>Q30/$C$30</f>
        <v>1</v>
      </c>
      <c r="Q30" s="307">
        <v>13</v>
      </c>
      <c r="R30" s="291">
        <f>S30/$C$30</f>
        <v>1</v>
      </c>
      <c r="S30" s="307">
        <v>13</v>
      </c>
      <c r="T30" s="291">
        <f>U30/$C$30</f>
        <v>1</v>
      </c>
      <c r="U30" s="307">
        <v>13</v>
      </c>
      <c r="V30" s="291">
        <f>W30/$C$30</f>
        <v>1</v>
      </c>
      <c r="W30" s="316">
        <v>13</v>
      </c>
      <c r="X30" s="291">
        <f>Y30/$C$30</f>
        <v>1</v>
      </c>
      <c r="Y30" s="307">
        <v>13</v>
      </c>
      <c r="Z30" s="291">
        <f>AA30/$C$30</f>
        <v>1</v>
      </c>
      <c r="AA30" s="307">
        <v>13</v>
      </c>
      <c r="AB30" s="291">
        <f>AC30/$C$30</f>
        <v>1</v>
      </c>
      <c r="AC30" s="307">
        <v>13</v>
      </c>
      <c r="AD30" s="68">
        <f>SUM(G30,I30,K30,M30,O30,Q30,S30,U30,W30,Y30,AA30,AC30)</f>
        <v>156</v>
      </c>
    </row>
    <row r="31" spans="1:30" x14ac:dyDescent="0.25">
      <c r="A31" s="299">
        <v>27</v>
      </c>
      <c r="B31" s="229" t="s">
        <v>28</v>
      </c>
      <c r="G31" s="269">
        <v>1137.43</v>
      </c>
      <c r="I31" s="307">
        <v>1070.55</v>
      </c>
      <c r="J31" s="308"/>
      <c r="K31" s="307">
        <v>1269.57</v>
      </c>
      <c r="L31" s="308"/>
      <c r="M31" s="307">
        <v>816.22</v>
      </c>
      <c r="N31" s="308"/>
      <c r="O31" s="307">
        <v>522.54999999999995</v>
      </c>
      <c r="P31" s="308"/>
      <c r="Q31" s="307">
        <v>149.27000000000001</v>
      </c>
      <c r="R31" s="308"/>
      <c r="S31" s="307">
        <v>84.93</v>
      </c>
      <c r="T31" s="308"/>
      <c r="U31" s="307">
        <v>35.869999999999997</v>
      </c>
      <c r="V31" s="308"/>
      <c r="W31" s="316">
        <v>31.94</v>
      </c>
      <c r="X31" s="317"/>
      <c r="Y31" s="307">
        <v>143.25</v>
      </c>
      <c r="Z31" s="308"/>
      <c r="AA31" s="307">
        <v>683.85</v>
      </c>
      <c r="AB31" s="308"/>
      <c r="AC31" s="307">
        <v>915.96</v>
      </c>
      <c r="AD31" s="68">
        <f t="shared" ref="AD31:AD46" si="2">SUM(G31:AC31)</f>
        <v>6861.3900000000012</v>
      </c>
    </row>
    <row r="32" spans="1:30" x14ac:dyDescent="0.25">
      <c r="A32" s="299">
        <v>28</v>
      </c>
      <c r="B32" s="229" t="s">
        <v>11</v>
      </c>
      <c r="G32" s="269">
        <v>2128.88</v>
      </c>
      <c r="I32" s="307">
        <v>2003.71</v>
      </c>
      <c r="J32" s="308"/>
      <c r="K32" s="307">
        <v>2376.21</v>
      </c>
      <c r="L32" s="308"/>
      <c r="M32" s="307">
        <v>1527.68</v>
      </c>
      <c r="N32" s="308"/>
      <c r="O32" s="307">
        <v>978.03</v>
      </c>
      <c r="P32" s="308"/>
      <c r="Q32" s="307">
        <v>279.38</v>
      </c>
      <c r="R32" s="308"/>
      <c r="S32" s="307">
        <v>158.96</v>
      </c>
      <c r="T32" s="308"/>
      <c r="U32" s="307">
        <v>67.14</v>
      </c>
      <c r="V32" s="308"/>
      <c r="W32" s="316">
        <v>59.77</v>
      </c>
      <c r="X32" s="317"/>
      <c r="Y32" s="307">
        <v>268.11</v>
      </c>
      <c r="Z32" s="308"/>
      <c r="AA32" s="307">
        <v>1279.93</v>
      </c>
      <c r="AB32" s="308"/>
      <c r="AC32" s="307">
        <v>1724.03</v>
      </c>
      <c r="AD32" s="68">
        <f t="shared" si="2"/>
        <v>12851.83</v>
      </c>
    </row>
    <row r="33" spans="1:31" x14ac:dyDescent="0.25">
      <c r="A33" s="299">
        <v>29</v>
      </c>
      <c r="B33" s="229" t="s">
        <v>484</v>
      </c>
      <c r="I33" s="307"/>
      <c r="J33" s="308"/>
      <c r="K33" s="307"/>
      <c r="L33" s="308"/>
      <c r="M33" s="307"/>
      <c r="N33" s="308"/>
      <c r="O33" s="307">
        <v>171.95</v>
      </c>
      <c r="P33" s="308"/>
      <c r="Q33" s="307">
        <v>49.12</v>
      </c>
      <c r="R33" s="308"/>
      <c r="S33" s="307">
        <v>27.95</v>
      </c>
      <c r="T33" s="308"/>
      <c r="U33" s="307">
        <v>11.8</v>
      </c>
      <c r="V33" s="308"/>
      <c r="W33" s="316">
        <v>10.51</v>
      </c>
      <c r="X33" s="317"/>
      <c r="Y33" s="307">
        <v>47.14</v>
      </c>
      <c r="Z33" s="308"/>
      <c r="AA33" s="307">
        <v>225.02</v>
      </c>
      <c r="AB33" s="308"/>
      <c r="AC33" s="307">
        <v>535.52</v>
      </c>
      <c r="AD33" s="68">
        <f t="shared" si="2"/>
        <v>1079.01</v>
      </c>
    </row>
    <row r="34" spans="1:31" x14ac:dyDescent="0.25">
      <c r="A34" s="299">
        <v>30</v>
      </c>
      <c r="B34" s="229" t="s">
        <v>115</v>
      </c>
      <c r="G34" s="269">
        <v>13.47</v>
      </c>
      <c r="I34" s="307">
        <v>12.68</v>
      </c>
      <c r="J34" s="308"/>
      <c r="K34" s="307">
        <v>15.03</v>
      </c>
      <c r="L34" s="308"/>
      <c r="M34" s="307">
        <v>9.66</v>
      </c>
      <c r="N34" s="308"/>
      <c r="O34" s="307">
        <v>6.19</v>
      </c>
      <c r="P34" s="308"/>
      <c r="Q34" s="307">
        <v>1.77</v>
      </c>
      <c r="R34" s="308"/>
      <c r="S34" s="307">
        <v>1.01</v>
      </c>
      <c r="T34" s="308"/>
      <c r="U34" s="307">
        <v>0.42</v>
      </c>
      <c r="V34" s="308"/>
      <c r="W34" s="316">
        <v>0.38</v>
      </c>
      <c r="X34" s="317"/>
      <c r="Y34" s="307">
        <v>1.7</v>
      </c>
      <c r="Z34" s="308"/>
      <c r="AA34" s="307">
        <v>8.1</v>
      </c>
      <c r="AB34" s="308"/>
      <c r="AC34" s="307">
        <v>10.65</v>
      </c>
      <c r="AD34" s="68">
        <f t="shared" si="2"/>
        <v>81.060000000000016</v>
      </c>
    </row>
    <row r="35" spans="1:31" x14ac:dyDescent="0.25">
      <c r="A35" s="299">
        <v>31</v>
      </c>
      <c r="B35" s="226" t="s">
        <v>116</v>
      </c>
      <c r="G35" s="269">
        <v>44.68</v>
      </c>
      <c r="I35" s="307">
        <v>42.05</v>
      </c>
      <c r="J35" s="308"/>
      <c r="K35" s="307">
        <v>49.87</v>
      </c>
      <c r="L35" s="308"/>
      <c r="M35" s="307">
        <v>32.06</v>
      </c>
      <c r="N35" s="308"/>
      <c r="O35" s="307">
        <v>20.53</v>
      </c>
      <c r="P35" s="308"/>
      <c r="Q35" s="307">
        <v>5.86</v>
      </c>
      <c r="R35" s="308"/>
      <c r="S35" s="307">
        <v>3.34</v>
      </c>
      <c r="T35" s="308"/>
      <c r="U35" s="307">
        <v>1.41</v>
      </c>
      <c r="V35" s="308"/>
      <c r="W35" s="316">
        <v>1.25</v>
      </c>
      <c r="X35" s="317"/>
      <c r="Y35" s="307">
        <v>5.63</v>
      </c>
      <c r="Z35" s="308"/>
      <c r="AA35" s="307">
        <v>26.86</v>
      </c>
      <c r="AB35" s="308"/>
      <c r="AC35" s="307">
        <v>40.25</v>
      </c>
      <c r="AD35" s="68">
        <f t="shared" si="2"/>
        <v>273.79000000000002</v>
      </c>
    </row>
    <row r="36" spans="1:31" x14ac:dyDescent="0.25">
      <c r="A36" s="299">
        <v>32</v>
      </c>
      <c r="B36" s="226" t="s">
        <v>117</v>
      </c>
      <c r="G36" s="269">
        <v>-149.66</v>
      </c>
      <c r="I36" s="307">
        <v>-140.86000000000001</v>
      </c>
      <c r="J36" s="308"/>
      <c r="K36" s="307">
        <v>-167.05</v>
      </c>
      <c r="L36" s="308"/>
      <c r="M36" s="307">
        <v>-107.4</v>
      </c>
      <c r="N36" s="308"/>
      <c r="O36" s="307">
        <v>-68.760000000000005</v>
      </c>
      <c r="P36" s="308"/>
      <c r="Q36" s="307">
        <v>-19.64</v>
      </c>
      <c r="R36" s="308"/>
      <c r="S36" s="307">
        <v>-11.18</v>
      </c>
      <c r="T36" s="308"/>
      <c r="U36" s="307">
        <v>-4.72</v>
      </c>
      <c r="V36" s="308"/>
      <c r="W36" s="316">
        <v>-4.2</v>
      </c>
      <c r="X36" s="317"/>
      <c r="Y36" s="307">
        <v>-18.850000000000001</v>
      </c>
      <c r="Z36" s="308"/>
      <c r="AA36" s="307">
        <v>-89.98</v>
      </c>
      <c r="AB36" s="308"/>
      <c r="AC36" s="307">
        <v>3.21</v>
      </c>
      <c r="AD36" s="68">
        <f t="shared" si="2"/>
        <v>-779.09</v>
      </c>
    </row>
    <row r="37" spans="1:31" x14ac:dyDescent="0.25">
      <c r="A37" s="299">
        <v>33</v>
      </c>
      <c r="B37" s="226" t="s">
        <v>118</v>
      </c>
      <c r="G37" s="269">
        <v>38.04</v>
      </c>
      <c r="I37" s="307">
        <v>35.81</v>
      </c>
      <c r="J37" s="308"/>
      <c r="K37" s="307">
        <v>42.46</v>
      </c>
      <c r="L37" s="308"/>
      <c r="M37" s="307">
        <v>27.3</v>
      </c>
      <c r="N37" s="308"/>
      <c r="O37" s="307">
        <v>17.48</v>
      </c>
      <c r="P37" s="308"/>
      <c r="Q37" s="307">
        <v>4.99</v>
      </c>
      <c r="R37" s="308"/>
      <c r="S37" s="307">
        <v>2.84</v>
      </c>
      <c r="T37" s="308"/>
      <c r="U37" s="307">
        <v>1.2</v>
      </c>
      <c r="V37" s="308"/>
      <c r="W37" s="316">
        <v>1.07</v>
      </c>
      <c r="X37" s="317"/>
      <c r="Y37" s="307">
        <v>4.79</v>
      </c>
      <c r="Z37" s="308"/>
      <c r="AA37" s="307">
        <v>22.87</v>
      </c>
      <c r="AB37" s="308"/>
      <c r="AC37" s="307"/>
      <c r="AD37" s="68">
        <f t="shared" si="2"/>
        <v>198.85</v>
      </c>
    </row>
    <row r="38" spans="1:31" x14ac:dyDescent="0.25">
      <c r="A38" s="299">
        <v>34</v>
      </c>
      <c r="B38" s="226" t="s">
        <v>119</v>
      </c>
      <c r="G38" s="269">
        <v>135.36000000000001</v>
      </c>
      <c r="I38" s="307">
        <v>127.4</v>
      </c>
      <c r="J38" s="308"/>
      <c r="K38" s="307">
        <v>151.08000000000001</v>
      </c>
      <c r="L38" s="308"/>
      <c r="M38" s="307">
        <v>97.13</v>
      </c>
      <c r="N38" s="308"/>
      <c r="O38" s="307">
        <v>62.190000000000012</v>
      </c>
      <c r="P38" s="308"/>
      <c r="Q38" s="307">
        <v>17.760000000000002</v>
      </c>
      <c r="R38" s="308"/>
      <c r="S38" s="307">
        <v>10.11</v>
      </c>
      <c r="T38" s="308"/>
      <c r="U38" s="307">
        <v>4.2699999999999996</v>
      </c>
      <c r="V38" s="308"/>
      <c r="W38" s="316">
        <v>3.8</v>
      </c>
      <c r="X38" s="317"/>
      <c r="Y38" s="307">
        <v>17.05</v>
      </c>
      <c r="Z38" s="308"/>
      <c r="AA38" s="307">
        <v>81.38</v>
      </c>
      <c r="AB38" s="308"/>
      <c r="AC38" s="307">
        <v>104.1</v>
      </c>
      <c r="AD38" s="68">
        <f t="shared" si="2"/>
        <v>811.63</v>
      </c>
    </row>
    <row r="39" spans="1:31" x14ac:dyDescent="0.25">
      <c r="A39" s="299">
        <v>35</v>
      </c>
      <c r="B39" s="321" t="s">
        <v>181</v>
      </c>
      <c r="G39" s="269">
        <v>-27.08</v>
      </c>
      <c r="I39" s="307">
        <v>-25.49</v>
      </c>
      <c r="J39" s="308"/>
      <c r="K39" s="307">
        <v>-30.23</v>
      </c>
      <c r="L39" s="308"/>
      <c r="M39" s="307">
        <v>-19.43</v>
      </c>
      <c r="N39" s="308"/>
      <c r="O39" s="307">
        <v>-12.44</v>
      </c>
      <c r="P39" s="308"/>
      <c r="Q39" s="307">
        <v>-3.55</v>
      </c>
      <c r="R39" s="308"/>
      <c r="S39" s="307">
        <v>-2.02</v>
      </c>
      <c r="T39" s="308"/>
      <c r="U39" s="307">
        <v>-0.85</v>
      </c>
      <c r="V39" s="308"/>
      <c r="W39" s="316">
        <v>-0.76</v>
      </c>
      <c r="X39" s="317"/>
      <c r="Y39" s="307">
        <v>-3.41</v>
      </c>
      <c r="Z39" s="308"/>
      <c r="AA39" s="307">
        <v>-16.28</v>
      </c>
      <c r="AB39" s="308"/>
      <c r="AC39" s="307">
        <v>-24.5</v>
      </c>
      <c r="AD39" s="68">
        <f t="shared" si="2"/>
        <v>-166.03999999999996</v>
      </c>
    </row>
    <row r="40" spans="1:31" x14ac:dyDescent="0.25">
      <c r="A40" s="299">
        <v>36</v>
      </c>
      <c r="B40" s="321" t="s">
        <v>182</v>
      </c>
      <c r="G40" s="269">
        <v>-12.58</v>
      </c>
      <c r="I40" s="307">
        <v>-11.84</v>
      </c>
      <c r="J40" s="308"/>
      <c r="K40" s="307">
        <v>-14.04</v>
      </c>
      <c r="L40" s="308"/>
      <c r="M40" s="307">
        <v>-9.0299999999999994</v>
      </c>
      <c r="N40" s="308"/>
      <c r="O40" s="307">
        <v>-5.78</v>
      </c>
      <c r="P40" s="308"/>
      <c r="Q40" s="307">
        <v>-1.65</v>
      </c>
      <c r="R40" s="308"/>
      <c r="S40" s="307">
        <v>-0.94</v>
      </c>
      <c r="T40" s="308"/>
      <c r="U40" s="307">
        <v>-0.4</v>
      </c>
      <c r="V40" s="308"/>
      <c r="W40" s="316">
        <v>-0.35</v>
      </c>
      <c r="X40" s="317"/>
      <c r="Y40" s="307">
        <v>-1.58</v>
      </c>
      <c r="Z40" s="308"/>
      <c r="AA40" s="307">
        <v>-7.56</v>
      </c>
      <c r="AB40" s="308"/>
      <c r="AC40" s="307">
        <v>-9.1199999999999992</v>
      </c>
      <c r="AD40" s="68">
        <f t="shared" si="2"/>
        <v>-74.87</v>
      </c>
    </row>
    <row r="41" spans="1:31" x14ac:dyDescent="0.25">
      <c r="A41" s="299">
        <v>37</v>
      </c>
      <c r="B41" s="321" t="s">
        <v>183</v>
      </c>
      <c r="G41" s="269">
        <v>-23.05</v>
      </c>
      <c r="I41" s="307">
        <v>-21.7</v>
      </c>
      <c r="J41" s="308"/>
      <c r="K41" s="307">
        <v>-25.73</v>
      </c>
      <c r="L41" s="308"/>
      <c r="M41" s="307">
        <v>-16.54</v>
      </c>
      <c r="N41" s="308"/>
      <c r="O41" s="307">
        <v>-10.59</v>
      </c>
      <c r="P41" s="308"/>
      <c r="Q41" s="307">
        <v>-3.03</v>
      </c>
      <c r="R41" s="308"/>
      <c r="S41" s="307">
        <v>-1.72</v>
      </c>
      <c r="T41" s="308"/>
      <c r="U41" s="307">
        <v>-0.73</v>
      </c>
      <c r="V41" s="308"/>
      <c r="W41" s="316">
        <v>-0.65</v>
      </c>
      <c r="X41" s="317"/>
      <c r="Y41" s="307">
        <v>-2.9</v>
      </c>
      <c r="Z41" s="308"/>
      <c r="AA41" s="307">
        <v>-13.86</v>
      </c>
      <c r="AB41" s="308"/>
      <c r="AC41" s="307"/>
      <c r="AD41" s="68">
        <f t="shared" si="2"/>
        <v>-120.50000000000003</v>
      </c>
    </row>
    <row r="42" spans="1:31" x14ac:dyDescent="0.25">
      <c r="A42" s="299">
        <v>38</v>
      </c>
      <c r="B42" s="226" t="s">
        <v>120</v>
      </c>
      <c r="G42" s="269">
        <v>197.91</v>
      </c>
      <c r="I42" s="307">
        <v>186.32</v>
      </c>
      <c r="J42" s="308"/>
      <c r="K42" s="307">
        <v>220.81</v>
      </c>
      <c r="L42" s="308"/>
      <c r="M42" s="307">
        <v>142.24</v>
      </c>
      <c r="N42" s="308"/>
      <c r="O42" s="269">
        <v>101.66</v>
      </c>
      <c r="P42" s="308"/>
      <c r="Q42" s="307">
        <v>29.6</v>
      </c>
      <c r="R42" s="308"/>
      <c r="S42" s="307">
        <v>17.18</v>
      </c>
      <c r="T42" s="308"/>
      <c r="U42" s="307">
        <v>7.7</v>
      </c>
      <c r="V42" s="308"/>
      <c r="W42" s="316">
        <v>6.95</v>
      </c>
      <c r="X42" s="317"/>
      <c r="Y42" s="307">
        <v>28.44</v>
      </c>
      <c r="Z42" s="308"/>
      <c r="AA42" s="307">
        <v>132.80000000000001</v>
      </c>
      <c r="AB42" s="308"/>
      <c r="AC42" s="307">
        <v>198.79</v>
      </c>
      <c r="AD42" s="68">
        <f t="shared" si="2"/>
        <v>1270.4000000000001</v>
      </c>
    </row>
    <row r="43" spans="1:31" x14ac:dyDescent="0.25">
      <c r="A43" s="299">
        <v>39</v>
      </c>
      <c r="B43" s="229" t="s">
        <v>30</v>
      </c>
      <c r="C43" s="319"/>
      <c r="D43" s="319"/>
      <c r="E43" s="319"/>
      <c r="G43" s="269">
        <f>SUM(G30:G42)</f>
        <v>3496.4</v>
      </c>
      <c r="H43" s="269"/>
      <c r="I43" s="269">
        <f>SUM(I30:I42)</f>
        <v>3291.6300000000006</v>
      </c>
      <c r="J43" s="269"/>
      <c r="K43" s="269">
        <f>SUM(K30:K42)</f>
        <v>3900.9799999999996</v>
      </c>
      <c r="L43" s="269"/>
      <c r="M43" s="269">
        <f>SUM(M30:M42)</f>
        <v>2512.8900000000003</v>
      </c>
      <c r="N43" s="269"/>
      <c r="O43" s="269">
        <f>SUM(O30:O42)</f>
        <v>1796.0100000000002</v>
      </c>
      <c r="P43" s="269"/>
      <c r="Q43" s="269">
        <f>SUM(Q30:Q42)</f>
        <v>522.88</v>
      </c>
      <c r="R43" s="269"/>
      <c r="S43" s="269">
        <f>SUM(S30:S42)</f>
        <v>303.45999999999992</v>
      </c>
      <c r="T43" s="269"/>
      <c r="U43" s="269">
        <f>SUM(U30:U42)</f>
        <v>136.10999999999999</v>
      </c>
      <c r="V43" s="269"/>
      <c r="W43" s="269">
        <f>SUM(W30:W42)</f>
        <v>122.71</v>
      </c>
      <c r="X43" s="269"/>
      <c r="Y43" s="269">
        <f>SUM(Y30:Y42)</f>
        <v>502.37</v>
      </c>
      <c r="Z43" s="269"/>
      <c r="AA43" s="269">
        <f>SUM(AA30:AA42)</f>
        <v>2346.13</v>
      </c>
      <c r="AB43" s="269"/>
      <c r="AC43" s="269">
        <f>SUM(AC30:AC42)</f>
        <v>3511.89</v>
      </c>
      <c r="AD43" s="68">
        <f t="shared" si="2"/>
        <v>22443.46</v>
      </c>
    </row>
    <row r="44" spans="1:31" x14ac:dyDescent="0.25">
      <c r="A44" s="299">
        <v>40</v>
      </c>
      <c r="B44" s="229" t="s">
        <v>31</v>
      </c>
      <c r="C44" s="294"/>
      <c r="D44" s="294"/>
      <c r="E44" s="294"/>
      <c r="G44" s="308">
        <v>4915</v>
      </c>
      <c r="H44" s="308"/>
      <c r="I44" s="308">
        <v>4626</v>
      </c>
      <c r="J44" s="308"/>
      <c r="K44" s="308">
        <v>5486</v>
      </c>
      <c r="L44" s="308"/>
      <c r="M44" s="308">
        <v>3527</v>
      </c>
      <c r="N44" s="308"/>
      <c r="O44" s="291">
        <v>2258</v>
      </c>
      <c r="P44" s="308"/>
      <c r="Q44" s="291">
        <v>645</v>
      </c>
      <c r="S44" s="308">
        <v>367</v>
      </c>
      <c r="T44" s="308"/>
      <c r="U44" s="308">
        <v>155</v>
      </c>
      <c r="V44" s="308"/>
      <c r="W44" s="291">
        <v>138</v>
      </c>
      <c r="Y44" s="308">
        <v>619</v>
      </c>
      <c r="Z44" s="308"/>
      <c r="AA44" s="308">
        <v>2955</v>
      </c>
      <c r="AB44" s="308"/>
      <c r="AC44" s="308">
        <v>3958</v>
      </c>
      <c r="AD44" s="47">
        <f t="shared" si="2"/>
        <v>29649</v>
      </c>
      <c r="AE44" s="47"/>
    </row>
    <row r="45" spans="1:31" x14ac:dyDescent="0.25">
      <c r="A45" s="299">
        <v>41</v>
      </c>
      <c r="B45" s="299" t="s">
        <v>32</v>
      </c>
      <c r="C45" s="294"/>
      <c r="D45" s="294"/>
      <c r="E45" s="294"/>
      <c r="G45" s="291">
        <v>0</v>
      </c>
      <c r="I45" s="291"/>
      <c r="K45" s="291"/>
      <c r="M45" s="291"/>
      <c r="O45" s="291"/>
      <c r="Q45" s="291"/>
      <c r="S45" s="291"/>
      <c r="U45" s="291"/>
      <c r="W45" s="291"/>
      <c r="Y45" s="291"/>
      <c r="AA45" s="291"/>
      <c r="AC45" s="291"/>
      <c r="AD45" s="47">
        <f t="shared" si="2"/>
        <v>0</v>
      </c>
      <c r="AE45" s="47"/>
    </row>
    <row r="46" spans="1:31" x14ac:dyDescent="0.25">
      <c r="A46" s="299">
        <v>42</v>
      </c>
      <c r="B46" s="299" t="s">
        <v>33</v>
      </c>
      <c r="C46" s="294"/>
      <c r="D46" s="294"/>
      <c r="E46" s="294"/>
      <c r="G46" s="308">
        <f>SUM(G44:G45)</f>
        <v>4915</v>
      </c>
      <c r="H46" s="308"/>
      <c r="I46" s="308">
        <f>SUM(I44:I45)</f>
        <v>4626</v>
      </c>
      <c r="J46" s="308"/>
      <c r="K46" s="308">
        <f>SUM(K44:K45)</f>
        <v>5486</v>
      </c>
      <c r="L46" s="308"/>
      <c r="M46" s="308">
        <f>SUM(M44:M45)</f>
        <v>3527</v>
      </c>
      <c r="N46" s="308"/>
      <c r="O46" s="308">
        <f>SUM(O44:O45)</f>
        <v>2258</v>
      </c>
      <c r="P46" s="308"/>
      <c r="Q46" s="308">
        <f>SUM(Q44:Q45)</f>
        <v>645</v>
      </c>
      <c r="R46" s="308"/>
      <c r="S46" s="308">
        <f>SUM(S44:S45)</f>
        <v>367</v>
      </c>
      <c r="T46" s="308"/>
      <c r="U46" s="308">
        <f>SUM(U44:U45)</f>
        <v>155</v>
      </c>
      <c r="V46" s="308"/>
      <c r="W46" s="308">
        <f>SUM(W44:W45)</f>
        <v>138</v>
      </c>
      <c r="X46" s="308"/>
      <c r="Y46" s="308">
        <f>SUM(Y44:Y45)</f>
        <v>619</v>
      </c>
      <c r="Z46" s="308"/>
      <c r="AA46" s="308">
        <f>SUM(AA44:AA45)</f>
        <v>2955</v>
      </c>
      <c r="AB46" s="308"/>
      <c r="AC46" s="308">
        <f>SUM(AC44:AC45)</f>
        <v>3958</v>
      </c>
      <c r="AD46" s="47">
        <f t="shared" si="2"/>
        <v>29649</v>
      </c>
      <c r="AE46" s="47"/>
    </row>
    <row r="47" spans="1:31" x14ac:dyDescent="0.25">
      <c r="A47" s="299">
        <v>43</v>
      </c>
      <c r="B47" s="310"/>
      <c r="AD47" s="269"/>
    </row>
    <row r="48" spans="1:31" x14ac:dyDescent="0.25">
      <c r="A48" s="299">
        <v>44</v>
      </c>
      <c r="B48" s="314" t="s">
        <v>490</v>
      </c>
      <c r="C48" s="301"/>
      <c r="D48" s="301"/>
      <c r="E48" s="301"/>
      <c r="AD48" s="269"/>
    </row>
    <row r="49" spans="1:30" x14ac:dyDescent="0.25">
      <c r="A49" s="299">
        <v>45</v>
      </c>
      <c r="B49" s="299" t="s">
        <v>9</v>
      </c>
      <c r="C49" s="269">
        <v>13</v>
      </c>
      <c r="D49" s="269"/>
      <c r="E49" s="269"/>
      <c r="F49" s="291">
        <f>G49/$C$49</f>
        <v>26645.346153846152</v>
      </c>
      <c r="G49" s="307">
        <v>346389.5</v>
      </c>
      <c r="H49" s="291">
        <f>I49/$C$49</f>
        <v>26686.23076923077</v>
      </c>
      <c r="I49" s="307">
        <v>346921</v>
      </c>
      <c r="J49" s="291">
        <f>K49/$C$49</f>
        <v>26758</v>
      </c>
      <c r="K49" s="307">
        <v>347854</v>
      </c>
      <c r="L49" s="291">
        <f>M49/$C$49</f>
        <v>26748</v>
      </c>
      <c r="M49" s="307">
        <v>347724</v>
      </c>
      <c r="N49" s="291">
        <f>O49/$C$49</f>
        <v>26667</v>
      </c>
      <c r="O49" s="307">
        <v>346671</v>
      </c>
      <c r="P49" s="291">
        <f>Q49/$C$49</f>
        <v>26544.684615384616</v>
      </c>
      <c r="Q49" s="307">
        <v>345080.9</v>
      </c>
      <c r="R49" s="291">
        <f>S49/$C$49</f>
        <v>26486</v>
      </c>
      <c r="S49" s="307">
        <v>344318</v>
      </c>
      <c r="T49" s="291">
        <f>U49/$C$49</f>
        <v>26349.484615384616</v>
      </c>
      <c r="U49" s="307">
        <v>342543.3</v>
      </c>
      <c r="V49" s="291">
        <f>W49/$C$49</f>
        <v>26416.76923076923</v>
      </c>
      <c r="W49" s="316">
        <v>343418</v>
      </c>
      <c r="X49" s="291">
        <f>Y49/$C$49</f>
        <v>26506</v>
      </c>
      <c r="Y49" s="307">
        <v>344578</v>
      </c>
      <c r="Z49" s="291">
        <f>AA49/$C$49</f>
        <v>26674</v>
      </c>
      <c r="AA49" s="307">
        <v>346762</v>
      </c>
      <c r="AB49" s="291">
        <f>AC49/$C$49</f>
        <v>26842</v>
      </c>
      <c r="AC49" s="307">
        <v>348946</v>
      </c>
      <c r="AD49" s="269">
        <f>SUM(G49,I49,K49,M49,O49,Q49,S49,U49,W49,Y49,AA49,AC49)</f>
        <v>4151205.6999999997</v>
      </c>
    </row>
    <row r="50" spans="1:30" x14ac:dyDescent="0.25">
      <c r="A50" s="299">
        <v>46</v>
      </c>
      <c r="B50" s="299" t="s">
        <v>28</v>
      </c>
      <c r="C50" s="301"/>
      <c r="D50" s="301"/>
      <c r="E50" s="301"/>
      <c r="G50" s="307">
        <v>3043133.11</v>
      </c>
      <c r="H50" s="308"/>
      <c r="I50" s="307">
        <v>3244574.11</v>
      </c>
      <c r="J50" s="308"/>
      <c r="K50" s="307">
        <v>3697205.87</v>
      </c>
      <c r="L50" s="308"/>
      <c r="M50" s="307">
        <v>2113981.9</v>
      </c>
      <c r="N50" s="308"/>
      <c r="O50" s="307">
        <v>1248101.71</v>
      </c>
      <c r="P50" s="308"/>
      <c r="Q50" s="307">
        <v>805125.81</v>
      </c>
      <c r="R50" s="308"/>
      <c r="S50" s="307">
        <v>709410.36999999988</v>
      </c>
      <c r="T50" s="308"/>
      <c r="U50" s="307">
        <v>648655.99999999977</v>
      </c>
      <c r="V50" s="308"/>
      <c r="W50" s="316">
        <v>620869.32999999984</v>
      </c>
      <c r="X50" s="317"/>
      <c r="Y50" s="307">
        <v>1126102.9199999995</v>
      </c>
      <c r="Z50" s="308"/>
      <c r="AA50" s="307">
        <v>1834162.29</v>
      </c>
      <c r="AB50" s="308"/>
      <c r="AC50" s="307">
        <v>2778115.3400000008</v>
      </c>
      <c r="AD50" s="269">
        <f t="shared" ref="AD50:AD71" si="3">SUM(G50:AC50)</f>
        <v>21869438.759999998</v>
      </c>
    </row>
    <row r="51" spans="1:30" x14ac:dyDescent="0.25">
      <c r="A51" s="299">
        <v>47</v>
      </c>
      <c r="B51" s="299" t="s">
        <v>11</v>
      </c>
      <c r="C51" s="301"/>
      <c r="D51" s="301"/>
      <c r="E51" s="301"/>
      <c r="G51" s="307">
        <v>5695732.8799999999</v>
      </c>
      <c r="H51" s="308"/>
      <c r="I51" s="307">
        <v>6072667.0999999996</v>
      </c>
      <c r="J51" s="308"/>
      <c r="K51" s="307">
        <v>6919920.0599999996</v>
      </c>
      <c r="L51" s="308"/>
      <c r="M51" s="307">
        <v>3956663.83</v>
      </c>
      <c r="N51" s="308"/>
      <c r="O51" s="307">
        <v>2336042.31</v>
      </c>
      <c r="P51" s="308"/>
      <c r="Q51" s="307">
        <v>1506927.76</v>
      </c>
      <c r="R51" s="308"/>
      <c r="S51" s="307">
        <v>1327779.3800000004</v>
      </c>
      <c r="T51" s="308"/>
      <c r="U51" s="307">
        <v>1214029.4399999997</v>
      </c>
      <c r="V51" s="308"/>
      <c r="W51" s="316">
        <v>1162037.7099999997</v>
      </c>
      <c r="X51" s="317"/>
      <c r="Y51" s="307">
        <v>2107687.9400000004</v>
      </c>
      <c r="Z51" s="308"/>
      <c r="AA51" s="307">
        <v>3439252.3499999996</v>
      </c>
      <c r="AB51" s="308"/>
      <c r="AC51" s="307">
        <v>5228298.07</v>
      </c>
      <c r="AD51" s="269">
        <f t="shared" si="3"/>
        <v>40967038.829999998</v>
      </c>
    </row>
    <row r="52" spans="1:30" x14ac:dyDescent="0.25">
      <c r="A52" s="299">
        <v>48</v>
      </c>
      <c r="B52" s="299" t="s">
        <v>484</v>
      </c>
      <c r="C52" s="301"/>
      <c r="D52" s="301"/>
      <c r="E52" s="301"/>
      <c r="H52" s="308"/>
      <c r="J52" s="308"/>
      <c r="L52" s="308"/>
      <c r="M52" s="307">
        <v>169287.6</v>
      </c>
      <c r="N52" s="308"/>
      <c r="O52" s="307">
        <v>399777.48</v>
      </c>
      <c r="P52" s="308"/>
      <c r="Q52" s="307">
        <v>264933.54000000004</v>
      </c>
      <c r="R52" s="308"/>
      <c r="S52" s="307">
        <v>233440.89</v>
      </c>
      <c r="T52" s="308"/>
      <c r="U52" s="307">
        <v>211826.21000000008</v>
      </c>
      <c r="V52" s="308"/>
      <c r="W52" s="316">
        <v>204391.63000000006</v>
      </c>
      <c r="X52" s="317"/>
      <c r="Y52" s="307">
        <v>370487.53999999992</v>
      </c>
      <c r="Z52" s="308"/>
      <c r="AA52" s="307">
        <v>756718.7</v>
      </c>
      <c r="AB52" s="308"/>
      <c r="AC52" s="307">
        <v>1607536.5399999998</v>
      </c>
      <c r="AD52" s="269">
        <f t="shared" si="3"/>
        <v>4218400.13</v>
      </c>
    </row>
    <row r="53" spans="1:30" x14ac:dyDescent="0.25">
      <c r="A53" s="299">
        <v>49</v>
      </c>
      <c r="B53" s="299" t="s">
        <v>115</v>
      </c>
      <c r="C53" s="301"/>
      <c r="D53" s="301"/>
      <c r="E53" s="301"/>
      <c r="G53" s="307">
        <v>35947.120000000003</v>
      </c>
      <c r="H53" s="308"/>
      <c r="I53" s="307">
        <v>38418.400000000001</v>
      </c>
      <c r="J53" s="308"/>
      <c r="K53" s="307">
        <v>43772.91</v>
      </c>
      <c r="L53" s="308"/>
      <c r="M53" s="307">
        <v>25027.25</v>
      </c>
      <c r="N53" s="308"/>
      <c r="O53" s="307">
        <v>14776.33</v>
      </c>
      <c r="P53" s="308"/>
      <c r="Q53" s="307">
        <v>9531.93</v>
      </c>
      <c r="R53" s="308"/>
      <c r="S53" s="307">
        <v>8397.619999999999</v>
      </c>
      <c r="T53" s="308"/>
      <c r="U53" s="307">
        <v>7678.4000000000033</v>
      </c>
      <c r="V53" s="308"/>
      <c r="W53" s="316">
        <v>7350.1100000000024</v>
      </c>
      <c r="X53" s="317"/>
      <c r="Y53" s="307">
        <v>13332.320000000003</v>
      </c>
      <c r="Z53" s="308"/>
      <c r="AA53" s="307">
        <v>21586.01999999999</v>
      </c>
      <c r="AB53" s="308"/>
      <c r="AC53" s="307">
        <v>32306.319999999985</v>
      </c>
      <c r="AD53" s="68">
        <f t="shared" si="3"/>
        <v>258124.72999999995</v>
      </c>
    </row>
    <row r="54" spans="1:30" x14ac:dyDescent="0.25">
      <c r="A54" s="299">
        <v>50</v>
      </c>
      <c r="B54" s="299" t="s">
        <v>116</v>
      </c>
      <c r="C54" s="301"/>
      <c r="D54" s="301"/>
      <c r="E54" s="301"/>
      <c r="G54" s="307">
        <v>119531.57</v>
      </c>
      <c r="H54" s="308"/>
      <c r="I54" s="307">
        <v>127465.11</v>
      </c>
      <c r="J54" s="308"/>
      <c r="K54" s="307">
        <v>145225.26999999999</v>
      </c>
      <c r="L54" s="308"/>
      <c r="M54" s="307">
        <v>83040.78</v>
      </c>
      <c r="N54" s="308"/>
      <c r="O54" s="307">
        <v>49025.94</v>
      </c>
      <c r="P54" s="308"/>
      <c r="Q54" s="307">
        <v>31627.169999999995</v>
      </c>
      <c r="R54" s="308"/>
      <c r="S54" s="307">
        <v>27868.83</v>
      </c>
      <c r="T54" s="308"/>
      <c r="U54" s="307">
        <v>25485.169999999991</v>
      </c>
      <c r="V54" s="308"/>
      <c r="W54" s="316">
        <v>24396.319999999992</v>
      </c>
      <c r="X54" s="317"/>
      <c r="Y54" s="307">
        <v>44235.089999999975</v>
      </c>
      <c r="Z54" s="308"/>
      <c r="AA54" s="307">
        <v>74834.229999999981</v>
      </c>
      <c r="AB54" s="308"/>
      <c r="AC54" s="307">
        <v>121781.20000000004</v>
      </c>
      <c r="AD54" s="68">
        <f t="shared" si="3"/>
        <v>874516.67999999993</v>
      </c>
    </row>
    <row r="55" spans="1:30" x14ac:dyDescent="0.25">
      <c r="A55" s="299">
        <v>51</v>
      </c>
      <c r="B55" s="299" t="s">
        <v>117</v>
      </c>
      <c r="C55" s="301"/>
      <c r="D55" s="301"/>
      <c r="E55" s="301"/>
      <c r="G55" s="307">
        <v>-400392.57</v>
      </c>
      <c r="H55" s="308"/>
      <c r="I55" s="307">
        <v>-427018.91</v>
      </c>
      <c r="J55" s="308"/>
      <c r="K55" s="307">
        <v>-486473.95</v>
      </c>
      <c r="L55" s="308"/>
      <c r="M55" s="307">
        <v>-278139.68</v>
      </c>
      <c r="N55" s="308"/>
      <c r="O55" s="307">
        <v>-164195.39000000001</v>
      </c>
      <c r="P55" s="308"/>
      <c r="Q55" s="307">
        <v>-105928.81999999999</v>
      </c>
      <c r="R55" s="308"/>
      <c r="S55" s="307">
        <v>-93334.520000000019</v>
      </c>
      <c r="T55" s="308"/>
      <c r="U55" s="307">
        <v>-85359.949999999953</v>
      </c>
      <c r="V55" s="308"/>
      <c r="W55" s="316">
        <v>-81715.559999999939</v>
      </c>
      <c r="X55" s="317"/>
      <c r="Y55" s="307">
        <v>-148163.54999999996</v>
      </c>
      <c r="Z55" s="308"/>
      <c r="AA55" s="307">
        <v>-160388.16999999998</v>
      </c>
      <c r="AB55" s="308"/>
      <c r="AC55" s="307">
        <v>903.59999999999809</v>
      </c>
      <c r="AD55" s="68">
        <f t="shared" si="3"/>
        <v>-2430207.4699999997</v>
      </c>
    </row>
    <row r="56" spans="1:30" x14ac:dyDescent="0.25">
      <c r="A56" s="299">
        <v>52</v>
      </c>
      <c r="B56" s="299" t="s">
        <v>118</v>
      </c>
      <c r="C56" s="301"/>
      <c r="D56" s="301"/>
      <c r="E56" s="301"/>
      <c r="G56" s="307">
        <v>101809.68</v>
      </c>
      <c r="H56" s="308"/>
      <c r="I56" s="307">
        <v>108365.08</v>
      </c>
      <c r="J56" s="308"/>
      <c r="K56" s="307">
        <v>123656.18</v>
      </c>
      <c r="L56" s="308"/>
      <c r="M56" s="307">
        <v>70716.63</v>
      </c>
      <c r="N56" s="308"/>
      <c r="O56" s="307">
        <v>41777.57</v>
      </c>
      <c r="P56" s="308"/>
      <c r="Q56" s="307">
        <v>26932.63</v>
      </c>
      <c r="R56" s="308"/>
      <c r="S56" s="307">
        <v>23731.69</v>
      </c>
      <c r="T56" s="308"/>
      <c r="U56" s="307">
        <v>21705.099999999995</v>
      </c>
      <c r="V56" s="308"/>
      <c r="W56" s="316">
        <v>20722.989999999994</v>
      </c>
      <c r="X56" s="317"/>
      <c r="Y56" s="307">
        <v>37667.489999999991</v>
      </c>
      <c r="Z56" s="308"/>
      <c r="AA56" s="307">
        <v>41304.189999999988</v>
      </c>
      <c r="AB56" s="308"/>
      <c r="AC56" s="307">
        <v>2186.3700000000003</v>
      </c>
      <c r="AD56" s="68">
        <f t="shared" si="3"/>
        <v>620575.6</v>
      </c>
    </row>
    <row r="57" spans="1:30" x14ac:dyDescent="0.25">
      <c r="A57" s="299">
        <v>53</v>
      </c>
      <c r="B57" s="299" t="s">
        <v>119</v>
      </c>
      <c r="C57" s="301"/>
      <c r="D57" s="301"/>
      <c r="E57" s="301"/>
      <c r="G57" s="307">
        <v>362138.87</v>
      </c>
      <c r="H57" s="308"/>
      <c r="I57" s="307">
        <v>386164.47999999998</v>
      </c>
      <c r="J57" s="308"/>
      <c r="K57" s="307">
        <v>439985.22</v>
      </c>
      <c r="L57" s="308"/>
      <c r="M57" s="307">
        <v>251584.73</v>
      </c>
      <c r="N57" s="308"/>
      <c r="O57" s="307">
        <v>148533.14000000001</v>
      </c>
      <c r="P57" s="308"/>
      <c r="Q57" s="307">
        <v>95825.010000000009</v>
      </c>
      <c r="R57" s="308"/>
      <c r="S57" s="307">
        <v>84432.98</v>
      </c>
      <c r="T57" s="308"/>
      <c r="U57" s="307">
        <v>77214.429999999978</v>
      </c>
      <c r="V57" s="308"/>
      <c r="W57" s="316">
        <v>73909.429999999978</v>
      </c>
      <c r="X57" s="317"/>
      <c r="Y57" s="307">
        <v>134020.01999999999</v>
      </c>
      <c r="Z57" s="308"/>
      <c r="AA57" s="307">
        <v>215070.60000000003</v>
      </c>
      <c r="AB57" s="308"/>
      <c r="AC57" s="307">
        <v>316077.83000000013</v>
      </c>
      <c r="AD57" s="68">
        <f t="shared" si="3"/>
        <v>2584956.7399999998</v>
      </c>
    </row>
    <row r="58" spans="1:30" x14ac:dyDescent="0.25">
      <c r="A58" s="299">
        <v>54</v>
      </c>
      <c r="B58" s="318" t="s">
        <v>181</v>
      </c>
      <c r="C58" s="301"/>
      <c r="D58" s="301"/>
      <c r="E58" s="301"/>
      <c r="G58" s="307">
        <v>-72457.02</v>
      </c>
      <c r="H58" s="308"/>
      <c r="I58" s="307">
        <v>-77254.61</v>
      </c>
      <c r="J58" s="308"/>
      <c r="K58" s="307">
        <v>-88029.26</v>
      </c>
      <c r="L58" s="308"/>
      <c r="M58" s="307">
        <v>-50339.95</v>
      </c>
      <c r="N58" s="308"/>
      <c r="O58" s="307">
        <v>-29723.7</v>
      </c>
      <c r="P58" s="308"/>
      <c r="Q58" s="307">
        <v>-19175.649999999998</v>
      </c>
      <c r="R58" s="308"/>
      <c r="S58" s="307">
        <v>-16898.310000000001</v>
      </c>
      <c r="T58" s="308"/>
      <c r="U58" s="307">
        <v>-15453.979999999996</v>
      </c>
      <c r="V58" s="308"/>
      <c r="W58" s="316">
        <v>-14789.809999999998</v>
      </c>
      <c r="X58" s="317"/>
      <c r="Y58" s="307">
        <v>-26817.559999999983</v>
      </c>
      <c r="Z58" s="308"/>
      <c r="AA58" s="307">
        <v>-45433.739999999983</v>
      </c>
      <c r="AB58" s="308"/>
      <c r="AC58" s="307">
        <v>-74120.73000000001</v>
      </c>
      <c r="AD58" s="68">
        <f t="shared" si="3"/>
        <v>-530494.32000000007</v>
      </c>
    </row>
    <row r="59" spans="1:30" x14ac:dyDescent="0.25">
      <c r="A59" s="299">
        <v>55</v>
      </c>
      <c r="B59" s="318" t="s">
        <v>182</v>
      </c>
      <c r="C59" s="301"/>
      <c r="D59" s="301"/>
      <c r="E59" s="301"/>
      <c r="G59" s="307">
        <v>-33663.89</v>
      </c>
      <c r="H59" s="308"/>
      <c r="I59" s="307">
        <v>-35892.94</v>
      </c>
      <c r="J59" s="308"/>
      <c r="K59" s="307">
        <v>-40899.730000000003</v>
      </c>
      <c r="L59" s="308"/>
      <c r="M59" s="307">
        <v>-23390.41</v>
      </c>
      <c r="N59" s="308"/>
      <c r="O59" s="307">
        <v>-13811.68</v>
      </c>
      <c r="P59" s="308"/>
      <c r="Q59" s="307">
        <v>-8911.5300000000007</v>
      </c>
      <c r="R59" s="308"/>
      <c r="S59" s="307">
        <v>-7851.45</v>
      </c>
      <c r="T59" s="308"/>
      <c r="U59" s="307">
        <v>-7180.2700000000023</v>
      </c>
      <c r="V59" s="308"/>
      <c r="W59" s="316">
        <v>-6871.5700000000033</v>
      </c>
      <c r="X59" s="317"/>
      <c r="Y59" s="307">
        <v>-12461.680000000002</v>
      </c>
      <c r="Z59" s="308"/>
      <c r="AA59" s="307">
        <v>-19624.76999999999</v>
      </c>
      <c r="AB59" s="308"/>
      <c r="AC59" s="307">
        <v>-27721.739999999991</v>
      </c>
      <c r="AD59" s="68">
        <f t="shared" si="3"/>
        <v>-238281.65999999997</v>
      </c>
    </row>
    <row r="60" spans="1:30" x14ac:dyDescent="0.25">
      <c r="A60" s="299">
        <v>56</v>
      </c>
      <c r="B60" s="318" t="s">
        <v>183</v>
      </c>
      <c r="C60" s="301"/>
      <c r="D60" s="301"/>
      <c r="E60" s="301"/>
      <c r="G60" s="307">
        <v>-61672.34</v>
      </c>
      <c r="H60" s="308"/>
      <c r="I60" s="307">
        <v>-65754.990000000005</v>
      </c>
      <c r="J60" s="308"/>
      <c r="K60" s="307">
        <v>-74928.210000000006</v>
      </c>
      <c r="L60" s="308"/>
      <c r="M60" s="307">
        <v>-42837.9</v>
      </c>
      <c r="N60" s="308"/>
      <c r="O60" s="307">
        <v>-25287.45</v>
      </c>
      <c r="P60" s="308"/>
      <c r="Q60" s="307">
        <v>-16310.159999999998</v>
      </c>
      <c r="R60" s="308"/>
      <c r="S60" s="307">
        <v>-14370.519999999999</v>
      </c>
      <c r="T60" s="308"/>
      <c r="U60" s="307">
        <v>-13142.660000000003</v>
      </c>
      <c r="V60" s="308"/>
      <c r="W60" s="316">
        <v>-12575.130000000001</v>
      </c>
      <c r="X60" s="317"/>
      <c r="Y60" s="307">
        <v>-22817.559999999994</v>
      </c>
      <c r="Z60" s="308"/>
      <c r="AA60" s="307">
        <v>-25025.549999999996</v>
      </c>
      <c r="AB60" s="308"/>
      <c r="AC60" s="307">
        <v>-1322.44</v>
      </c>
      <c r="AD60" s="68">
        <f t="shared" si="3"/>
        <v>-376044.91</v>
      </c>
    </row>
    <row r="61" spans="1:30" x14ac:dyDescent="0.25">
      <c r="A61" s="299">
        <v>57</v>
      </c>
      <c r="B61" s="299" t="s">
        <v>120</v>
      </c>
      <c r="C61" s="301"/>
      <c r="D61" s="301"/>
      <c r="E61" s="301"/>
      <c r="G61" s="307">
        <v>508749.79</v>
      </c>
      <c r="H61" s="308"/>
      <c r="I61" s="307">
        <v>539085.73</v>
      </c>
      <c r="J61" s="308"/>
      <c r="K61" s="307">
        <v>618758.54</v>
      </c>
      <c r="L61" s="308"/>
      <c r="M61" s="307">
        <v>370794.55</v>
      </c>
      <c r="N61" s="308"/>
      <c r="O61" s="307">
        <v>236251.01</v>
      </c>
      <c r="P61" s="308"/>
      <c r="Q61" s="307">
        <v>162696.03000000003</v>
      </c>
      <c r="R61" s="308"/>
      <c r="S61" s="307">
        <v>146219.82</v>
      </c>
      <c r="T61" s="308"/>
      <c r="U61" s="307">
        <v>138579.78999999998</v>
      </c>
      <c r="V61" s="308"/>
      <c r="W61" s="316">
        <v>132201.38999999993</v>
      </c>
      <c r="X61" s="317"/>
      <c r="Y61" s="307">
        <v>213050.90000000002</v>
      </c>
      <c r="Z61" s="308"/>
      <c r="AA61" s="307">
        <v>359652.6999999999</v>
      </c>
      <c r="AB61" s="308"/>
      <c r="AC61" s="307">
        <v>590707.9500000003</v>
      </c>
      <c r="AD61" s="68">
        <f t="shared" si="3"/>
        <v>4016748.2</v>
      </c>
    </row>
    <row r="62" spans="1:30" x14ac:dyDescent="0.25">
      <c r="A62" s="299">
        <v>58</v>
      </c>
      <c r="B62" s="299" t="s">
        <v>125</v>
      </c>
      <c r="C62" s="301"/>
      <c r="D62" s="301"/>
      <c r="E62" s="301"/>
      <c r="G62" s="307">
        <v>230.49</v>
      </c>
      <c r="H62" s="308"/>
      <c r="I62" s="307">
        <v>490.65</v>
      </c>
      <c r="J62" s="308"/>
      <c r="K62" s="307">
        <v>679.51</v>
      </c>
      <c r="L62" s="308"/>
      <c r="M62" s="307">
        <v>256.18</v>
      </c>
      <c r="N62" s="308"/>
      <c r="O62" s="307">
        <v>383.94</v>
      </c>
      <c r="P62" s="308"/>
      <c r="Q62" s="269">
        <v>276.02</v>
      </c>
      <c r="S62" s="269">
        <v>206.44</v>
      </c>
      <c r="U62" s="307"/>
      <c r="V62" s="308"/>
      <c r="AA62" s="307"/>
      <c r="AB62" s="308"/>
      <c r="AC62" s="307"/>
      <c r="AD62" s="68">
        <f t="shared" si="3"/>
        <v>2523.23</v>
      </c>
    </row>
    <row r="63" spans="1:30" x14ac:dyDescent="0.25">
      <c r="A63" s="299">
        <v>59</v>
      </c>
      <c r="B63" s="299" t="s">
        <v>122</v>
      </c>
      <c r="C63" s="301"/>
      <c r="D63" s="301"/>
      <c r="E63" s="301"/>
      <c r="G63" s="307">
        <v>10275.44</v>
      </c>
      <c r="H63" s="308"/>
      <c r="I63" s="307">
        <v>10756.13</v>
      </c>
      <c r="J63" s="308"/>
      <c r="K63" s="307">
        <v>13913.13</v>
      </c>
      <c r="L63" s="308"/>
      <c r="M63" s="307">
        <v>8102.33</v>
      </c>
      <c r="N63" s="308"/>
      <c r="O63" s="307">
        <v>4542.17</v>
      </c>
      <c r="P63" s="308"/>
      <c r="Q63" s="307">
        <v>4080.56</v>
      </c>
      <c r="R63" s="308"/>
      <c r="S63" s="307">
        <v>3306.29</v>
      </c>
      <c r="T63" s="308"/>
      <c r="U63" s="307"/>
      <c r="V63" s="308"/>
      <c r="W63" s="316"/>
      <c r="X63" s="317"/>
      <c r="Y63" s="307"/>
      <c r="Z63" s="308"/>
      <c r="AA63" s="307"/>
      <c r="AB63" s="308"/>
      <c r="AC63" s="307"/>
      <c r="AD63" s="68">
        <f t="shared" si="3"/>
        <v>54976.049999999996</v>
      </c>
    </row>
    <row r="64" spans="1:30" x14ac:dyDescent="0.25">
      <c r="A64" s="299">
        <v>60</v>
      </c>
      <c r="B64" s="299" t="s">
        <v>121</v>
      </c>
      <c r="C64" s="301"/>
      <c r="D64" s="301"/>
      <c r="E64" s="301"/>
      <c r="G64" s="307">
        <v>120.71</v>
      </c>
      <c r="H64" s="308"/>
      <c r="I64" s="307">
        <v>115.52</v>
      </c>
      <c r="J64" s="308"/>
      <c r="K64" s="307">
        <v>154.36000000000001</v>
      </c>
      <c r="L64" s="308"/>
      <c r="M64" s="307">
        <v>89.62</v>
      </c>
      <c r="N64" s="308"/>
      <c r="O64" s="307">
        <v>65.64</v>
      </c>
      <c r="P64" s="308"/>
      <c r="Q64" s="307">
        <v>40.32</v>
      </c>
      <c r="R64" s="308"/>
      <c r="S64" s="307">
        <v>31.98</v>
      </c>
      <c r="T64" s="308"/>
      <c r="U64" s="307"/>
      <c r="V64" s="308"/>
      <c r="Y64" s="307"/>
      <c r="Z64" s="308"/>
      <c r="AA64" s="307"/>
      <c r="AB64" s="308"/>
      <c r="AC64" s="307"/>
      <c r="AD64" s="68">
        <f t="shared" si="3"/>
        <v>618.15000000000009</v>
      </c>
    </row>
    <row r="65" spans="1:32" x14ac:dyDescent="0.25">
      <c r="A65" s="299">
        <v>61</v>
      </c>
      <c r="B65" s="299" t="s">
        <v>123</v>
      </c>
      <c r="C65" s="301"/>
      <c r="D65" s="301"/>
      <c r="E65" s="301"/>
      <c r="G65" s="307">
        <v>-582.53</v>
      </c>
      <c r="H65" s="308"/>
      <c r="I65" s="307">
        <v>-556.05000000000007</v>
      </c>
      <c r="J65" s="308"/>
      <c r="K65" s="307">
        <v>-580.69000000000005</v>
      </c>
      <c r="L65" s="308"/>
      <c r="M65" s="307">
        <v>-477.2</v>
      </c>
      <c r="N65" s="308"/>
      <c r="O65" s="307">
        <v>-337.71</v>
      </c>
      <c r="P65" s="308"/>
      <c r="Q65" s="307">
        <v>-249.10000000000002</v>
      </c>
      <c r="R65" s="308"/>
      <c r="S65" s="307">
        <v>-275.26000000000005</v>
      </c>
      <c r="T65" s="308"/>
      <c r="U65" s="307">
        <v>-243.63</v>
      </c>
      <c r="V65" s="308"/>
      <c r="W65" s="269">
        <v>-235.66000000000003</v>
      </c>
      <c r="Y65" s="307">
        <v>-380.81</v>
      </c>
      <c r="Z65" s="308"/>
      <c r="AA65" s="307">
        <v>-477.34</v>
      </c>
      <c r="AB65" s="308"/>
      <c r="AC65" s="307">
        <v>-599.15000000000009</v>
      </c>
      <c r="AD65" s="68">
        <f t="shared" si="3"/>
        <v>-4995.1299999999992</v>
      </c>
    </row>
    <row r="66" spans="1:32" x14ac:dyDescent="0.25">
      <c r="A66" s="299">
        <v>62</v>
      </c>
      <c r="B66" s="299" t="s">
        <v>124</v>
      </c>
      <c r="C66" s="301"/>
      <c r="D66" s="301"/>
      <c r="E66" s="301"/>
      <c r="G66" s="307">
        <v>4778.21</v>
      </c>
      <c r="H66" s="308"/>
      <c r="I66" s="307">
        <v>5460.31</v>
      </c>
      <c r="J66" s="308"/>
      <c r="K66" s="307">
        <v>5836.23</v>
      </c>
      <c r="L66" s="308"/>
      <c r="M66" s="307">
        <v>2656.94</v>
      </c>
      <c r="N66" s="308"/>
      <c r="O66" s="307">
        <v>1619.56</v>
      </c>
      <c r="P66" s="308"/>
      <c r="Q66" s="307">
        <v>1010.86</v>
      </c>
      <c r="R66" s="308"/>
      <c r="S66" s="307">
        <v>1131.05</v>
      </c>
      <c r="T66" s="308"/>
      <c r="U66" s="307">
        <v>988.67000000000007</v>
      </c>
      <c r="V66" s="308"/>
      <c r="W66" s="269">
        <v>1034.55</v>
      </c>
      <c r="Y66" s="307">
        <v>2005.58</v>
      </c>
      <c r="Z66" s="308"/>
      <c r="AA66" s="307">
        <v>3652.5499999999997</v>
      </c>
      <c r="AB66" s="308"/>
      <c r="AC66" s="307">
        <v>5462.85</v>
      </c>
      <c r="AD66" s="68">
        <f t="shared" si="3"/>
        <v>35637.360000000001</v>
      </c>
    </row>
    <row r="67" spans="1:32" x14ac:dyDescent="0.25">
      <c r="A67" s="299">
        <v>63</v>
      </c>
      <c r="B67" s="299" t="s">
        <v>29</v>
      </c>
      <c r="C67" s="301"/>
      <c r="D67" s="301"/>
      <c r="E67" s="301"/>
      <c r="G67" s="307">
        <v>-22688.880000000001</v>
      </c>
      <c r="H67" s="308"/>
      <c r="I67" s="307">
        <v>-22517.51</v>
      </c>
      <c r="J67" s="308"/>
      <c r="K67" s="307">
        <v>-24248</v>
      </c>
      <c r="L67" s="308"/>
      <c r="M67" s="307">
        <v>-28012.93</v>
      </c>
      <c r="N67" s="308"/>
      <c r="O67" s="307">
        <v>-17757.850000000002</v>
      </c>
      <c r="P67" s="308"/>
      <c r="Q67" s="307">
        <v>-10623.69</v>
      </c>
      <c r="R67" s="308"/>
      <c r="S67" s="307">
        <v>-8597.8799999999992</v>
      </c>
      <c r="T67" s="308"/>
      <c r="U67" s="307">
        <v>-8834.2100000000009</v>
      </c>
      <c r="V67" s="308"/>
      <c r="W67" s="269">
        <v>-8016.5599999999995</v>
      </c>
      <c r="Y67" s="307">
        <v>-9779.85</v>
      </c>
      <c r="Z67" s="308"/>
      <c r="AA67" s="307">
        <v>-13851.45</v>
      </c>
      <c r="AB67" s="308"/>
      <c r="AC67" s="307">
        <v>-24364.500000000004</v>
      </c>
      <c r="AD67" s="68">
        <f t="shared" si="3"/>
        <v>-199293.31000000003</v>
      </c>
    </row>
    <row r="68" spans="1:32" x14ac:dyDescent="0.25">
      <c r="A68" s="299">
        <v>64</v>
      </c>
      <c r="B68" s="229" t="s">
        <v>30</v>
      </c>
      <c r="C68" s="301"/>
      <c r="D68" s="301"/>
      <c r="E68" s="301"/>
      <c r="G68" s="307">
        <f>SUM(G49:G67)</f>
        <v>9637380.1399999987</v>
      </c>
      <c r="H68" s="307"/>
      <c r="I68" s="307">
        <f>SUM(I49:I67)</f>
        <v>10251488.610000001</v>
      </c>
      <c r="J68" s="307"/>
      <c r="K68" s="307">
        <f>SUM(K49:K67)</f>
        <v>11641801.439999999</v>
      </c>
      <c r="L68" s="307"/>
      <c r="M68" s="307">
        <f>SUM(M49:M67)</f>
        <v>6976728.2700000005</v>
      </c>
      <c r="N68" s="307"/>
      <c r="O68" s="307">
        <f>SUM(O49:O67)</f>
        <v>4576454.0200000005</v>
      </c>
      <c r="P68" s="307"/>
      <c r="Q68" s="307">
        <f>SUM(Q49:Q67)</f>
        <v>3092889.59</v>
      </c>
      <c r="R68" s="307"/>
      <c r="S68" s="307">
        <f>SUM(S49:S67)</f>
        <v>2768947.4</v>
      </c>
      <c r="T68" s="307"/>
      <c r="U68" s="307">
        <f>SUM(U49:U67)</f>
        <v>2558491.8099999996</v>
      </c>
      <c r="V68" s="307"/>
      <c r="W68" s="307">
        <f>SUM(W49:W67)</f>
        <v>2466127.1699999995</v>
      </c>
      <c r="X68" s="307"/>
      <c r="Y68" s="307">
        <f>SUM(Y49:Y67)</f>
        <v>4172746.7899999996</v>
      </c>
      <c r="Z68" s="307"/>
      <c r="AA68" s="307">
        <f>SUM(AA49:AA67)</f>
        <v>6828194.6100000003</v>
      </c>
      <c r="AB68" s="307"/>
      <c r="AC68" s="307">
        <f>SUM(AC49:AC67)</f>
        <v>10904193.51</v>
      </c>
      <c r="AD68" s="68">
        <f t="shared" si="3"/>
        <v>75875443.360000014</v>
      </c>
    </row>
    <row r="69" spans="1:32" x14ac:dyDescent="0.25">
      <c r="A69" s="299">
        <v>65</v>
      </c>
      <c r="B69" s="229" t="s">
        <v>31</v>
      </c>
      <c r="C69" s="301"/>
      <c r="D69" s="301"/>
      <c r="E69" s="320"/>
      <c r="F69" s="294"/>
      <c r="G69" s="311">
        <v>13149828</v>
      </c>
      <c r="H69" s="311"/>
      <c r="I69" s="311">
        <v>14020283</v>
      </c>
      <c r="J69" s="311"/>
      <c r="K69" s="311">
        <v>15976171</v>
      </c>
      <c r="L69" s="311"/>
      <c r="M69" s="311">
        <v>9134821</v>
      </c>
      <c r="N69" s="311"/>
      <c r="O69" s="311">
        <v>5393236</v>
      </c>
      <c r="P69" s="311"/>
      <c r="Q69" s="311">
        <v>4959622</v>
      </c>
      <c r="R69" s="311"/>
      <c r="S69" s="311">
        <v>3065477</v>
      </c>
      <c r="T69" s="311"/>
      <c r="U69" s="311">
        <v>2802979</v>
      </c>
      <c r="V69" s="311"/>
      <c r="W69" s="296">
        <v>2682876</v>
      </c>
      <c r="X69" s="312"/>
      <c r="Y69" s="308">
        <v>4866062</v>
      </c>
      <c r="Z69" s="311"/>
      <c r="AA69" s="311">
        <v>7925684</v>
      </c>
      <c r="AB69" s="311"/>
      <c r="AC69" s="311">
        <v>12004649</v>
      </c>
      <c r="AD69" s="47">
        <f t="shared" si="3"/>
        <v>95981688</v>
      </c>
    </row>
    <row r="70" spans="1:32" x14ac:dyDescent="0.25">
      <c r="A70" s="299">
        <v>66</v>
      </c>
      <c r="B70" s="299" t="s">
        <v>32</v>
      </c>
      <c r="C70" s="301"/>
      <c r="D70" s="301"/>
      <c r="E70" s="320"/>
      <c r="F70" s="294"/>
      <c r="G70" s="311">
        <v>-31861</v>
      </c>
      <c r="H70" s="311"/>
      <c r="I70" s="311">
        <v>-32056</v>
      </c>
      <c r="J70" s="311"/>
      <c r="K70" s="312">
        <v>-34346</v>
      </c>
      <c r="L70" s="294"/>
      <c r="M70" s="312">
        <v>-38274</v>
      </c>
      <c r="N70" s="294"/>
      <c r="O70" s="311">
        <v>-22706</v>
      </c>
      <c r="P70" s="311"/>
      <c r="Q70" s="311">
        <v>-13595</v>
      </c>
      <c r="R70" s="311"/>
      <c r="S70" s="311">
        <v>-10949</v>
      </c>
      <c r="T70" s="311"/>
      <c r="U70" s="311">
        <v>-11209</v>
      </c>
      <c r="V70" s="311"/>
      <c r="W70" s="291">
        <v>-10187</v>
      </c>
      <c r="X70" s="294"/>
      <c r="Y70" s="308">
        <v>-12610</v>
      </c>
      <c r="Z70" s="311"/>
      <c r="AA70" s="311">
        <v>-17014</v>
      </c>
      <c r="AB70" s="311"/>
      <c r="AC70" s="311">
        <v>-27943</v>
      </c>
      <c r="AD70" s="47">
        <f t="shared" si="3"/>
        <v>-262750</v>
      </c>
    </row>
    <row r="71" spans="1:32" x14ac:dyDescent="0.25">
      <c r="A71" s="299">
        <v>67</v>
      </c>
      <c r="B71" s="299" t="s">
        <v>33</v>
      </c>
      <c r="C71" s="301"/>
      <c r="D71" s="301"/>
      <c r="E71" s="320"/>
      <c r="F71" s="294"/>
      <c r="G71" s="311">
        <f>SUM(G69:G70)</f>
        <v>13117967</v>
      </c>
      <c r="H71" s="311"/>
      <c r="I71" s="311">
        <f>SUM(I69:I70)</f>
        <v>13988227</v>
      </c>
      <c r="J71" s="311"/>
      <c r="K71" s="311">
        <f>SUM(K69:K70)</f>
        <v>15941825</v>
      </c>
      <c r="L71" s="311"/>
      <c r="M71" s="311">
        <f>SUM(M69:M70)</f>
        <v>9096547</v>
      </c>
      <c r="N71" s="311"/>
      <c r="O71" s="311">
        <f>SUM(O69:O70)</f>
        <v>5370530</v>
      </c>
      <c r="P71" s="311"/>
      <c r="Q71" s="311">
        <f>SUM(Q69:Q70)</f>
        <v>4946027</v>
      </c>
      <c r="R71" s="311"/>
      <c r="S71" s="311">
        <f>SUM(S69:S70)</f>
        <v>3054528</v>
      </c>
      <c r="T71" s="311"/>
      <c r="U71" s="311">
        <f>SUM(U69:U70)</f>
        <v>2791770</v>
      </c>
      <c r="V71" s="311"/>
      <c r="W71" s="308">
        <f>SUM(W69:W70)</f>
        <v>2672689</v>
      </c>
      <c r="X71" s="311"/>
      <c r="Y71" s="308">
        <f>SUM(Y69:Y70)</f>
        <v>4853452</v>
      </c>
      <c r="Z71" s="311"/>
      <c r="AA71" s="311">
        <f>SUM(AA69:AA70)</f>
        <v>7908670</v>
      </c>
      <c r="AB71" s="311"/>
      <c r="AC71" s="311">
        <f>SUM(AC69:AC70)</f>
        <v>11976706</v>
      </c>
      <c r="AD71" s="47">
        <f t="shared" si="3"/>
        <v>95718938</v>
      </c>
    </row>
    <row r="72" spans="1:32" x14ac:dyDescent="0.25">
      <c r="A72" s="299">
        <v>68</v>
      </c>
      <c r="C72" s="301"/>
      <c r="D72" s="301"/>
      <c r="E72" s="320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47"/>
    </row>
    <row r="73" spans="1:32" x14ac:dyDescent="0.25">
      <c r="A73" s="299">
        <v>69</v>
      </c>
      <c r="B73" s="310" t="s">
        <v>489</v>
      </c>
      <c r="C73" s="301"/>
      <c r="D73" s="301"/>
      <c r="E73" s="301"/>
    </row>
    <row r="74" spans="1:32" x14ac:dyDescent="0.25">
      <c r="A74" s="299">
        <v>70</v>
      </c>
      <c r="B74" s="299" t="s">
        <v>9</v>
      </c>
      <c r="C74" s="269">
        <v>125</v>
      </c>
      <c r="D74" s="269"/>
      <c r="E74" s="269"/>
      <c r="F74" s="291">
        <f>G74/$C$74</f>
        <v>0</v>
      </c>
      <c r="G74" s="307"/>
      <c r="H74" s="291">
        <f>I74/$C$74</f>
        <v>0</v>
      </c>
      <c r="I74" s="307"/>
      <c r="J74" s="291">
        <f>K74/$C$74</f>
        <v>0</v>
      </c>
      <c r="K74" s="307"/>
      <c r="L74" s="291">
        <f>M74/$C$74</f>
        <v>0</v>
      </c>
      <c r="M74" s="307"/>
      <c r="N74" s="291">
        <f>O74/$C$74</f>
        <v>0</v>
      </c>
      <c r="O74" s="307"/>
      <c r="P74" s="291">
        <f>Q74/$C$74</f>
        <v>0</v>
      </c>
      <c r="Q74" s="307"/>
      <c r="R74" s="291">
        <f>S74/$C$74</f>
        <v>0</v>
      </c>
      <c r="S74" s="307"/>
      <c r="T74" s="291">
        <f>U74/$C$74</f>
        <v>0</v>
      </c>
      <c r="U74" s="307"/>
      <c r="V74" s="291">
        <f>W74/$C$74</f>
        <v>0</v>
      </c>
      <c r="W74" s="316"/>
      <c r="X74" s="291">
        <f>Y74/$C$74</f>
        <v>0</v>
      </c>
      <c r="Y74" s="307"/>
      <c r="Z74" s="291">
        <f>AA74/$C$74</f>
        <v>7</v>
      </c>
      <c r="AA74" s="307">
        <v>875</v>
      </c>
      <c r="AB74" s="680">
        <f>AC74/$C$74</f>
        <v>7</v>
      </c>
      <c r="AC74" s="307">
        <v>875</v>
      </c>
      <c r="AD74" s="68">
        <f>SUM(G74,I74,K74,M74,O74,Q74,S74,U74,W74,Y74,AA74,AC74)</f>
        <v>1750</v>
      </c>
      <c r="AF74" s="679">
        <f>(AB74+Z74+X74+V74+T74+R74+F74+H74+P74+N74+J74+L74)/12</f>
        <v>1.1666666666666667</v>
      </c>
    </row>
    <row r="75" spans="1:32" x14ac:dyDescent="0.25">
      <c r="A75" s="299">
        <v>71</v>
      </c>
      <c r="B75" s="229" t="s">
        <v>163</v>
      </c>
      <c r="C75" s="322">
        <v>0.14330000000000001</v>
      </c>
      <c r="D75" s="269"/>
      <c r="E75" s="269"/>
      <c r="F75" s="291">
        <f>G75/$C$75</f>
        <v>0</v>
      </c>
      <c r="G75" s="307"/>
      <c r="H75" s="291">
        <f>I75/$C$75</f>
        <v>0</v>
      </c>
      <c r="I75" s="307"/>
      <c r="J75" s="291">
        <f>K75/$C$75</f>
        <v>0</v>
      </c>
      <c r="K75" s="307"/>
      <c r="L75" s="291">
        <f>M75/$C$75</f>
        <v>0</v>
      </c>
      <c r="M75" s="307"/>
      <c r="N75" s="291">
        <f>O75/$C$75</f>
        <v>0</v>
      </c>
      <c r="O75" s="307"/>
      <c r="P75" s="291">
        <f>Q75/$C$75</f>
        <v>0</v>
      </c>
      <c r="Q75" s="307"/>
      <c r="R75" s="291">
        <f>S75/$C$75</f>
        <v>0</v>
      </c>
      <c r="S75" s="307"/>
      <c r="T75" s="291">
        <f>U75/$C$75</f>
        <v>0</v>
      </c>
      <c r="U75" s="307"/>
      <c r="V75" s="291">
        <f>W75/$C$75</f>
        <v>0</v>
      </c>
      <c r="W75" s="316"/>
      <c r="X75" s="291">
        <f>Y75/$C$75</f>
        <v>0</v>
      </c>
      <c r="Y75" s="307"/>
      <c r="Z75" s="291">
        <f>AA75/$C$75</f>
        <v>130279.97208653174</v>
      </c>
      <c r="AA75" s="307">
        <v>18669.12</v>
      </c>
      <c r="AB75" s="291">
        <f>AC75/$C$75</f>
        <v>137081.99581297973</v>
      </c>
      <c r="AC75" s="307">
        <v>19643.849999999999</v>
      </c>
      <c r="AD75" s="68">
        <f t="shared" ref="AD75:AD78" si="4">SUM(G75,I75,K75,M75,O75,Q75,S75,U75,W75,Y75,AA75,AC75)</f>
        <v>38312.97</v>
      </c>
    </row>
    <row r="76" spans="1:32" x14ac:dyDescent="0.25">
      <c r="A76" s="299">
        <v>72</v>
      </c>
      <c r="B76" s="299" t="s">
        <v>164</v>
      </c>
      <c r="C76" s="322">
        <v>0.10983999999999999</v>
      </c>
      <c r="D76" s="269"/>
      <c r="E76" s="269"/>
      <c r="F76" s="291">
        <f>G76/$C$76</f>
        <v>0</v>
      </c>
      <c r="G76" s="307"/>
      <c r="H76" s="291">
        <f>I76/$C$76</f>
        <v>0</v>
      </c>
      <c r="I76" s="307"/>
      <c r="J76" s="291">
        <f>K76/$C$76</f>
        <v>0</v>
      </c>
      <c r="K76" s="307"/>
      <c r="L76" s="291">
        <f>M76/$C$76</f>
        <v>0</v>
      </c>
      <c r="M76" s="307"/>
      <c r="N76" s="291">
        <f>O76/$C$76</f>
        <v>0</v>
      </c>
      <c r="O76" s="307"/>
      <c r="P76" s="291">
        <f>Q76/$C$76</f>
        <v>0</v>
      </c>
      <c r="Q76" s="307"/>
      <c r="R76" s="291">
        <f>S76/$C$76</f>
        <v>0</v>
      </c>
      <c r="S76" s="307"/>
      <c r="T76" s="291">
        <f>U76/$C$76</f>
        <v>0</v>
      </c>
      <c r="U76" s="307"/>
      <c r="V76" s="291">
        <f>W76/$C$76</f>
        <v>0</v>
      </c>
      <c r="W76" s="316"/>
      <c r="X76" s="291">
        <f>Y76/$C$76</f>
        <v>0</v>
      </c>
      <c r="Y76" s="307"/>
      <c r="Z76" s="291">
        <f>AA76/$C$76</f>
        <v>320076.01966496726</v>
      </c>
      <c r="AA76" s="307">
        <v>35157.15</v>
      </c>
      <c r="AB76" s="291">
        <f>AC76/$C$76</f>
        <v>361024.94537509111</v>
      </c>
      <c r="AC76" s="307">
        <v>39654.980000000003</v>
      </c>
      <c r="AD76" s="68">
        <f t="shared" si="4"/>
        <v>74812.13</v>
      </c>
    </row>
    <row r="77" spans="1:32" x14ac:dyDescent="0.25">
      <c r="A77" s="299">
        <v>73</v>
      </c>
      <c r="B77" s="229" t="s">
        <v>165</v>
      </c>
      <c r="C77" s="322">
        <v>2.7089999999999999E-2</v>
      </c>
      <c r="D77" s="301"/>
      <c r="E77" s="301"/>
      <c r="F77" s="291">
        <f>G77/$C$77</f>
        <v>0</v>
      </c>
      <c r="G77" s="307"/>
      <c r="H77" s="291">
        <f>I77/$C$77</f>
        <v>0</v>
      </c>
      <c r="I77" s="307"/>
      <c r="J77" s="291">
        <f>K77/$C$77</f>
        <v>0</v>
      </c>
      <c r="K77" s="307"/>
      <c r="L77" s="291">
        <f>M77/$C$77</f>
        <v>0</v>
      </c>
      <c r="M77" s="307"/>
      <c r="N77" s="291">
        <f>O77/$C$77</f>
        <v>0</v>
      </c>
      <c r="O77" s="307"/>
      <c r="P77" s="291">
        <f>Q77/$C$77</f>
        <v>0</v>
      </c>
      <c r="Q77" s="307"/>
      <c r="R77" s="291">
        <f>S77/$C$77</f>
        <v>0</v>
      </c>
      <c r="S77" s="307"/>
      <c r="T77" s="291">
        <f>U77/$C$77</f>
        <v>0</v>
      </c>
      <c r="U77" s="307"/>
      <c r="V77" s="291">
        <f>W77/$C$77</f>
        <v>0</v>
      </c>
      <c r="W77" s="316"/>
      <c r="X77" s="291">
        <f>Y77/$C$77</f>
        <v>0</v>
      </c>
      <c r="Y77" s="307"/>
      <c r="Z77" s="291">
        <f>AA77/$C$77</f>
        <v>897005.16795865633</v>
      </c>
      <c r="AA77" s="307">
        <v>24299.87</v>
      </c>
      <c r="AB77" s="291">
        <f>AC77/$C$77</f>
        <v>1000636.3971945368</v>
      </c>
      <c r="AC77" s="307">
        <v>27107.24</v>
      </c>
      <c r="AD77" s="68">
        <f t="shared" si="4"/>
        <v>51407.11</v>
      </c>
    </row>
    <row r="78" spans="1:32" x14ac:dyDescent="0.25">
      <c r="A78" s="299">
        <v>74</v>
      </c>
      <c r="B78" s="299" t="s">
        <v>11</v>
      </c>
      <c r="C78" s="301"/>
      <c r="D78" s="301"/>
      <c r="E78" s="301"/>
      <c r="G78" s="307"/>
      <c r="H78" s="308"/>
      <c r="I78" s="307"/>
      <c r="J78" s="308"/>
      <c r="K78" s="307"/>
      <c r="L78" s="308"/>
      <c r="M78" s="307"/>
      <c r="N78" s="308"/>
      <c r="O78" s="307"/>
      <c r="P78" s="308"/>
      <c r="Q78" s="307"/>
      <c r="R78" s="308"/>
      <c r="S78" s="307"/>
      <c r="T78" s="308"/>
      <c r="U78" s="307"/>
      <c r="V78" s="308"/>
      <c r="W78" s="316"/>
      <c r="X78" s="317"/>
      <c r="Y78" s="307"/>
      <c r="Z78" s="308"/>
      <c r="AA78" s="307">
        <v>565217.92999999993</v>
      </c>
      <c r="AB78" s="308"/>
      <c r="AC78" s="307">
        <v>632424.59</v>
      </c>
      <c r="AD78" s="68">
        <f t="shared" si="4"/>
        <v>1197642.52</v>
      </c>
    </row>
    <row r="79" spans="1:32" x14ac:dyDescent="0.25">
      <c r="A79" s="299">
        <v>75</v>
      </c>
      <c r="B79" s="299" t="s">
        <v>484</v>
      </c>
      <c r="C79" s="301"/>
      <c r="D79" s="301"/>
      <c r="E79" s="301"/>
      <c r="G79" s="307"/>
      <c r="H79" s="308"/>
      <c r="I79" s="307"/>
      <c r="J79" s="308"/>
      <c r="K79" s="307"/>
      <c r="L79" s="308"/>
      <c r="M79" s="307"/>
      <c r="N79" s="308"/>
      <c r="O79" s="307"/>
      <c r="P79" s="308"/>
      <c r="Q79" s="307"/>
      <c r="R79" s="308"/>
      <c r="S79" s="307"/>
      <c r="T79" s="308"/>
      <c r="U79" s="307"/>
      <c r="V79" s="308"/>
      <c r="W79" s="316"/>
      <c r="X79" s="317"/>
      <c r="Y79" s="307"/>
      <c r="Z79" s="308"/>
      <c r="AA79" s="307">
        <v>102601.54</v>
      </c>
      <c r="AB79" s="308"/>
      <c r="AC79" s="307">
        <v>202779.91999999998</v>
      </c>
      <c r="AD79" s="68">
        <f t="shared" ref="AD79:AD98" si="5">SUM(G79:AC79)</f>
        <v>305381.45999999996</v>
      </c>
    </row>
    <row r="80" spans="1:32" x14ac:dyDescent="0.25">
      <c r="A80" s="299">
        <v>76</v>
      </c>
      <c r="B80" s="299" t="s">
        <v>115</v>
      </c>
      <c r="C80" s="301"/>
      <c r="D80" s="301"/>
      <c r="E80" s="301"/>
      <c r="G80" s="307"/>
      <c r="H80" s="308"/>
      <c r="I80" s="307"/>
      <c r="J80" s="308"/>
      <c r="K80" s="307"/>
      <c r="L80" s="308"/>
      <c r="M80" s="307"/>
      <c r="N80" s="308"/>
      <c r="O80" s="307"/>
      <c r="P80" s="308"/>
      <c r="Q80" s="307"/>
      <c r="R80" s="308"/>
      <c r="S80" s="307"/>
      <c r="T80" s="308"/>
      <c r="U80" s="307"/>
      <c r="V80" s="308"/>
      <c r="W80" s="316"/>
      <c r="X80" s="317"/>
      <c r="Y80" s="307"/>
      <c r="Z80" s="308"/>
      <c r="AA80" s="229">
        <v>1940.21</v>
      </c>
      <c r="AB80" s="308"/>
      <c r="AC80" s="307">
        <v>2113.2399999999998</v>
      </c>
      <c r="AD80" s="68">
        <f t="shared" si="5"/>
        <v>4053.45</v>
      </c>
    </row>
    <row r="81" spans="1:30" x14ac:dyDescent="0.25">
      <c r="A81" s="299">
        <v>77</v>
      </c>
      <c r="B81" s="299" t="s">
        <v>116</v>
      </c>
      <c r="C81" s="301"/>
      <c r="D81" s="301"/>
      <c r="E81" s="301"/>
      <c r="G81" s="307"/>
      <c r="H81" s="308"/>
      <c r="I81" s="307"/>
      <c r="J81" s="308"/>
      <c r="K81" s="307"/>
      <c r="L81" s="308"/>
      <c r="M81" s="307"/>
      <c r="N81" s="308"/>
      <c r="O81" s="307"/>
      <c r="P81" s="308"/>
      <c r="Q81" s="307"/>
      <c r="R81" s="308"/>
      <c r="S81" s="307"/>
      <c r="T81" s="308"/>
      <c r="U81" s="307"/>
      <c r="V81" s="308"/>
      <c r="W81" s="316"/>
      <c r="X81" s="317"/>
      <c r="Y81" s="307"/>
      <c r="Z81" s="308"/>
      <c r="AA81" s="307">
        <v>6373.0199999999995</v>
      </c>
      <c r="AB81" s="308"/>
      <c r="AC81" s="307">
        <v>8512.869999999999</v>
      </c>
      <c r="AD81" s="68">
        <f t="shared" si="5"/>
        <v>14885.89</v>
      </c>
    </row>
    <row r="82" spans="1:30" x14ac:dyDescent="0.25">
      <c r="A82" s="299">
        <v>78</v>
      </c>
      <c r="B82" s="299" t="s">
        <v>117</v>
      </c>
      <c r="C82" s="301"/>
      <c r="D82" s="301"/>
      <c r="E82" s="301"/>
      <c r="G82" s="307"/>
      <c r="H82" s="308"/>
      <c r="I82" s="307"/>
      <c r="J82" s="308"/>
      <c r="K82" s="307"/>
      <c r="L82" s="308"/>
      <c r="M82" s="307"/>
      <c r="N82" s="308"/>
      <c r="O82" s="307"/>
      <c r="P82" s="308"/>
      <c r="Q82" s="307"/>
      <c r="R82" s="308"/>
      <c r="S82" s="307"/>
      <c r="T82" s="308"/>
      <c r="U82" s="307"/>
      <c r="V82" s="308"/>
      <c r="W82" s="316"/>
      <c r="X82" s="317"/>
      <c r="Y82" s="307"/>
      <c r="Z82" s="308"/>
      <c r="AA82" s="307">
        <v>-68284.259999999995</v>
      </c>
      <c r="AB82" s="308"/>
      <c r="AC82" s="307">
        <v>-29285.439999999999</v>
      </c>
      <c r="AD82" s="68">
        <f t="shared" si="5"/>
        <v>-97569.7</v>
      </c>
    </row>
    <row r="83" spans="1:30" x14ac:dyDescent="0.25">
      <c r="A83" s="299">
        <v>79</v>
      </c>
      <c r="B83" s="299" t="s">
        <v>118</v>
      </c>
      <c r="C83" s="301"/>
      <c r="D83" s="301"/>
      <c r="E83" s="301"/>
      <c r="G83" s="307"/>
      <c r="H83" s="308"/>
      <c r="I83" s="307"/>
      <c r="J83" s="308"/>
      <c r="K83" s="307"/>
      <c r="L83" s="308"/>
      <c r="M83" s="307"/>
      <c r="N83" s="308"/>
      <c r="O83" s="307"/>
      <c r="P83" s="308"/>
      <c r="Q83" s="307"/>
      <c r="R83" s="308"/>
      <c r="S83" s="307"/>
      <c r="T83" s="308"/>
      <c r="U83" s="307"/>
      <c r="V83" s="308"/>
      <c r="W83" s="316"/>
      <c r="X83" s="317"/>
      <c r="Y83" s="307"/>
      <c r="Z83" s="308"/>
      <c r="AA83" s="307">
        <v>10428.570000000002</v>
      </c>
      <c r="AB83" s="308"/>
      <c r="AC83" s="307"/>
      <c r="AD83" s="68">
        <f t="shared" si="5"/>
        <v>10428.570000000002</v>
      </c>
    </row>
    <row r="84" spans="1:30" x14ac:dyDescent="0.25">
      <c r="A84" s="299">
        <v>80</v>
      </c>
      <c r="B84" s="299" t="s">
        <v>119</v>
      </c>
      <c r="C84" s="301"/>
      <c r="D84" s="301"/>
      <c r="E84" s="301"/>
      <c r="G84" s="307"/>
      <c r="H84" s="308"/>
      <c r="I84" s="307"/>
      <c r="J84" s="308"/>
      <c r="K84" s="307"/>
      <c r="L84" s="308"/>
      <c r="M84" s="307"/>
      <c r="N84" s="308"/>
      <c r="O84" s="307"/>
      <c r="P84" s="308"/>
      <c r="Q84" s="307"/>
      <c r="R84" s="308"/>
      <c r="S84" s="307"/>
      <c r="T84" s="308"/>
      <c r="U84" s="307"/>
      <c r="V84" s="308"/>
      <c r="W84" s="316"/>
      <c r="X84" s="317"/>
      <c r="Y84" s="307"/>
      <c r="Z84" s="308"/>
      <c r="AA84" s="307">
        <v>37106.33</v>
      </c>
      <c r="AB84" s="308"/>
      <c r="AC84" s="307">
        <v>39416.93</v>
      </c>
      <c r="AD84" s="68">
        <f t="shared" si="5"/>
        <v>76523.260000000009</v>
      </c>
    </row>
    <row r="85" spans="1:30" x14ac:dyDescent="0.25">
      <c r="A85" s="299">
        <v>81</v>
      </c>
      <c r="B85" s="318" t="s">
        <v>181</v>
      </c>
      <c r="C85" s="301"/>
      <c r="D85" s="301"/>
      <c r="E85" s="301"/>
      <c r="G85" s="307"/>
      <c r="H85" s="308"/>
      <c r="I85" s="307"/>
      <c r="J85" s="308"/>
      <c r="K85" s="307"/>
      <c r="L85" s="308"/>
      <c r="M85" s="307"/>
      <c r="N85" s="308"/>
      <c r="O85" s="307"/>
      <c r="P85" s="308"/>
      <c r="Q85" s="307"/>
      <c r="R85" s="308"/>
      <c r="S85" s="307"/>
      <c r="T85" s="308"/>
      <c r="U85" s="307"/>
      <c r="V85" s="308"/>
      <c r="W85" s="316"/>
      <c r="X85" s="317"/>
      <c r="Y85" s="307"/>
      <c r="Z85" s="308"/>
      <c r="AA85" s="307">
        <v>-3853.45</v>
      </c>
      <c r="AB85" s="308"/>
      <c r="AC85" s="307">
        <v>-4810.96</v>
      </c>
      <c r="AD85" s="68">
        <f t="shared" si="5"/>
        <v>-8664.41</v>
      </c>
    </row>
    <row r="86" spans="1:30" x14ac:dyDescent="0.25">
      <c r="A86" s="299">
        <v>82</v>
      </c>
      <c r="B86" s="318" t="s">
        <v>182</v>
      </c>
      <c r="C86" s="301"/>
      <c r="D86" s="301"/>
      <c r="E86" s="301"/>
      <c r="G86" s="307"/>
      <c r="H86" s="308"/>
      <c r="I86" s="307"/>
      <c r="J86" s="308"/>
      <c r="K86" s="307"/>
      <c r="L86" s="308"/>
      <c r="M86" s="307"/>
      <c r="N86" s="308"/>
      <c r="O86" s="307"/>
      <c r="P86" s="308"/>
      <c r="Q86" s="307"/>
      <c r="R86" s="308"/>
      <c r="S86" s="307"/>
      <c r="T86" s="308"/>
      <c r="U86" s="307"/>
      <c r="V86" s="308"/>
      <c r="W86" s="316"/>
      <c r="X86" s="317"/>
      <c r="Y86" s="307"/>
      <c r="Z86" s="308"/>
      <c r="AA86" s="307">
        <v>-1791.9799999999998</v>
      </c>
      <c r="AB86" s="308"/>
      <c r="AC86" s="307">
        <v>-1794</v>
      </c>
      <c r="AD86" s="68">
        <f t="shared" si="5"/>
        <v>-3585.9799999999996</v>
      </c>
    </row>
    <row r="87" spans="1:30" x14ac:dyDescent="0.25">
      <c r="A87" s="299">
        <v>83</v>
      </c>
      <c r="B87" s="318" t="s">
        <v>183</v>
      </c>
      <c r="C87" s="301"/>
      <c r="D87" s="301"/>
      <c r="E87" s="301"/>
      <c r="G87" s="307"/>
      <c r="H87" s="308"/>
      <c r="I87" s="307"/>
      <c r="J87" s="308"/>
      <c r="K87" s="307"/>
      <c r="L87" s="308"/>
      <c r="M87" s="307"/>
      <c r="N87" s="308"/>
      <c r="O87" s="307"/>
      <c r="P87" s="308"/>
      <c r="Q87" s="307"/>
      <c r="R87" s="308"/>
      <c r="S87" s="307"/>
      <c r="T87" s="308"/>
      <c r="U87" s="307"/>
      <c r="V87" s="308"/>
      <c r="W87" s="316"/>
      <c r="X87" s="317"/>
      <c r="Y87" s="307"/>
      <c r="Z87" s="308"/>
      <c r="AA87" s="307">
        <v>-3274.0999999999995</v>
      </c>
      <c r="AB87" s="308"/>
      <c r="AC87" s="307"/>
      <c r="AD87" s="68">
        <f t="shared" si="5"/>
        <v>-3274.0999999999995</v>
      </c>
    </row>
    <row r="88" spans="1:30" x14ac:dyDescent="0.25">
      <c r="A88" s="299">
        <v>84</v>
      </c>
      <c r="B88" s="299" t="s">
        <v>120</v>
      </c>
      <c r="C88" s="301"/>
      <c r="D88" s="301"/>
      <c r="E88" s="301"/>
      <c r="G88" s="307"/>
      <c r="H88" s="308"/>
      <c r="I88" s="307"/>
      <c r="J88" s="308"/>
      <c r="K88" s="307"/>
      <c r="L88" s="308"/>
      <c r="M88" s="307"/>
      <c r="N88" s="308"/>
      <c r="O88" s="307"/>
      <c r="P88" s="308"/>
      <c r="Q88" s="307"/>
      <c r="R88" s="308"/>
      <c r="S88" s="307"/>
      <c r="T88" s="308"/>
      <c r="U88" s="307"/>
      <c r="V88" s="308"/>
      <c r="W88" s="316"/>
      <c r="X88" s="317"/>
      <c r="Y88" s="307"/>
      <c r="Z88" s="308"/>
      <c r="AA88" s="307">
        <v>28314.41</v>
      </c>
      <c r="AB88" s="308"/>
      <c r="AC88" s="307">
        <v>36523.379999999997</v>
      </c>
      <c r="AD88" s="68">
        <f t="shared" si="5"/>
        <v>64837.789999999994</v>
      </c>
    </row>
    <row r="89" spans="1:30" x14ac:dyDescent="0.25">
      <c r="A89" s="299">
        <v>85</v>
      </c>
      <c r="B89" s="299" t="s">
        <v>125</v>
      </c>
      <c r="C89" s="301"/>
      <c r="D89" s="301"/>
      <c r="E89" s="301"/>
      <c r="G89" s="307"/>
      <c r="H89" s="308"/>
      <c r="I89" s="307"/>
      <c r="J89" s="308"/>
      <c r="K89" s="307"/>
      <c r="L89" s="308"/>
      <c r="M89" s="307"/>
      <c r="N89" s="308"/>
      <c r="O89" s="307"/>
      <c r="P89" s="308"/>
      <c r="U89" s="307"/>
      <c r="V89" s="308"/>
      <c r="AA89" s="307"/>
      <c r="AB89" s="308"/>
      <c r="AC89" s="307"/>
      <c r="AD89" s="68">
        <f t="shared" si="5"/>
        <v>0</v>
      </c>
    </row>
    <row r="90" spans="1:30" x14ac:dyDescent="0.25">
      <c r="A90" s="299">
        <v>86</v>
      </c>
      <c r="B90" s="299" t="s">
        <v>122</v>
      </c>
      <c r="C90" s="301"/>
      <c r="D90" s="301"/>
      <c r="E90" s="301"/>
      <c r="G90" s="307"/>
      <c r="H90" s="308"/>
      <c r="I90" s="307"/>
      <c r="J90" s="308"/>
      <c r="K90" s="307"/>
      <c r="L90" s="308"/>
      <c r="M90" s="307"/>
      <c r="N90" s="308"/>
      <c r="O90" s="307"/>
      <c r="P90" s="308"/>
      <c r="Q90" s="307"/>
      <c r="R90" s="308"/>
      <c r="S90" s="307"/>
      <c r="T90" s="308"/>
      <c r="U90" s="307"/>
      <c r="V90" s="308"/>
      <c r="W90" s="316"/>
      <c r="X90" s="317"/>
      <c r="Y90" s="307"/>
      <c r="Z90" s="308"/>
      <c r="AA90" s="307"/>
      <c r="AB90" s="308"/>
      <c r="AC90" s="307"/>
      <c r="AD90" s="68">
        <f t="shared" si="5"/>
        <v>0</v>
      </c>
    </row>
    <row r="91" spans="1:30" x14ac:dyDescent="0.25">
      <c r="A91" s="299">
        <v>87</v>
      </c>
      <c r="B91" s="299" t="s">
        <v>121</v>
      </c>
      <c r="C91" s="301"/>
      <c r="D91" s="301"/>
      <c r="E91" s="301"/>
      <c r="G91" s="307"/>
      <c r="H91" s="308"/>
      <c r="I91" s="307"/>
      <c r="J91" s="308"/>
      <c r="K91" s="307"/>
      <c r="L91" s="308"/>
      <c r="M91" s="307"/>
      <c r="N91" s="308"/>
      <c r="O91" s="307"/>
      <c r="P91" s="308"/>
      <c r="Q91" s="307"/>
      <c r="R91" s="308"/>
      <c r="S91" s="307"/>
      <c r="T91" s="308"/>
      <c r="U91" s="307"/>
      <c r="V91" s="308"/>
      <c r="Y91" s="307"/>
      <c r="Z91" s="308"/>
      <c r="AA91" s="307"/>
      <c r="AB91" s="308"/>
      <c r="AC91" s="307"/>
      <c r="AD91" s="68">
        <f t="shared" si="5"/>
        <v>0</v>
      </c>
    </row>
    <row r="92" spans="1:30" x14ac:dyDescent="0.25">
      <c r="A92" s="299">
        <v>88</v>
      </c>
      <c r="B92" s="299" t="s">
        <v>123</v>
      </c>
      <c r="C92" s="301"/>
      <c r="D92" s="301"/>
      <c r="E92" s="301"/>
      <c r="G92" s="307"/>
      <c r="H92" s="308"/>
      <c r="I92" s="307"/>
      <c r="J92" s="308"/>
      <c r="K92" s="307"/>
      <c r="L92" s="308"/>
      <c r="M92" s="307"/>
      <c r="N92" s="308"/>
      <c r="O92" s="307"/>
      <c r="P92" s="308"/>
      <c r="Q92" s="307"/>
      <c r="R92" s="308"/>
      <c r="S92" s="307"/>
      <c r="T92" s="308"/>
      <c r="U92" s="307"/>
      <c r="V92" s="308"/>
      <c r="Y92" s="307"/>
      <c r="Z92" s="308"/>
      <c r="AA92" s="307"/>
      <c r="AB92" s="308"/>
      <c r="AC92" s="307"/>
      <c r="AD92" s="68">
        <f t="shared" si="5"/>
        <v>0</v>
      </c>
    </row>
    <row r="93" spans="1:30" x14ac:dyDescent="0.25">
      <c r="A93" s="299">
        <v>89</v>
      </c>
      <c r="B93" s="299" t="s">
        <v>124</v>
      </c>
      <c r="C93" s="301"/>
      <c r="D93" s="301"/>
      <c r="E93" s="301"/>
      <c r="G93" s="307"/>
      <c r="H93" s="308"/>
      <c r="I93" s="307"/>
      <c r="J93" s="308"/>
      <c r="K93" s="307"/>
      <c r="L93" s="308"/>
      <c r="M93" s="307"/>
      <c r="N93" s="308"/>
      <c r="O93" s="307"/>
      <c r="P93" s="308"/>
      <c r="Q93" s="307"/>
      <c r="R93" s="308"/>
      <c r="S93" s="307"/>
      <c r="T93" s="308"/>
      <c r="U93" s="307"/>
      <c r="V93" s="308"/>
      <c r="Y93" s="307"/>
      <c r="Z93" s="308"/>
      <c r="AA93" s="307"/>
      <c r="AB93" s="308"/>
      <c r="AC93" s="307"/>
      <c r="AD93" s="68">
        <f t="shared" si="5"/>
        <v>0</v>
      </c>
    </row>
    <row r="94" spans="1:30" x14ac:dyDescent="0.25">
      <c r="A94" s="299">
        <v>90</v>
      </c>
      <c r="B94" s="299" t="s">
        <v>29</v>
      </c>
      <c r="C94" s="301"/>
      <c r="D94" s="301"/>
      <c r="E94" s="301"/>
      <c r="G94" s="307"/>
      <c r="H94" s="308"/>
      <c r="I94" s="307"/>
      <c r="J94" s="308"/>
      <c r="K94" s="307"/>
      <c r="L94" s="308"/>
      <c r="M94" s="307"/>
      <c r="N94" s="308"/>
      <c r="O94" s="307"/>
      <c r="P94" s="308"/>
      <c r="Q94" s="307"/>
      <c r="R94" s="308"/>
      <c r="S94" s="307"/>
      <c r="T94" s="308"/>
      <c r="U94" s="307"/>
      <c r="V94" s="308"/>
      <c r="Y94" s="307"/>
      <c r="Z94" s="308"/>
      <c r="AA94" s="307"/>
      <c r="AB94" s="308"/>
      <c r="AC94" s="307"/>
      <c r="AD94" s="68">
        <f t="shared" si="5"/>
        <v>0</v>
      </c>
    </row>
    <row r="95" spans="1:30" x14ac:dyDescent="0.25">
      <c r="A95" s="299">
        <v>91</v>
      </c>
      <c r="B95" s="229" t="s">
        <v>30</v>
      </c>
      <c r="C95" s="301"/>
      <c r="D95" s="301"/>
      <c r="E95" s="301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>
        <f>SUM(AA74:AA94)</f>
        <v>753779.36</v>
      </c>
      <c r="AB95" s="307"/>
      <c r="AC95" s="307">
        <f>SUM(AC74:AC94)</f>
        <v>973161.6</v>
      </c>
      <c r="AD95" s="68">
        <f t="shared" si="5"/>
        <v>1726940.96</v>
      </c>
    </row>
    <row r="96" spans="1:30" x14ac:dyDescent="0.25">
      <c r="A96" s="299">
        <v>92</v>
      </c>
      <c r="B96" s="229" t="s">
        <v>31</v>
      </c>
      <c r="C96" s="301"/>
      <c r="D96" s="301"/>
      <c r="E96" s="320"/>
      <c r="F96" s="294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2"/>
      <c r="X96" s="312"/>
      <c r="Y96" s="311"/>
      <c r="Z96" s="311"/>
      <c r="AA96" s="308">
        <v>1347361</v>
      </c>
      <c r="AB96" s="311"/>
      <c r="AC96" s="308">
        <v>1498743</v>
      </c>
      <c r="AD96" s="163">
        <f t="shared" si="5"/>
        <v>2846104</v>
      </c>
    </row>
    <row r="97" spans="1:32" x14ac:dyDescent="0.25">
      <c r="A97" s="299">
        <v>93</v>
      </c>
      <c r="B97" s="299" t="s">
        <v>32</v>
      </c>
      <c r="C97" s="301"/>
      <c r="D97" s="301"/>
      <c r="E97" s="320"/>
      <c r="F97" s="294"/>
      <c r="G97" s="311"/>
      <c r="H97" s="311"/>
      <c r="I97" s="311"/>
      <c r="J97" s="311"/>
      <c r="K97" s="294"/>
      <c r="L97" s="294"/>
      <c r="M97" s="294"/>
      <c r="N97" s="294"/>
      <c r="O97" s="311"/>
      <c r="P97" s="311"/>
      <c r="Q97" s="311"/>
      <c r="R97" s="311"/>
      <c r="S97" s="311"/>
      <c r="T97" s="311"/>
      <c r="U97" s="311"/>
      <c r="V97" s="311"/>
      <c r="W97" s="294"/>
      <c r="X97" s="294"/>
      <c r="Y97" s="311"/>
      <c r="Z97" s="311"/>
      <c r="AA97" s="308"/>
      <c r="AB97" s="311"/>
      <c r="AC97" s="308"/>
      <c r="AD97" s="163">
        <f t="shared" si="5"/>
        <v>0</v>
      </c>
    </row>
    <row r="98" spans="1:32" x14ac:dyDescent="0.25">
      <c r="A98" s="299">
        <v>94</v>
      </c>
      <c r="B98" s="299" t="s">
        <v>33</v>
      </c>
      <c r="C98" s="301"/>
      <c r="D98" s="301"/>
      <c r="E98" s="320"/>
      <c r="F98" s="294"/>
      <c r="G98" s="311"/>
      <c r="H98" s="311"/>
      <c r="I98" s="311">
        <f>SUM(I96:I97)</f>
        <v>0</v>
      </c>
      <c r="J98" s="311"/>
      <c r="K98" s="311">
        <f>SUM(K96:K97)</f>
        <v>0</v>
      </c>
      <c r="L98" s="311"/>
      <c r="M98" s="311">
        <f>SUM(M96:M97)</f>
        <v>0</v>
      </c>
      <c r="N98" s="311"/>
      <c r="O98" s="311">
        <f>SUM(O96:O97)</f>
        <v>0</v>
      </c>
      <c r="P98" s="311"/>
      <c r="Q98" s="311">
        <f>SUM(Q96:Q97)</f>
        <v>0</v>
      </c>
      <c r="R98" s="311"/>
      <c r="S98" s="311">
        <f>SUM(S96:S97)</f>
        <v>0</v>
      </c>
      <c r="T98" s="311"/>
      <c r="U98" s="311">
        <f>SUM(U96:U97)</f>
        <v>0</v>
      </c>
      <c r="V98" s="311"/>
      <c r="W98" s="311">
        <f>SUM(W96:W97)</f>
        <v>0</v>
      </c>
      <c r="X98" s="311"/>
      <c r="Y98" s="311">
        <f>SUM(Y96:Y97)</f>
        <v>0</v>
      </c>
      <c r="Z98" s="311"/>
      <c r="AA98" s="308">
        <f>SUM(AA96:AA97)</f>
        <v>1347361</v>
      </c>
      <c r="AB98" s="311"/>
      <c r="AC98" s="308">
        <f>SUM(AC96:AC97)</f>
        <v>1498743</v>
      </c>
      <c r="AD98" s="163">
        <f t="shared" si="5"/>
        <v>2846104</v>
      </c>
    </row>
    <row r="99" spans="1:32" x14ac:dyDescent="0.25">
      <c r="A99" s="299">
        <v>95</v>
      </c>
      <c r="C99" s="301"/>
      <c r="D99" s="301"/>
      <c r="E99" s="320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47"/>
    </row>
    <row r="100" spans="1:32" x14ac:dyDescent="0.25">
      <c r="A100" s="299">
        <v>96</v>
      </c>
      <c r="B100" s="314" t="s">
        <v>488</v>
      </c>
    </row>
    <row r="101" spans="1:32" x14ac:dyDescent="0.25">
      <c r="A101" s="299">
        <v>97</v>
      </c>
      <c r="B101" s="229" t="s">
        <v>9</v>
      </c>
      <c r="C101" s="269">
        <v>60</v>
      </c>
      <c r="D101" s="269"/>
      <c r="E101" s="269"/>
      <c r="F101" s="291">
        <f>G101/$C$101</f>
        <v>480</v>
      </c>
      <c r="G101" s="315">
        <v>28800</v>
      </c>
      <c r="H101" s="291">
        <f>I101/$C$101</f>
        <v>478</v>
      </c>
      <c r="I101" s="307">
        <v>28680</v>
      </c>
      <c r="J101" s="291">
        <f>K101/$C$101</f>
        <v>488</v>
      </c>
      <c r="K101" s="307">
        <v>29280</v>
      </c>
      <c r="L101" s="291">
        <f>M101/$C$101</f>
        <v>480</v>
      </c>
      <c r="M101" s="307">
        <v>28800</v>
      </c>
      <c r="N101" s="291">
        <f>O101/$C$101</f>
        <v>474</v>
      </c>
      <c r="O101" s="307">
        <v>28440</v>
      </c>
      <c r="P101" s="291">
        <f>Q101/$C$101</f>
        <v>482</v>
      </c>
      <c r="Q101" s="307">
        <v>28920</v>
      </c>
      <c r="R101" s="291">
        <f>S101/$C$101</f>
        <v>477</v>
      </c>
      <c r="S101" s="307">
        <v>28620</v>
      </c>
      <c r="T101" s="291">
        <f>U101/$C$101</f>
        <v>488</v>
      </c>
      <c r="U101" s="307">
        <v>29280</v>
      </c>
      <c r="V101" s="291">
        <f>W101/$C$101</f>
        <v>479</v>
      </c>
      <c r="W101" s="316">
        <v>28740</v>
      </c>
      <c r="X101" s="291">
        <f>Y101/$C$101</f>
        <v>476</v>
      </c>
      <c r="Y101" s="307">
        <v>28560</v>
      </c>
      <c r="Z101" s="291">
        <f>AA101/$C$101</f>
        <v>482</v>
      </c>
      <c r="AA101" s="307">
        <v>28920</v>
      </c>
      <c r="AB101" s="291">
        <f>AC101/$C$101</f>
        <v>487</v>
      </c>
      <c r="AC101" s="307">
        <v>29220</v>
      </c>
      <c r="AD101" s="68">
        <f>SUM(G101,I101,K101,M101,O101,Q101,S101,U101,W101,Y101,AA101,AC101)</f>
        <v>346260</v>
      </c>
    </row>
    <row r="102" spans="1:32" x14ac:dyDescent="0.25">
      <c r="A102" s="299">
        <v>98</v>
      </c>
      <c r="B102" s="229" t="s">
        <v>160</v>
      </c>
      <c r="C102" s="299">
        <v>0.17851</v>
      </c>
      <c r="F102" s="291">
        <f>G102/$C$102</f>
        <v>191473.41885608647</v>
      </c>
      <c r="G102" s="315">
        <v>34179.919999999998</v>
      </c>
      <c r="H102" s="291">
        <f>I102/$C$102</f>
        <v>194768.36031594867</v>
      </c>
      <c r="I102" s="307">
        <v>34768.1</v>
      </c>
      <c r="J102" s="291">
        <f>K102/$C$102</f>
        <v>206171.19489104254</v>
      </c>
      <c r="K102" s="307">
        <v>36803.620000000003</v>
      </c>
      <c r="L102" s="291">
        <f>M102/$C$102</f>
        <v>180644.66976639963</v>
      </c>
      <c r="M102" s="307">
        <v>32246.880000000001</v>
      </c>
      <c r="N102" s="291">
        <f>O102/$C$102</f>
        <v>137895.52406027674</v>
      </c>
      <c r="O102" s="307">
        <v>24615.73</v>
      </c>
      <c r="P102" s="291">
        <f>Q102/$C$102</f>
        <v>105357.51498515491</v>
      </c>
      <c r="Q102" s="307">
        <v>18807.370000000003</v>
      </c>
      <c r="R102" s="291">
        <f>S102/$C$102</f>
        <v>88550.221276118988</v>
      </c>
      <c r="S102" s="307">
        <v>15807.1</v>
      </c>
      <c r="T102" s="291">
        <f>U102/$C$102</f>
        <v>84408.100386532969</v>
      </c>
      <c r="U102" s="307">
        <v>15067.69</v>
      </c>
      <c r="V102" s="291">
        <f>W102/$C$102</f>
        <v>90582.432356730715</v>
      </c>
      <c r="W102" s="316">
        <v>16169.87</v>
      </c>
      <c r="X102" s="291">
        <f>Y102/$C$102</f>
        <v>129677.44103971767</v>
      </c>
      <c r="Y102" s="307">
        <v>23148.720000000001</v>
      </c>
      <c r="Z102" s="291">
        <f>AA102/$C$102</f>
        <v>172551.95787350848</v>
      </c>
      <c r="AA102" s="307">
        <v>30802.25</v>
      </c>
      <c r="AB102" s="291">
        <f>AC102/$C$102</f>
        <v>190723.32082236288</v>
      </c>
      <c r="AC102" s="307">
        <v>34046.019999999997</v>
      </c>
      <c r="AD102" s="68">
        <f>SUM(G102,I102,K102,M102,O102,Q102,S102,U102,W102,Y102,AA102,AC102)</f>
        <v>316463.27</v>
      </c>
      <c r="AF102" s="101"/>
    </row>
    <row r="103" spans="1:32" x14ac:dyDescent="0.25">
      <c r="A103" s="299">
        <v>99</v>
      </c>
      <c r="B103" s="229" t="s">
        <v>161</v>
      </c>
      <c r="C103" s="299">
        <v>0.14457</v>
      </c>
      <c r="F103" s="291">
        <f>G103/$C$103</f>
        <v>688140.62391920865</v>
      </c>
      <c r="G103" s="315">
        <v>99484.49</v>
      </c>
      <c r="H103" s="291">
        <f>I103/$C$103</f>
        <v>709661.68638030009</v>
      </c>
      <c r="I103" s="307">
        <v>102595.79</v>
      </c>
      <c r="J103" s="291">
        <f>K103/$C$103</f>
        <v>770116.48336446017</v>
      </c>
      <c r="K103" s="307">
        <v>111335.74</v>
      </c>
      <c r="L103" s="291">
        <f>M103/$C$103</f>
        <v>577002.69765511516</v>
      </c>
      <c r="M103" s="307">
        <v>83417.279999999999</v>
      </c>
      <c r="N103" s="291">
        <f>O103/$C$103</f>
        <v>401254.8246524175</v>
      </c>
      <c r="O103" s="307">
        <v>58009.41</v>
      </c>
      <c r="P103" s="291">
        <f>Q103/$C$103</f>
        <v>300279.44940167386</v>
      </c>
      <c r="Q103" s="307">
        <v>43411.399999999994</v>
      </c>
      <c r="R103" s="291">
        <f>S103/$C$103</f>
        <v>273632.56553918513</v>
      </c>
      <c r="S103" s="307">
        <v>39559.06</v>
      </c>
      <c r="T103" s="291">
        <f>U103/$C$103</f>
        <v>272914.15923082241</v>
      </c>
      <c r="U103" s="307">
        <v>39455.199999999997</v>
      </c>
      <c r="V103" s="291">
        <f>W103/$C$103</f>
        <v>293937.8847617071</v>
      </c>
      <c r="W103" s="316">
        <v>42494.6</v>
      </c>
      <c r="X103" s="291">
        <f>Y103/$C$103</f>
        <v>398691.08390399109</v>
      </c>
      <c r="Y103" s="307">
        <v>57638.77</v>
      </c>
      <c r="Z103" s="291">
        <f>AA103/$C$103</f>
        <v>536978.55710036657</v>
      </c>
      <c r="AA103" s="307">
        <v>77630.990000000005</v>
      </c>
      <c r="AB103" s="291">
        <f>AC103/$C$103</f>
        <v>663264.02434806665</v>
      </c>
      <c r="AC103" s="307">
        <v>95888.08</v>
      </c>
      <c r="AD103" s="68">
        <f>SUM(G103,I103,K103,M103,O103,Q103,S103,U103,W103,Y103,AA103,AC103)</f>
        <v>850920.81</v>
      </c>
      <c r="AF103" s="101"/>
    </row>
    <row r="104" spans="1:32" x14ac:dyDescent="0.25">
      <c r="A104" s="299">
        <v>100</v>
      </c>
      <c r="B104" s="229" t="s">
        <v>162</v>
      </c>
      <c r="C104" s="299">
        <v>0.13944000000000001</v>
      </c>
      <c r="F104" s="291">
        <f>G104/$C$104</f>
        <v>554113.81239242689</v>
      </c>
      <c r="G104" s="315">
        <v>77265.63</v>
      </c>
      <c r="H104" s="291">
        <f>I104/$C$104</f>
        <v>711733.00344234076</v>
      </c>
      <c r="I104" s="307">
        <v>99244.05</v>
      </c>
      <c r="J104" s="291">
        <f>K104/$C$104</f>
        <v>818456.18187033839</v>
      </c>
      <c r="K104" s="307">
        <v>114125.53</v>
      </c>
      <c r="L104" s="291">
        <f>M104/$C$104</f>
        <v>573665.80608146871</v>
      </c>
      <c r="M104" s="307">
        <v>79991.960000000006</v>
      </c>
      <c r="N104" s="291">
        <f>O104/$C$104</f>
        <v>250735.08318990245</v>
      </c>
      <c r="O104" s="307">
        <v>34962.5</v>
      </c>
      <c r="P104" s="291">
        <f>Q104/$C$104</f>
        <v>173406.7699368904</v>
      </c>
      <c r="Q104" s="307">
        <v>24179.84</v>
      </c>
      <c r="R104" s="291">
        <f>S104/$C$104</f>
        <v>174990.89213998851</v>
      </c>
      <c r="S104" s="307">
        <v>24400.73</v>
      </c>
      <c r="T104" s="291">
        <f>U104/$C$104</f>
        <v>207087.06253585772</v>
      </c>
      <c r="U104" s="307">
        <v>28876.22</v>
      </c>
      <c r="V104" s="291">
        <f>W104/$C$104</f>
        <v>267470.09466437175</v>
      </c>
      <c r="W104" s="316">
        <v>37296.03</v>
      </c>
      <c r="X104" s="291">
        <f>Y104/$C$104</f>
        <v>745993.83247274812</v>
      </c>
      <c r="Y104" s="307">
        <v>104021.38</v>
      </c>
      <c r="Z104" s="291">
        <f>AA104/$C$104</f>
        <v>449103.98737808369</v>
      </c>
      <c r="AA104" s="307">
        <v>62623.06</v>
      </c>
      <c r="AB104" s="291">
        <f>AC104/$C$104</f>
        <v>568661.79001721169</v>
      </c>
      <c r="AC104" s="307">
        <v>79294.2</v>
      </c>
      <c r="AD104" s="68">
        <f>SUM(G104,I104,K104,M104,O104,Q104,S104,U104,W104,Y104,AA104,AC104)</f>
        <v>766281.12999999989</v>
      </c>
      <c r="AF104" s="101"/>
    </row>
    <row r="105" spans="1:32" x14ac:dyDescent="0.25">
      <c r="A105" s="299">
        <v>101</v>
      </c>
      <c r="B105" s="229" t="s">
        <v>11</v>
      </c>
      <c r="G105" s="315">
        <v>601443.54</v>
      </c>
      <c r="I105" s="307">
        <v>677974.58</v>
      </c>
      <c r="K105" s="307">
        <v>752891.57</v>
      </c>
      <c r="M105" s="307">
        <v>558484.69999999995</v>
      </c>
      <c r="O105" s="307">
        <v>331354.37</v>
      </c>
      <c r="Q105" s="307">
        <v>242906.7</v>
      </c>
      <c r="S105" s="307">
        <v>225342.18</v>
      </c>
      <c r="U105" s="307">
        <v>236767.61</v>
      </c>
      <c r="W105" s="316">
        <v>273507.42000000004</v>
      </c>
      <c r="Y105" s="307">
        <v>534591.62000000023</v>
      </c>
      <c r="AA105" s="307">
        <v>486912.31999999989</v>
      </c>
      <c r="AC105" s="307">
        <v>600205.27999999991</v>
      </c>
      <c r="AD105" s="68">
        <f t="shared" ref="AD105:AD125" si="6">SUM(G105:AC105)</f>
        <v>5522381.8900000006</v>
      </c>
      <c r="AF105" s="191"/>
    </row>
    <row r="106" spans="1:32" x14ac:dyDescent="0.25">
      <c r="A106" s="299">
        <v>102</v>
      </c>
      <c r="B106" s="299" t="s">
        <v>484</v>
      </c>
      <c r="G106" s="315">
        <v>0</v>
      </c>
      <c r="I106" s="307">
        <v>0</v>
      </c>
      <c r="K106" s="307"/>
      <c r="M106" s="307">
        <v>24582.84</v>
      </c>
      <c r="O106" s="307">
        <v>58691.88</v>
      </c>
      <c r="Q106" s="307">
        <v>44093.799999999996</v>
      </c>
      <c r="S106" s="307">
        <v>40905.33</v>
      </c>
      <c r="U106" s="307">
        <v>42978.03</v>
      </c>
      <c r="W106" s="316">
        <v>49648.66</v>
      </c>
      <c r="Y106" s="307">
        <v>97042.14999999998</v>
      </c>
      <c r="AA106" s="307">
        <v>109060.06</v>
      </c>
      <c r="AC106" s="307">
        <v>189981.33000000002</v>
      </c>
      <c r="AD106" s="68">
        <f t="shared" si="6"/>
        <v>656984.07999999996</v>
      </c>
    </row>
    <row r="107" spans="1:32" x14ac:dyDescent="0.25">
      <c r="A107" s="299">
        <v>103</v>
      </c>
      <c r="B107" s="229" t="s">
        <v>115</v>
      </c>
      <c r="C107" s="301"/>
      <c r="D107" s="301"/>
      <c r="E107" s="301"/>
      <c r="G107" s="315">
        <v>2432.42</v>
      </c>
      <c r="H107" s="308"/>
      <c r="I107" s="307">
        <v>2747.35</v>
      </c>
      <c r="J107" s="308"/>
      <c r="K107" s="307">
        <v>3050.81</v>
      </c>
      <c r="L107" s="308"/>
      <c r="M107" s="307">
        <v>2263.2400000000002</v>
      </c>
      <c r="N107" s="308"/>
      <c r="O107" s="307">
        <v>1342.73</v>
      </c>
      <c r="P107" s="308"/>
      <c r="Q107" s="307">
        <v>984.41</v>
      </c>
      <c r="R107" s="308"/>
      <c r="S107" s="307">
        <v>913.29</v>
      </c>
      <c r="T107" s="308"/>
      <c r="U107" s="307">
        <v>959.59999999999991</v>
      </c>
      <c r="V107" s="308"/>
      <c r="W107" s="316">
        <v>1108.3800000000001</v>
      </c>
      <c r="X107" s="317"/>
      <c r="Y107" s="307">
        <v>2166.39</v>
      </c>
      <c r="Z107" s="308"/>
      <c r="AA107" s="307">
        <v>1959.16</v>
      </c>
      <c r="AB107" s="308"/>
      <c r="AC107" s="307">
        <v>2377.1499999999996</v>
      </c>
      <c r="AD107" s="68">
        <f t="shared" si="6"/>
        <v>22304.93</v>
      </c>
    </row>
    <row r="108" spans="1:32" x14ac:dyDescent="0.25">
      <c r="A108" s="299">
        <v>104</v>
      </c>
      <c r="B108" s="229" t="s">
        <v>116</v>
      </c>
      <c r="G108" s="315">
        <v>9806.5400000000009</v>
      </c>
      <c r="H108" s="308"/>
      <c r="I108" s="307">
        <v>11054.43</v>
      </c>
      <c r="J108" s="308"/>
      <c r="K108" s="307">
        <v>12275.6</v>
      </c>
      <c r="L108" s="308"/>
      <c r="M108" s="307">
        <v>9106.31</v>
      </c>
      <c r="N108" s="308"/>
      <c r="O108" s="307">
        <v>5402.92</v>
      </c>
      <c r="P108" s="308"/>
      <c r="Q108" s="307">
        <v>3960.65</v>
      </c>
      <c r="R108" s="308"/>
      <c r="S108" s="307">
        <v>3674.27</v>
      </c>
      <c r="T108" s="308"/>
      <c r="U108" s="307">
        <v>3860.54</v>
      </c>
      <c r="V108" s="308"/>
      <c r="W108" s="316">
        <v>4459.51</v>
      </c>
      <c r="X108" s="317"/>
      <c r="Y108" s="307">
        <v>8716.64</v>
      </c>
      <c r="Z108" s="308"/>
      <c r="AA108" s="307">
        <v>8523.77</v>
      </c>
      <c r="AB108" s="308"/>
      <c r="AC108" s="307">
        <v>12077.42</v>
      </c>
      <c r="AD108" s="68">
        <f t="shared" si="6"/>
        <v>92918.6</v>
      </c>
    </row>
    <row r="109" spans="1:32" x14ac:dyDescent="0.25">
      <c r="A109" s="299">
        <v>105</v>
      </c>
      <c r="B109" s="229" t="s">
        <v>117</v>
      </c>
      <c r="G109" s="315">
        <v>4602.1400000000003</v>
      </c>
      <c r="H109" s="308"/>
      <c r="I109" s="307">
        <v>5187.8</v>
      </c>
      <c r="J109" s="308"/>
      <c r="K109" s="307">
        <v>5761.59</v>
      </c>
      <c r="L109" s="308"/>
      <c r="M109" s="307">
        <v>4273.4800000000005</v>
      </c>
      <c r="N109" s="308"/>
      <c r="O109" s="307">
        <v>2535.5500000000002</v>
      </c>
      <c r="P109" s="308"/>
      <c r="Q109" s="307">
        <v>1858.73</v>
      </c>
      <c r="R109" s="308"/>
      <c r="S109" s="307">
        <v>1724.1600000000003</v>
      </c>
      <c r="T109" s="308"/>
      <c r="U109" s="307">
        <v>1811.77</v>
      </c>
      <c r="V109" s="308"/>
      <c r="W109" s="316">
        <v>2092.7599999999998</v>
      </c>
      <c r="X109" s="317"/>
      <c r="Y109" s="307">
        <v>4090.6800000000003</v>
      </c>
      <c r="Z109" s="308"/>
      <c r="AA109" s="307">
        <v>528.36</v>
      </c>
      <c r="AB109" s="308"/>
      <c r="AC109" s="307">
        <v>-7939.2400000000007</v>
      </c>
      <c r="AD109" s="68">
        <f t="shared" si="6"/>
        <v>26527.780000000002</v>
      </c>
    </row>
    <row r="110" spans="1:32" x14ac:dyDescent="0.25">
      <c r="A110" s="299">
        <v>106</v>
      </c>
      <c r="B110" s="229" t="s">
        <v>118</v>
      </c>
      <c r="G110" s="315">
        <v>11097.09</v>
      </c>
      <c r="H110" s="308"/>
      <c r="I110" s="307">
        <v>12509.01</v>
      </c>
      <c r="J110" s="308"/>
      <c r="K110" s="307">
        <v>13896.08</v>
      </c>
      <c r="L110" s="308"/>
      <c r="M110" s="307">
        <v>10304.44</v>
      </c>
      <c r="N110" s="308"/>
      <c r="O110" s="307">
        <v>6113.83</v>
      </c>
      <c r="P110" s="308"/>
      <c r="Q110" s="307">
        <v>4481.7800000000007</v>
      </c>
      <c r="R110" s="308"/>
      <c r="S110" s="307">
        <v>4157.6899999999996</v>
      </c>
      <c r="T110" s="308"/>
      <c r="U110" s="307">
        <v>4368.6400000000003</v>
      </c>
      <c r="V110" s="308"/>
      <c r="W110" s="316">
        <v>5046.45</v>
      </c>
      <c r="X110" s="317"/>
      <c r="Y110" s="307">
        <v>9863.4600000000009</v>
      </c>
      <c r="Z110" s="308"/>
      <c r="AA110" s="307">
        <v>6241.96</v>
      </c>
      <c r="AB110" s="308"/>
      <c r="AC110" s="307">
        <v>327.35000000000002</v>
      </c>
      <c r="AD110" s="68">
        <f t="shared" si="6"/>
        <v>88407.780000000028</v>
      </c>
    </row>
    <row r="111" spans="1:32" x14ac:dyDescent="0.25">
      <c r="A111" s="299">
        <v>107</v>
      </c>
      <c r="B111" s="229" t="s">
        <v>119</v>
      </c>
      <c r="G111" s="315">
        <v>39484.480000000003</v>
      </c>
      <c r="H111" s="308"/>
      <c r="I111" s="307">
        <v>44508.81</v>
      </c>
      <c r="J111" s="308"/>
      <c r="K111" s="307">
        <v>49425.47</v>
      </c>
      <c r="L111" s="308"/>
      <c r="M111" s="307">
        <v>36664.18</v>
      </c>
      <c r="N111" s="308"/>
      <c r="O111" s="307">
        <v>21753.43</v>
      </c>
      <c r="P111" s="308"/>
      <c r="Q111" s="307">
        <v>15946.84</v>
      </c>
      <c r="R111" s="308"/>
      <c r="S111" s="307">
        <v>14793.689999999999</v>
      </c>
      <c r="T111" s="308"/>
      <c r="U111" s="307">
        <v>15543.800000000001</v>
      </c>
      <c r="V111" s="308"/>
      <c r="W111" s="316">
        <v>17955.849999999999</v>
      </c>
      <c r="X111" s="317"/>
      <c r="Y111" s="307">
        <v>35095.83</v>
      </c>
      <c r="Z111" s="308"/>
      <c r="AA111" s="307">
        <v>31471.769999999997</v>
      </c>
      <c r="AB111" s="308"/>
      <c r="AC111" s="307">
        <v>37467.89</v>
      </c>
      <c r="AD111" s="68">
        <f t="shared" si="6"/>
        <v>360112.04000000004</v>
      </c>
    </row>
    <row r="112" spans="1:32" x14ac:dyDescent="0.25">
      <c r="A112" s="299">
        <v>108</v>
      </c>
      <c r="B112" s="318" t="s">
        <v>181</v>
      </c>
      <c r="G112" s="315">
        <v>-5003.67</v>
      </c>
      <c r="H112" s="308"/>
      <c r="I112" s="307">
        <v>-5640.33</v>
      </c>
      <c r="J112" s="308"/>
      <c r="K112" s="307">
        <v>-6263.66</v>
      </c>
      <c r="L112" s="308"/>
      <c r="M112" s="307">
        <v>-4646.1400000000003</v>
      </c>
      <c r="N112" s="308"/>
      <c r="O112" s="307">
        <v>-2756.57</v>
      </c>
      <c r="P112" s="308"/>
      <c r="Q112" s="307">
        <v>-2020.7399999999998</v>
      </c>
      <c r="R112" s="308"/>
      <c r="S112" s="307">
        <v>-1874.58</v>
      </c>
      <c r="T112" s="308"/>
      <c r="U112" s="307">
        <v>-1969.6800000000003</v>
      </c>
      <c r="V112" s="308"/>
      <c r="W112" s="316">
        <v>-2275.35</v>
      </c>
      <c r="X112" s="317"/>
      <c r="Y112" s="307">
        <v>-4447.4500000000007</v>
      </c>
      <c r="Z112" s="308"/>
      <c r="AA112" s="307">
        <v>-4195.0200000000004</v>
      </c>
      <c r="AB112" s="308"/>
      <c r="AC112" s="307">
        <v>-5558.53</v>
      </c>
      <c r="AD112" s="68">
        <f t="shared" si="6"/>
        <v>-46651.72</v>
      </c>
    </row>
    <row r="113" spans="1:33" x14ac:dyDescent="0.25">
      <c r="A113" s="299">
        <v>109</v>
      </c>
      <c r="B113" s="318" t="s">
        <v>182</v>
      </c>
      <c r="G113" s="315">
        <v>-2322.67</v>
      </c>
      <c r="H113" s="308"/>
      <c r="I113" s="307">
        <v>-2618.2600000000002</v>
      </c>
      <c r="J113" s="308"/>
      <c r="K113" s="307">
        <v>-2907.45</v>
      </c>
      <c r="L113" s="308"/>
      <c r="M113" s="307">
        <v>-2156.62</v>
      </c>
      <c r="N113" s="308"/>
      <c r="O113" s="307">
        <v>-1279.5</v>
      </c>
      <c r="P113" s="308"/>
      <c r="Q113" s="307">
        <v>-938</v>
      </c>
      <c r="R113" s="308"/>
      <c r="S113" s="307">
        <v>-870.09999999999991</v>
      </c>
      <c r="T113" s="308"/>
      <c r="U113" s="307">
        <v>-914.29</v>
      </c>
      <c r="V113" s="308"/>
      <c r="W113" s="316">
        <v>-1056.1600000000001</v>
      </c>
      <c r="X113" s="317"/>
      <c r="Y113" s="307">
        <v>-2064.39</v>
      </c>
      <c r="Z113" s="308"/>
      <c r="AA113" s="307">
        <v>-1819.9099999999999</v>
      </c>
      <c r="AB113" s="308"/>
      <c r="AC113" s="307">
        <v>-2081.1099999999997</v>
      </c>
      <c r="AD113" s="68">
        <f t="shared" si="6"/>
        <v>-21028.46</v>
      </c>
    </row>
    <row r="114" spans="1:33" x14ac:dyDescent="0.25">
      <c r="A114" s="299">
        <v>110</v>
      </c>
      <c r="B114" s="318" t="s">
        <v>183</v>
      </c>
      <c r="G114" s="315">
        <v>-4258.0600000000004</v>
      </c>
      <c r="H114" s="308"/>
      <c r="I114" s="307">
        <v>-4799.99</v>
      </c>
      <c r="J114" s="308"/>
      <c r="K114" s="307">
        <v>-5330.42</v>
      </c>
      <c r="L114" s="308"/>
      <c r="M114" s="307">
        <v>-3953.94</v>
      </c>
      <c r="N114" s="308"/>
      <c r="O114" s="307">
        <v>-2345.96</v>
      </c>
      <c r="P114" s="308"/>
      <c r="Q114" s="307">
        <v>-1719.6799999999998</v>
      </c>
      <c r="R114" s="308"/>
      <c r="S114" s="307">
        <v>-1595.35</v>
      </c>
      <c r="T114" s="308"/>
      <c r="U114" s="307">
        <v>-1676.2200000000003</v>
      </c>
      <c r="V114" s="308"/>
      <c r="W114" s="316">
        <v>-1936.36</v>
      </c>
      <c r="X114" s="317"/>
      <c r="Y114" s="307">
        <v>-3784.8500000000004</v>
      </c>
      <c r="Z114" s="308"/>
      <c r="AA114" s="307">
        <v>-2395.1200000000003</v>
      </c>
      <c r="AB114" s="308"/>
      <c r="AC114" s="307">
        <v>-125.62</v>
      </c>
      <c r="AD114" s="68">
        <f t="shared" si="6"/>
        <v>-33921.570000000007</v>
      </c>
    </row>
    <row r="115" spans="1:33" x14ac:dyDescent="0.25">
      <c r="A115" s="299">
        <v>111</v>
      </c>
      <c r="B115" s="229" t="s">
        <v>120</v>
      </c>
      <c r="G115" s="315">
        <v>37590.300000000003</v>
      </c>
      <c r="H115" s="308"/>
      <c r="I115" s="307">
        <v>40785.26</v>
      </c>
      <c r="J115" s="308"/>
      <c r="K115" s="307">
        <v>45969.41</v>
      </c>
      <c r="L115" s="308"/>
      <c r="M115" s="307">
        <v>35246.53</v>
      </c>
      <c r="N115" s="308"/>
      <c r="O115" s="307">
        <v>24006.959999999999</v>
      </c>
      <c r="P115" s="308"/>
      <c r="Q115" s="307">
        <v>17917.07</v>
      </c>
      <c r="R115" s="308"/>
      <c r="S115" s="307">
        <v>15695.86</v>
      </c>
      <c r="T115" s="308"/>
      <c r="U115" s="307">
        <v>16031.109999999999</v>
      </c>
      <c r="V115" s="308"/>
      <c r="W115" s="316">
        <v>14916.25</v>
      </c>
      <c r="X115" s="317"/>
      <c r="Y115" s="307">
        <v>22245.35</v>
      </c>
      <c r="Z115" s="308"/>
      <c r="AA115" s="307">
        <v>31874.27</v>
      </c>
      <c r="AB115" s="308"/>
      <c r="AC115" s="307">
        <v>44716.34</v>
      </c>
      <c r="AD115" s="68">
        <f t="shared" si="6"/>
        <v>346994.70999999996</v>
      </c>
    </row>
    <row r="116" spans="1:33" x14ac:dyDescent="0.25">
      <c r="A116" s="299">
        <v>112</v>
      </c>
      <c r="B116" s="229" t="s">
        <v>125</v>
      </c>
      <c r="G116" s="315">
        <v>142.76</v>
      </c>
      <c r="H116" s="308"/>
      <c r="I116" s="307">
        <v>66.83</v>
      </c>
      <c r="J116" s="308"/>
      <c r="K116" s="307">
        <v>176.72</v>
      </c>
      <c r="L116" s="308"/>
      <c r="M116" s="307">
        <v>215.7</v>
      </c>
      <c r="N116" s="308"/>
      <c r="O116" s="307">
        <v>70.31</v>
      </c>
      <c r="P116" s="308"/>
      <c r="Q116" s="307">
        <v>77.86</v>
      </c>
      <c r="R116" s="308"/>
      <c r="S116" s="307">
        <v>58.29</v>
      </c>
      <c r="T116" s="308"/>
      <c r="U116" s="307"/>
      <c r="V116" s="308"/>
      <c r="Y116" s="307"/>
      <c r="Z116" s="308"/>
      <c r="AA116" s="307"/>
      <c r="AB116" s="308"/>
      <c r="AC116" s="307"/>
      <c r="AD116" s="68">
        <f t="shared" si="6"/>
        <v>808.46999999999991</v>
      </c>
    </row>
    <row r="117" spans="1:33" x14ac:dyDescent="0.25">
      <c r="A117" s="299">
        <v>113</v>
      </c>
      <c r="B117" s="229" t="s">
        <v>126</v>
      </c>
      <c r="G117" s="315">
        <v>240</v>
      </c>
      <c r="H117" s="308"/>
      <c r="I117" s="307">
        <v>240</v>
      </c>
      <c r="J117" s="308"/>
      <c r="K117" s="307">
        <v>240</v>
      </c>
      <c r="L117" s="308"/>
      <c r="M117" s="307">
        <v>60</v>
      </c>
      <c r="N117" s="308"/>
      <c r="O117" s="299"/>
      <c r="AC117" s="307"/>
      <c r="AD117" s="68">
        <f t="shared" si="6"/>
        <v>780</v>
      </c>
    </row>
    <row r="118" spans="1:33" x14ac:dyDescent="0.25">
      <c r="A118" s="299">
        <v>114</v>
      </c>
      <c r="B118" s="229" t="s">
        <v>122</v>
      </c>
      <c r="C118" s="319"/>
      <c r="D118" s="319"/>
      <c r="E118" s="319"/>
      <c r="G118" s="315">
        <v>173.11</v>
      </c>
      <c r="H118" s="308"/>
      <c r="I118" s="307">
        <v>174.14</v>
      </c>
      <c r="J118" s="308"/>
      <c r="K118" s="307">
        <v>168.07</v>
      </c>
      <c r="L118" s="308"/>
      <c r="M118" s="307">
        <v>167.48</v>
      </c>
      <c r="N118" s="308"/>
      <c r="O118" s="269">
        <v>122.4</v>
      </c>
      <c r="P118" s="308"/>
      <c r="Q118" s="307">
        <v>46.66</v>
      </c>
      <c r="R118" s="308"/>
      <c r="S118" s="307">
        <v>42.11</v>
      </c>
      <c r="T118" s="308"/>
      <c r="U118" s="307"/>
      <c r="V118" s="308"/>
      <c r="Y118" s="307"/>
      <c r="Z118" s="308"/>
      <c r="AA118" s="307"/>
      <c r="AB118" s="308"/>
      <c r="AC118" s="307"/>
      <c r="AD118" s="68">
        <f t="shared" si="6"/>
        <v>893.96999999999991</v>
      </c>
    </row>
    <row r="119" spans="1:33" x14ac:dyDescent="0.25">
      <c r="A119" s="299">
        <v>115</v>
      </c>
      <c r="B119" s="229" t="s">
        <v>121</v>
      </c>
      <c r="G119" s="315">
        <v>165.64</v>
      </c>
      <c r="H119" s="308"/>
      <c r="I119" s="307">
        <v>1.2</v>
      </c>
      <c r="J119" s="308"/>
      <c r="K119" s="307">
        <v>369.29</v>
      </c>
      <c r="L119" s="308"/>
      <c r="M119" s="307">
        <v>831.45</v>
      </c>
      <c r="N119" s="308"/>
      <c r="O119" s="307">
        <v>1.2</v>
      </c>
      <c r="P119" s="308"/>
      <c r="Q119" s="307">
        <v>1.69</v>
      </c>
      <c r="R119" s="308"/>
      <c r="S119" s="307">
        <v>1.2</v>
      </c>
      <c r="T119" s="308"/>
      <c r="U119" s="307"/>
      <c r="V119" s="308"/>
      <c r="Y119" s="307"/>
      <c r="Z119" s="308"/>
      <c r="AA119" s="307"/>
      <c r="AB119" s="308"/>
      <c r="AC119" s="307"/>
      <c r="AD119" s="68">
        <f t="shared" si="6"/>
        <v>1371.67</v>
      </c>
    </row>
    <row r="120" spans="1:33" x14ac:dyDescent="0.25">
      <c r="A120" s="299">
        <v>116</v>
      </c>
      <c r="B120" s="229" t="s">
        <v>124</v>
      </c>
      <c r="C120" s="319"/>
      <c r="D120" s="319"/>
      <c r="E120" s="319"/>
      <c r="G120" s="315">
        <v>1565</v>
      </c>
      <c r="H120" s="308"/>
      <c r="I120" s="307">
        <v>1913.37</v>
      </c>
      <c r="J120" s="308"/>
      <c r="K120" s="307">
        <v>2917.96</v>
      </c>
      <c r="L120" s="308"/>
      <c r="M120" s="307">
        <v>983.91</v>
      </c>
      <c r="N120" s="308"/>
      <c r="O120" s="307">
        <v>665.58</v>
      </c>
      <c r="P120" s="308"/>
      <c r="Q120" s="307">
        <v>324.17</v>
      </c>
      <c r="R120" s="308"/>
      <c r="S120" s="307">
        <v>310.14999999999998</v>
      </c>
      <c r="T120" s="308"/>
      <c r="U120" s="307">
        <v>795.43</v>
      </c>
      <c r="V120" s="308"/>
      <c r="W120" s="269">
        <v>486.85</v>
      </c>
      <c r="Y120" s="307">
        <v>1835.21</v>
      </c>
      <c r="Z120" s="308"/>
      <c r="AA120" s="307">
        <v>1740.86</v>
      </c>
      <c r="AB120" s="308"/>
      <c r="AC120" s="307">
        <v>1987.5500000000002</v>
      </c>
      <c r="AD120" s="68">
        <f t="shared" si="6"/>
        <v>15526.04</v>
      </c>
    </row>
    <row r="121" spans="1:33" x14ac:dyDescent="0.25">
      <c r="A121" s="299">
        <v>117</v>
      </c>
      <c r="B121" s="229" t="s">
        <v>29</v>
      </c>
      <c r="H121" s="308"/>
      <c r="M121" s="299"/>
      <c r="N121" s="308"/>
      <c r="Q121" s="307"/>
      <c r="R121" s="308"/>
      <c r="U121" s="307"/>
      <c r="V121" s="308"/>
      <c r="AC121" s="269">
        <v>-63.6</v>
      </c>
      <c r="AD121" s="68">
        <f t="shared" si="6"/>
        <v>-63.6</v>
      </c>
    </row>
    <row r="122" spans="1:33" x14ac:dyDescent="0.25">
      <c r="A122" s="299">
        <v>118</v>
      </c>
      <c r="B122" s="229" t="s">
        <v>30</v>
      </c>
      <c r="C122" s="301"/>
      <c r="D122" s="301"/>
      <c r="E122" s="301"/>
      <c r="G122" s="315">
        <f>SUM(G101:G121)</f>
        <v>936888.66</v>
      </c>
      <c r="H122" s="315"/>
      <c r="I122" s="315">
        <f>SUM(I101:I121)</f>
        <v>1049392.1400000001</v>
      </c>
      <c r="J122" s="315"/>
      <c r="K122" s="315">
        <f>SUM(K101:K121)</f>
        <v>1164185.9300000004</v>
      </c>
      <c r="L122" s="315"/>
      <c r="M122" s="315">
        <f>SUM(M101:M120)</f>
        <v>896883.67999999993</v>
      </c>
      <c r="N122" s="315"/>
      <c r="O122" s="315">
        <f>SUM(O101:O120)</f>
        <v>591706.77000000014</v>
      </c>
      <c r="P122" s="307"/>
      <c r="Q122" s="307">
        <f>SUM(Q101:Q121)</f>
        <v>443240.55</v>
      </c>
      <c r="R122" s="307"/>
      <c r="S122" s="307">
        <f>SUM(S101:S121)</f>
        <v>411665.08</v>
      </c>
      <c r="T122" s="307"/>
      <c r="U122" s="307">
        <f>SUM(U101:U121)</f>
        <v>431235.45</v>
      </c>
      <c r="V122" s="307"/>
      <c r="W122" s="307">
        <f>SUM(W101:W121)</f>
        <v>488654.76000000013</v>
      </c>
      <c r="X122" s="307"/>
      <c r="Y122" s="307">
        <f>SUM(Y101:Y121)</f>
        <v>918719.51000000024</v>
      </c>
      <c r="Z122" s="307"/>
      <c r="AA122" s="307">
        <f>SUM(AA101:AA121)</f>
        <v>869878.77999999991</v>
      </c>
      <c r="AB122" s="307"/>
      <c r="AC122" s="307">
        <f>SUM(AC101:AC121)</f>
        <v>1111820.5099999998</v>
      </c>
      <c r="AD122" s="68">
        <f t="shared" si="6"/>
        <v>9314271.8200000003</v>
      </c>
    </row>
    <row r="123" spans="1:33" x14ac:dyDescent="0.25">
      <c r="A123" s="299">
        <v>119</v>
      </c>
      <c r="B123" s="229" t="s">
        <v>31</v>
      </c>
      <c r="C123" s="294"/>
      <c r="D123" s="294"/>
      <c r="E123" s="294"/>
      <c r="F123" s="294"/>
      <c r="G123" s="308">
        <v>1433715</v>
      </c>
      <c r="H123" s="308"/>
      <c r="I123" s="298">
        <v>1616149</v>
      </c>
      <c r="J123" s="308"/>
      <c r="K123" s="298">
        <v>1794729</v>
      </c>
      <c r="L123" s="308"/>
      <c r="M123" s="308">
        <v>1331310</v>
      </c>
      <c r="N123" s="308"/>
      <c r="O123" s="308">
        <v>789879</v>
      </c>
      <c r="P123" s="308"/>
      <c r="Q123" s="308">
        <v>579038</v>
      </c>
      <c r="R123" s="308"/>
      <c r="S123" s="308">
        <v>537168</v>
      </c>
      <c r="T123" s="308"/>
      <c r="U123" s="308">
        <v>564404</v>
      </c>
      <c r="V123" s="308"/>
      <c r="W123" s="296">
        <v>651984</v>
      </c>
      <c r="X123" s="296"/>
      <c r="Y123" s="308">
        <v>1274354</v>
      </c>
      <c r="Z123" s="311"/>
      <c r="AA123" s="308">
        <v>1158623</v>
      </c>
      <c r="AB123" s="311"/>
      <c r="AC123" s="308">
        <v>1422636</v>
      </c>
      <c r="AD123" s="47">
        <f t="shared" si="6"/>
        <v>13153989</v>
      </c>
    </row>
    <row r="124" spans="1:33" x14ac:dyDescent="0.25">
      <c r="A124" s="299">
        <v>120</v>
      </c>
      <c r="B124" s="299" t="s">
        <v>32</v>
      </c>
      <c r="C124" s="294"/>
      <c r="D124" s="294"/>
      <c r="E124" s="294"/>
      <c r="F124" s="294"/>
      <c r="G124" s="308"/>
      <c r="H124" s="308"/>
      <c r="I124" s="291"/>
      <c r="K124" s="291"/>
      <c r="M124" s="291"/>
      <c r="O124" s="291"/>
      <c r="Q124" s="291"/>
      <c r="S124" s="291"/>
      <c r="U124" s="291"/>
      <c r="W124" s="291"/>
      <c r="Y124" s="291"/>
      <c r="Z124" s="294"/>
      <c r="AA124" s="291"/>
      <c r="AB124" s="294"/>
      <c r="AC124" s="291"/>
      <c r="AD124" s="47">
        <f t="shared" si="6"/>
        <v>0</v>
      </c>
    </row>
    <row r="125" spans="1:33" x14ac:dyDescent="0.25">
      <c r="A125" s="299">
        <v>121</v>
      </c>
      <c r="B125" s="299" t="s">
        <v>33</v>
      </c>
      <c r="C125" s="294"/>
      <c r="D125" s="294"/>
      <c r="E125" s="294"/>
      <c r="F125" s="294"/>
      <c r="G125" s="308">
        <f>SUM(G123:G124)</f>
        <v>1433715</v>
      </c>
      <c r="H125" s="308">
        <f>SUM(H123:H124)</f>
        <v>0</v>
      </c>
      <c r="I125" s="308">
        <f>SUM(I123:I124)</f>
        <v>1616149</v>
      </c>
      <c r="J125" s="308"/>
      <c r="K125" s="308">
        <f>SUM(K123:K124)</f>
        <v>1794729</v>
      </c>
      <c r="L125" s="308"/>
      <c r="M125" s="308">
        <f>SUM(M123:M124)</f>
        <v>1331310</v>
      </c>
      <c r="N125" s="308"/>
      <c r="O125" s="308">
        <f>SUM(O123:O124)</f>
        <v>789879</v>
      </c>
      <c r="P125" s="308"/>
      <c r="Q125" s="308">
        <f>SUM(Q123:Q124)</f>
        <v>579038</v>
      </c>
      <c r="R125" s="308"/>
      <c r="S125" s="308">
        <f>SUM(S123:S124)</f>
        <v>537168</v>
      </c>
      <c r="T125" s="308"/>
      <c r="U125" s="308">
        <f>SUM(U123:U124)</f>
        <v>564404</v>
      </c>
      <c r="V125" s="308"/>
      <c r="W125" s="308">
        <f>SUM(W123:W124)</f>
        <v>651984</v>
      </c>
      <c r="X125" s="308"/>
      <c r="Y125" s="308">
        <f>SUM(Y123:Y124)</f>
        <v>1274354</v>
      </c>
      <c r="Z125" s="311"/>
      <c r="AA125" s="308">
        <f>SUM(AA123:AA124)</f>
        <v>1158623</v>
      </c>
      <c r="AB125" s="311"/>
      <c r="AC125" s="308">
        <f>SUM(AC123:AC124)</f>
        <v>1422636</v>
      </c>
      <c r="AD125" s="47">
        <f t="shared" si="6"/>
        <v>13153989</v>
      </c>
    </row>
    <row r="126" spans="1:33" ht="14.25" customHeight="1" x14ac:dyDescent="0.25">
      <c r="A126" s="299">
        <v>122</v>
      </c>
      <c r="B126" s="226"/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  <c r="AA126" s="294"/>
      <c r="AB126" s="294"/>
      <c r="AC126" s="294"/>
      <c r="AD126" s="47"/>
    </row>
    <row r="127" spans="1:33" x14ac:dyDescent="0.25">
      <c r="A127" s="299">
        <v>123</v>
      </c>
      <c r="B127" s="314" t="s">
        <v>487</v>
      </c>
    </row>
    <row r="128" spans="1:33" x14ac:dyDescent="0.25">
      <c r="A128" s="299">
        <v>124</v>
      </c>
      <c r="B128" s="229" t="s">
        <v>9</v>
      </c>
      <c r="C128" s="269">
        <v>125</v>
      </c>
      <c r="D128" s="269"/>
      <c r="E128" s="269"/>
      <c r="F128" s="291">
        <f>G128/$C$154</f>
        <v>75</v>
      </c>
      <c r="G128" s="269">
        <v>9375</v>
      </c>
      <c r="H128" s="291">
        <f>I128/$C$154</f>
        <v>75</v>
      </c>
      <c r="I128" s="269">
        <v>9375</v>
      </c>
      <c r="J128" s="291">
        <f>K128/$C$154</f>
        <v>77</v>
      </c>
      <c r="K128" s="315">
        <v>9625</v>
      </c>
      <c r="L128" s="291">
        <f>M128/$C$154</f>
        <v>72</v>
      </c>
      <c r="M128" s="269">
        <v>9000</v>
      </c>
      <c r="N128" s="291">
        <f>O128/$C$154</f>
        <v>73</v>
      </c>
      <c r="O128" s="269">
        <v>9125</v>
      </c>
      <c r="P128" s="291">
        <f>Q128/$C$154</f>
        <v>73</v>
      </c>
      <c r="Q128" s="269">
        <v>9125</v>
      </c>
      <c r="R128" s="291">
        <f>S128/$C$154</f>
        <v>72</v>
      </c>
      <c r="S128" s="269">
        <v>9000</v>
      </c>
      <c r="T128" s="291">
        <f>U128/$C$154</f>
        <v>75</v>
      </c>
      <c r="U128" s="269">
        <v>9375</v>
      </c>
      <c r="V128" s="291">
        <f>W128/$C$154</f>
        <v>75</v>
      </c>
      <c r="W128" s="269">
        <v>9375</v>
      </c>
      <c r="X128" s="291">
        <f>Y128/$C$154</f>
        <v>75</v>
      </c>
      <c r="Y128" s="269">
        <v>9375</v>
      </c>
      <c r="Z128" s="291">
        <f>AA128/$C$154</f>
        <v>76</v>
      </c>
      <c r="AA128" s="269">
        <v>9500</v>
      </c>
      <c r="AB128" s="291">
        <f>AC128/$C$154</f>
        <v>75</v>
      </c>
      <c r="AC128" s="269">
        <v>9375</v>
      </c>
      <c r="AD128" s="68">
        <f>SUM(G128,I128,K128,M128,O128,Q128,S128,U128,W128,Y128,AA128,AC128)</f>
        <v>111625</v>
      </c>
      <c r="AF128" s="679">
        <f>(AB128+Z128+X128+V128+T128+R128+F128+H128+P128+N128+J128+L128)/12</f>
        <v>74.416666666666671</v>
      </c>
      <c r="AG128" s="679">
        <f>AF128+AF154</f>
        <v>87.666666666666671</v>
      </c>
    </row>
    <row r="129" spans="1:33" x14ac:dyDescent="0.25">
      <c r="A129" s="299">
        <v>125</v>
      </c>
      <c r="B129" s="229" t="s">
        <v>163</v>
      </c>
      <c r="C129" s="322">
        <v>0.14330000000000001</v>
      </c>
      <c r="F129" s="291">
        <f>G129/$C$129</f>
        <v>956712.77041172364</v>
      </c>
      <c r="G129" s="269">
        <v>137096.94</v>
      </c>
      <c r="H129" s="291">
        <f>I129/$C$129</f>
        <v>992342.98674110253</v>
      </c>
      <c r="I129" s="269">
        <v>142202.75</v>
      </c>
      <c r="J129" s="291">
        <f>K129/$C$129</f>
        <v>1038441.8702023725</v>
      </c>
      <c r="K129" s="315">
        <v>148808.72</v>
      </c>
      <c r="L129" s="291">
        <f>M129/$C$129</f>
        <v>707224.49406838801</v>
      </c>
      <c r="M129" s="269">
        <v>101345.27</v>
      </c>
      <c r="N129" s="291">
        <f>O129/$C$129</f>
        <v>476949.82554082345</v>
      </c>
      <c r="O129" s="269">
        <v>68346.91</v>
      </c>
      <c r="P129" s="291">
        <f>Q129/$C$129</f>
        <v>342106.21074668528</v>
      </c>
      <c r="Q129" s="269">
        <v>49023.82</v>
      </c>
      <c r="R129" s="291">
        <f>S129/$C$129</f>
        <v>279030.77459874388</v>
      </c>
      <c r="S129" s="269">
        <v>39985.11</v>
      </c>
      <c r="T129" s="291">
        <f>U129/$C$129</f>
        <v>293248.08094905788</v>
      </c>
      <c r="U129" s="269">
        <v>42022.45</v>
      </c>
      <c r="V129" s="291">
        <f>W129/$C$129</f>
        <v>252242.14933705513</v>
      </c>
      <c r="W129" s="269">
        <v>36146.300000000003</v>
      </c>
      <c r="X129" s="291">
        <f>Y129/$C$129</f>
        <v>438816.88764829026</v>
      </c>
      <c r="Y129" s="269">
        <v>62882.46</v>
      </c>
      <c r="Z129" s="291">
        <f>AA129/$C$129</f>
        <v>678678.15771109553</v>
      </c>
      <c r="AA129" s="269">
        <v>97254.58</v>
      </c>
      <c r="AB129" s="291">
        <f>AC129/$C$129</f>
        <v>887875.15701325878</v>
      </c>
      <c r="AC129" s="269">
        <v>127232.51</v>
      </c>
      <c r="AD129" s="68">
        <f>SUM(G129,I129,K129,M129,O129,Q129,S129,U129,W129,Y129,AA129,AC129)</f>
        <v>1052347.8199999998</v>
      </c>
      <c r="AF129" s="132"/>
      <c r="AG129" s="132"/>
    </row>
    <row r="130" spans="1:33" x14ac:dyDescent="0.25">
      <c r="A130" s="299">
        <v>126</v>
      </c>
      <c r="B130" s="299" t="s">
        <v>164</v>
      </c>
      <c r="C130" s="322">
        <v>0.10983999999999999</v>
      </c>
      <c r="F130" s="291">
        <f>G130/$C$130</f>
        <v>366371.99563000735</v>
      </c>
      <c r="G130" s="269">
        <v>40242.300000000003</v>
      </c>
      <c r="H130" s="291">
        <f>I130/$C$130</f>
        <v>366846.04879825207</v>
      </c>
      <c r="I130" s="269">
        <v>40294.370000000003</v>
      </c>
      <c r="J130" s="291">
        <f>K130/$C$130</f>
        <v>408688.18281136197</v>
      </c>
      <c r="K130" s="315">
        <v>44890.31</v>
      </c>
      <c r="L130" s="291">
        <f>M130/$C$130</f>
        <v>259621.9956300073</v>
      </c>
      <c r="M130" s="269">
        <v>28516.880000000001</v>
      </c>
      <c r="N130" s="291">
        <f>O130/$C$130</f>
        <v>201408.86744355428</v>
      </c>
      <c r="O130" s="269">
        <v>22122.75</v>
      </c>
      <c r="P130" s="291">
        <f>Q130/$C$130</f>
        <v>137839.85797523672</v>
      </c>
      <c r="Q130" s="269">
        <v>15140.33</v>
      </c>
      <c r="R130" s="291">
        <f>S130/$C$130</f>
        <v>127062.09031318282</v>
      </c>
      <c r="S130" s="269">
        <v>13956.5</v>
      </c>
      <c r="T130" s="291">
        <f>U130/$C$130</f>
        <v>107677.98616168974</v>
      </c>
      <c r="U130" s="269">
        <v>11827.35</v>
      </c>
      <c r="V130" s="291">
        <f>W130/$C$130</f>
        <v>94595.957756737072</v>
      </c>
      <c r="W130" s="269">
        <v>10390.42</v>
      </c>
      <c r="X130" s="291">
        <f>Y130/$C$130</f>
        <v>212228.96941005098</v>
      </c>
      <c r="Y130" s="269">
        <v>23311.23</v>
      </c>
      <c r="Z130" s="291">
        <f>AA130/$C$130</f>
        <v>277395.02913328481</v>
      </c>
      <c r="AA130" s="269">
        <v>30469.07</v>
      </c>
      <c r="AB130" s="291">
        <f>AC130/$C$130</f>
        <v>275531.13619810634</v>
      </c>
      <c r="AC130" s="269">
        <v>30264.34</v>
      </c>
      <c r="AD130" s="68">
        <f>SUM(G130,I130,K130,M130,O130,Q130,S130,U130,W130,Y130,AA130,AC130)</f>
        <v>311425.85000000003</v>
      </c>
      <c r="AF130" s="132"/>
      <c r="AG130" s="132"/>
    </row>
    <row r="131" spans="1:33" x14ac:dyDescent="0.25">
      <c r="A131" s="299">
        <v>127</v>
      </c>
      <c r="B131" s="229" t="s">
        <v>165</v>
      </c>
      <c r="C131" s="322">
        <v>2.7089999999999999E-2</v>
      </c>
      <c r="F131" s="291">
        <f>G131/$C$131</f>
        <v>154555.92469545957</v>
      </c>
      <c r="G131" s="269">
        <v>4186.92</v>
      </c>
      <c r="H131" s="291">
        <f>I131/$C$131</f>
        <v>168306.01698043558</v>
      </c>
      <c r="I131" s="269">
        <v>4559.41</v>
      </c>
      <c r="J131" s="291">
        <f>K131/$C$131</f>
        <v>202976.74418604653</v>
      </c>
      <c r="K131" s="315">
        <v>5498.64</v>
      </c>
      <c r="L131" s="291">
        <f>M131/$C$131</f>
        <v>61993.35548172758</v>
      </c>
      <c r="M131" s="269">
        <v>1679.4</v>
      </c>
      <c r="N131" s="291">
        <f>O131/$C$131</f>
        <v>13846.068660022147</v>
      </c>
      <c r="O131" s="269">
        <v>375.09</v>
      </c>
      <c r="P131" s="291">
        <f>Q131/$C$131</f>
        <v>0</v>
      </c>
      <c r="R131" s="291">
        <f>S131/$C$131</f>
        <v>0</v>
      </c>
      <c r="S131" s="269">
        <v>0</v>
      </c>
      <c r="T131" s="291">
        <f>U131/$C$131</f>
        <v>0</v>
      </c>
      <c r="V131" s="291">
        <f>W131/$C$131</f>
        <v>0</v>
      </c>
      <c r="X131" s="291">
        <f>Y131/$C$131</f>
        <v>29311.923218899963</v>
      </c>
      <c r="Y131" s="269">
        <v>794.06</v>
      </c>
      <c r="Z131" s="291">
        <f>AA131/$C$131</f>
        <v>80954.964931709124</v>
      </c>
      <c r="AA131" s="307">
        <v>2193.0700000000002</v>
      </c>
      <c r="AB131" s="291">
        <f>AC131/$C$131</f>
        <v>106750.09228497601</v>
      </c>
      <c r="AC131" s="269">
        <v>2891.86</v>
      </c>
      <c r="AD131" s="68">
        <f>SUM(G131,I131,K131,M131,O131,Q131,S131,U131,W131,Y131,AA131,AC131)</f>
        <v>22178.45</v>
      </c>
    </row>
    <row r="132" spans="1:33" x14ac:dyDescent="0.25">
      <c r="A132" s="299">
        <v>128</v>
      </c>
      <c r="B132" s="229" t="s">
        <v>11</v>
      </c>
      <c r="C132" s="319"/>
      <c r="D132" s="319"/>
      <c r="E132" s="319"/>
      <c r="G132" s="269">
        <v>619870.4</v>
      </c>
      <c r="I132" s="269">
        <v>640784.16</v>
      </c>
      <c r="K132" s="315">
        <v>692219.9</v>
      </c>
      <c r="M132" s="269">
        <v>431598.05</v>
      </c>
      <c r="O132" s="269">
        <v>290380.03000000003</v>
      </c>
      <c r="Q132" s="269">
        <v>201337.37</v>
      </c>
      <c r="S132" s="269">
        <v>170356.00999999998</v>
      </c>
      <c r="U132" s="269">
        <v>168188.47999999998</v>
      </c>
      <c r="W132" s="269">
        <v>145498.57</v>
      </c>
      <c r="Y132" s="269">
        <v>285410.21000000002</v>
      </c>
      <c r="AA132" s="269">
        <v>435939.99</v>
      </c>
      <c r="AC132" s="269">
        <v>535932.37</v>
      </c>
      <c r="AD132" s="68">
        <f t="shared" ref="AD132:AD151" si="7">SUM(G132:AC132)</f>
        <v>4617515.54</v>
      </c>
      <c r="AF132" s="132"/>
      <c r="AG132" s="132"/>
    </row>
    <row r="133" spans="1:33" x14ac:dyDescent="0.25">
      <c r="A133" s="299">
        <v>129</v>
      </c>
      <c r="B133" s="299" t="s">
        <v>484</v>
      </c>
      <c r="C133" s="319"/>
      <c r="D133" s="319"/>
      <c r="E133" s="319"/>
      <c r="M133" s="269">
        <v>22218.38</v>
      </c>
      <c r="O133" s="269">
        <v>51613.84</v>
      </c>
      <c r="Q133" s="269">
        <v>36547.89</v>
      </c>
      <c r="S133" s="269">
        <v>30923.97</v>
      </c>
      <c r="U133" s="269">
        <v>27414.289999999997</v>
      </c>
      <c r="W133" s="269">
        <v>26411.720000000005</v>
      </c>
      <c r="Y133" s="269">
        <v>51809.279999999999</v>
      </c>
      <c r="AA133" s="269">
        <v>100682.39</v>
      </c>
      <c r="AC133" s="269">
        <v>171006.35</v>
      </c>
      <c r="AD133" s="68">
        <f t="shared" si="7"/>
        <v>518628.11</v>
      </c>
      <c r="AF133" s="132"/>
      <c r="AG133" s="132"/>
    </row>
    <row r="134" spans="1:33" x14ac:dyDescent="0.25">
      <c r="A134" s="299">
        <v>130</v>
      </c>
      <c r="B134" s="229" t="s">
        <v>115</v>
      </c>
      <c r="G134" s="269">
        <v>2121.63</v>
      </c>
      <c r="I134" s="269">
        <v>2199.6</v>
      </c>
      <c r="K134" s="315">
        <v>2376.16</v>
      </c>
      <c r="M134" s="269">
        <v>1481.53</v>
      </c>
      <c r="O134" s="269">
        <v>996.77</v>
      </c>
      <c r="Q134" s="269">
        <v>691.14</v>
      </c>
      <c r="S134" s="269">
        <v>584.76</v>
      </c>
      <c r="U134" s="269">
        <v>577.19000000000005</v>
      </c>
      <c r="W134" s="269">
        <v>499.44</v>
      </c>
      <c r="Y134" s="269">
        <v>979.74000000000012</v>
      </c>
      <c r="AA134" s="269">
        <v>1482.27</v>
      </c>
      <c r="AC134" s="269">
        <v>1791.35</v>
      </c>
      <c r="AD134" s="68">
        <f t="shared" si="7"/>
        <v>15781.58</v>
      </c>
      <c r="AF134" s="132"/>
      <c r="AG134" s="132"/>
    </row>
    <row r="135" spans="1:33" x14ac:dyDescent="0.25">
      <c r="A135" s="299">
        <v>131</v>
      </c>
      <c r="B135" s="229" t="s">
        <v>116</v>
      </c>
      <c r="G135" s="269">
        <v>6989.3</v>
      </c>
      <c r="I135" s="269">
        <v>7225.03</v>
      </c>
      <c r="K135" s="315">
        <v>7805.04</v>
      </c>
      <c r="M135" s="269">
        <v>4866.4000000000005</v>
      </c>
      <c r="O135" s="269">
        <v>3274.13</v>
      </c>
      <c r="Q135" s="269">
        <v>2270.14</v>
      </c>
      <c r="S135" s="269">
        <v>1920.81</v>
      </c>
      <c r="U135" s="269">
        <v>1896.4</v>
      </c>
      <c r="W135" s="269">
        <v>1640.55</v>
      </c>
      <c r="Y135" s="269">
        <v>3218.0899999999997</v>
      </c>
      <c r="AA135" s="269">
        <v>5253.9</v>
      </c>
      <c r="AC135" s="269">
        <v>7200.9</v>
      </c>
      <c r="AD135" s="68">
        <f t="shared" si="7"/>
        <v>53560.69</v>
      </c>
      <c r="AF135" s="132"/>
      <c r="AG135" s="132"/>
    </row>
    <row r="136" spans="1:33" x14ac:dyDescent="0.25">
      <c r="A136" s="299">
        <v>132</v>
      </c>
      <c r="B136" s="229" t="s">
        <v>117</v>
      </c>
      <c r="G136" s="269">
        <v>-74886.84</v>
      </c>
      <c r="I136" s="269">
        <v>-77413.400000000009</v>
      </c>
      <c r="K136" s="315">
        <v>-83627.39</v>
      </c>
      <c r="M136" s="269">
        <v>-52141.57</v>
      </c>
      <c r="O136" s="269">
        <v>-35080.950000000004</v>
      </c>
      <c r="Q136" s="269">
        <v>-24323.67</v>
      </c>
      <c r="S136" s="269">
        <v>-20580.789999999997</v>
      </c>
      <c r="U136" s="269">
        <v>-20318.920000000002</v>
      </c>
      <c r="W136" s="269">
        <v>-17577.73</v>
      </c>
      <c r="Y136" s="269">
        <v>-34480.579999999987</v>
      </c>
      <c r="AA136" s="269">
        <v>-41125.78</v>
      </c>
      <c r="AC136" s="269">
        <v>-25264.1</v>
      </c>
      <c r="AD136" s="68">
        <f t="shared" si="7"/>
        <v>-506821.72</v>
      </c>
      <c r="AF136" s="132"/>
      <c r="AG136" s="132"/>
    </row>
    <row r="137" spans="1:33" x14ac:dyDescent="0.25">
      <c r="A137" s="299">
        <v>133</v>
      </c>
      <c r="B137" s="229" t="s">
        <v>118</v>
      </c>
      <c r="G137" s="269">
        <v>11436.95</v>
      </c>
      <c r="I137" s="269">
        <v>11822.82</v>
      </c>
      <c r="K137" s="315">
        <v>12771.75</v>
      </c>
      <c r="M137" s="269">
        <v>7963.2</v>
      </c>
      <c r="O137" s="269">
        <v>5357.68</v>
      </c>
      <c r="Q137" s="269">
        <v>3714.79</v>
      </c>
      <c r="S137" s="269">
        <v>3143.18</v>
      </c>
      <c r="U137" s="269">
        <v>3103.1400000000003</v>
      </c>
      <c r="W137" s="269">
        <v>2684.5299999999997</v>
      </c>
      <c r="Y137" s="269">
        <v>5265.99</v>
      </c>
      <c r="AA137" s="269">
        <v>5185.420000000001</v>
      </c>
      <c r="AC137" s="269">
        <v>110.68</v>
      </c>
      <c r="AD137" s="68">
        <f t="shared" si="7"/>
        <v>72560.12999999999</v>
      </c>
      <c r="AF137" s="132"/>
      <c r="AG137" s="132"/>
    </row>
    <row r="138" spans="1:33" x14ac:dyDescent="0.25">
      <c r="A138" s="299">
        <v>134</v>
      </c>
      <c r="B138" s="229" t="s">
        <v>119</v>
      </c>
      <c r="G138" s="269">
        <v>40694.230000000003</v>
      </c>
      <c r="I138" s="269">
        <v>42067.199999999997</v>
      </c>
      <c r="K138" s="315">
        <v>45443.97</v>
      </c>
      <c r="M138" s="269">
        <v>28334.25</v>
      </c>
      <c r="O138" s="269">
        <v>19063.32</v>
      </c>
      <c r="Q138" s="269">
        <v>13217.7</v>
      </c>
      <c r="S138" s="269">
        <v>11183.75</v>
      </c>
      <c r="U138" s="269">
        <v>11041.529999999999</v>
      </c>
      <c r="W138" s="269">
        <v>9551.93</v>
      </c>
      <c r="Y138" s="269">
        <v>18737.030000000002</v>
      </c>
      <c r="AA138" s="269">
        <v>28104.620000000003</v>
      </c>
      <c r="AC138" s="269">
        <v>33422.800000000003</v>
      </c>
      <c r="AD138" s="68">
        <f t="shared" si="7"/>
        <v>300862.33</v>
      </c>
      <c r="AF138" s="132"/>
      <c r="AG138" s="132"/>
    </row>
    <row r="139" spans="1:33" x14ac:dyDescent="0.25">
      <c r="A139" s="299">
        <v>135</v>
      </c>
      <c r="B139" s="318" t="s">
        <v>181</v>
      </c>
      <c r="G139" s="269">
        <v>-4226</v>
      </c>
      <c r="I139" s="269">
        <v>-4368.6400000000003</v>
      </c>
      <c r="K139" s="315">
        <v>-4719.28</v>
      </c>
      <c r="M139" s="269">
        <v>-2942.52</v>
      </c>
      <c r="O139" s="269">
        <v>-1979.68</v>
      </c>
      <c r="Q139" s="269">
        <v>-1372.67</v>
      </c>
      <c r="S139" s="269">
        <v>-1161.4299999999998</v>
      </c>
      <c r="U139" s="269">
        <v>-1146.6600000000001</v>
      </c>
      <c r="W139" s="269">
        <v>-991.93999999999994</v>
      </c>
      <c r="Y139" s="269">
        <v>-1945.8400000000001</v>
      </c>
      <c r="AA139" s="269">
        <v>-3094.3799999999997</v>
      </c>
      <c r="AC139" s="269">
        <v>-4072.21</v>
      </c>
      <c r="AD139" s="68">
        <f t="shared" si="7"/>
        <v>-32021.25</v>
      </c>
      <c r="AF139" s="132"/>
      <c r="AG139" s="132"/>
    </row>
    <row r="140" spans="1:33" x14ac:dyDescent="0.25">
      <c r="A140" s="299">
        <v>136</v>
      </c>
      <c r="B140" s="318" t="s">
        <v>182</v>
      </c>
      <c r="G140" s="269">
        <v>-1965.29</v>
      </c>
      <c r="I140" s="269">
        <v>-2031.59</v>
      </c>
      <c r="K140" s="315">
        <v>-2194.63</v>
      </c>
      <c r="M140" s="269">
        <v>-1368.4</v>
      </c>
      <c r="O140" s="269">
        <v>-920.66</v>
      </c>
      <c r="Q140" s="269">
        <v>-638.35</v>
      </c>
      <c r="S140" s="269">
        <v>-540.12</v>
      </c>
      <c r="U140" s="269">
        <v>-533.22</v>
      </c>
      <c r="W140" s="269">
        <v>-461.28</v>
      </c>
      <c r="Y140" s="269">
        <v>-904.8599999999999</v>
      </c>
      <c r="AA140" s="269">
        <v>-1330.47</v>
      </c>
      <c r="AC140" s="269">
        <v>-1522.31</v>
      </c>
      <c r="AD140" s="68">
        <f t="shared" si="7"/>
        <v>-14411.18</v>
      </c>
      <c r="AF140" s="132"/>
      <c r="AG140" s="132"/>
    </row>
    <row r="141" spans="1:33" x14ac:dyDescent="0.25">
      <c r="A141" s="299">
        <v>137</v>
      </c>
      <c r="B141" s="318" t="s">
        <v>183</v>
      </c>
      <c r="G141" s="269">
        <v>-3590.67</v>
      </c>
      <c r="I141" s="269">
        <v>-3711.81</v>
      </c>
      <c r="K141" s="315">
        <v>-4009.76</v>
      </c>
      <c r="M141" s="269">
        <v>-2500.04</v>
      </c>
      <c r="O141" s="269">
        <v>-1682.09</v>
      </c>
      <c r="Q141" s="269">
        <v>-1166.27</v>
      </c>
      <c r="S141" s="269">
        <v>-986.81</v>
      </c>
      <c r="U141" s="269">
        <v>-974.28000000000009</v>
      </c>
      <c r="W141" s="269">
        <v>-842.8</v>
      </c>
      <c r="Y141" s="269">
        <v>-1653.2800000000002</v>
      </c>
      <c r="AA141" s="269">
        <v>-1627.94</v>
      </c>
      <c r="AC141" s="269">
        <v>-34.739999999999995</v>
      </c>
      <c r="AD141" s="68">
        <f t="shared" si="7"/>
        <v>-22780.489999999998</v>
      </c>
      <c r="AF141" s="132"/>
      <c r="AG141" s="132"/>
    </row>
    <row r="142" spans="1:33" x14ac:dyDescent="0.25">
      <c r="A142" s="299">
        <v>138</v>
      </c>
      <c r="B142" s="229" t="s">
        <v>120</v>
      </c>
      <c r="G142" s="269">
        <v>33758.379999999997</v>
      </c>
      <c r="I142" s="269">
        <v>35631.51</v>
      </c>
      <c r="K142" s="315">
        <v>37454.75</v>
      </c>
      <c r="M142" s="269">
        <v>24677.83</v>
      </c>
      <c r="O142" s="269">
        <v>17383.510000000002</v>
      </c>
      <c r="Q142" s="269">
        <v>11771.28</v>
      </c>
      <c r="S142" s="269">
        <v>10264.120000000001</v>
      </c>
      <c r="U142" s="269">
        <v>10971.869999999999</v>
      </c>
      <c r="W142" s="269">
        <v>9078.9699999999993</v>
      </c>
      <c r="Y142" s="269">
        <v>17131.87</v>
      </c>
      <c r="AA142" s="269">
        <v>29018.02</v>
      </c>
      <c r="AC142" s="269">
        <v>42970.76</v>
      </c>
      <c r="AD142" s="68">
        <f t="shared" si="7"/>
        <v>280112.87</v>
      </c>
      <c r="AF142" s="132"/>
      <c r="AG142" s="132"/>
    </row>
    <row r="143" spans="1:33" x14ac:dyDescent="0.25">
      <c r="A143" s="299">
        <v>139</v>
      </c>
      <c r="B143" s="229" t="s">
        <v>125</v>
      </c>
      <c r="G143" s="269">
        <v>790.77</v>
      </c>
      <c r="I143" s="269">
        <v>643.72</v>
      </c>
      <c r="K143" s="315">
        <v>1170.42</v>
      </c>
      <c r="M143" s="299">
        <v>422.61</v>
      </c>
      <c r="O143" s="269">
        <v>303.99</v>
      </c>
      <c r="Q143" s="269">
        <v>112.84</v>
      </c>
      <c r="S143" s="269">
        <v>0</v>
      </c>
      <c r="AD143" s="68">
        <f t="shared" si="7"/>
        <v>3444.3500000000004</v>
      </c>
    </row>
    <row r="144" spans="1:33" x14ac:dyDescent="0.25">
      <c r="A144" s="299">
        <v>140</v>
      </c>
      <c r="B144" s="229" t="s">
        <v>124</v>
      </c>
      <c r="O144" s="299"/>
      <c r="S144" s="269">
        <v>0</v>
      </c>
      <c r="AD144" s="68">
        <f t="shared" si="7"/>
        <v>0</v>
      </c>
      <c r="AF144" s="132"/>
    </row>
    <row r="145" spans="1:33" x14ac:dyDescent="0.25">
      <c r="A145" s="299">
        <v>141</v>
      </c>
      <c r="B145" s="229" t="s">
        <v>29</v>
      </c>
      <c r="C145" s="319"/>
      <c r="D145" s="319"/>
      <c r="E145" s="319"/>
      <c r="O145" s="299"/>
      <c r="S145" s="269">
        <v>0</v>
      </c>
      <c r="U145" s="269">
        <v>0</v>
      </c>
      <c r="AD145" s="68">
        <f t="shared" si="7"/>
        <v>0</v>
      </c>
    </row>
    <row r="146" spans="1:33" x14ac:dyDescent="0.25">
      <c r="A146" s="299">
        <v>142</v>
      </c>
      <c r="B146" s="229" t="s">
        <v>122</v>
      </c>
      <c r="C146" s="319"/>
      <c r="D146" s="319"/>
      <c r="E146" s="319"/>
      <c r="G146" s="269">
        <v>1432.77</v>
      </c>
      <c r="I146" s="269">
        <v>1515.09</v>
      </c>
      <c r="K146" s="315">
        <v>1842.35</v>
      </c>
      <c r="M146" s="269">
        <v>1362.26</v>
      </c>
      <c r="O146" s="269">
        <v>884.02</v>
      </c>
      <c r="Q146" s="269">
        <v>587.6</v>
      </c>
      <c r="S146" s="269">
        <v>490.62</v>
      </c>
      <c r="AD146" s="68">
        <f t="shared" si="7"/>
        <v>8114.71</v>
      </c>
      <c r="AG146" s="132"/>
    </row>
    <row r="147" spans="1:33" x14ac:dyDescent="0.25">
      <c r="A147" s="299">
        <v>143</v>
      </c>
      <c r="B147" s="229" t="s">
        <v>123</v>
      </c>
      <c r="C147" s="319"/>
      <c r="D147" s="319"/>
      <c r="E147" s="319"/>
      <c r="G147" s="269">
        <v>-1123.75</v>
      </c>
      <c r="I147" s="269">
        <v>-1194.5899999999999</v>
      </c>
      <c r="K147" s="315">
        <v>-906.2</v>
      </c>
      <c r="M147" s="299">
        <v>-1070.07</v>
      </c>
      <c r="O147" s="269">
        <v>-1151.4100000000001</v>
      </c>
      <c r="Q147" s="269">
        <v>-1082.42</v>
      </c>
      <c r="S147" s="269">
        <v>-980.79000000000008</v>
      </c>
      <c r="U147" s="269">
        <v>-1201.77</v>
      </c>
      <c r="W147" s="269">
        <v>-1015.94</v>
      </c>
      <c r="Y147" s="269">
        <v>-1326.39</v>
      </c>
      <c r="AA147" s="269">
        <v>-2310.94</v>
      </c>
      <c r="AC147" s="269">
        <v>-1722.35</v>
      </c>
      <c r="AD147" s="68">
        <f t="shared" si="7"/>
        <v>-15086.62</v>
      </c>
      <c r="AG147" s="132"/>
    </row>
    <row r="148" spans="1:33" x14ac:dyDescent="0.25">
      <c r="A148" s="299">
        <v>144</v>
      </c>
      <c r="B148" s="229" t="s">
        <v>30</v>
      </c>
      <c r="C148" s="319"/>
      <c r="D148" s="319"/>
      <c r="E148" s="319"/>
      <c r="G148" s="269">
        <f>SUM(G128:G147)</f>
        <v>822203.04</v>
      </c>
      <c r="H148" s="269"/>
      <c r="I148" s="269">
        <f>SUM(I128:I147)</f>
        <v>849600.62999999989</v>
      </c>
      <c r="J148" s="269"/>
      <c r="K148" s="269">
        <f>SUM(K128:K147)</f>
        <v>914449.75000000012</v>
      </c>
      <c r="L148" s="269"/>
      <c r="M148" s="269">
        <f>SUM(M128:M147)</f>
        <v>603443.46</v>
      </c>
      <c r="N148" s="269"/>
      <c r="O148" s="269">
        <f>SUM(O128:O147)</f>
        <v>448412.25000000006</v>
      </c>
      <c r="P148" s="269"/>
      <c r="Q148" s="269">
        <f>SUM(Q128:Q147)</f>
        <v>314956.52000000014</v>
      </c>
      <c r="R148" s="269"/>
      <c r="S148" s="269">
        <f>SUM(S128:S147)</f>
        <v>267558.89</v>
      </c>
      <c r="T148" s="269"/>
      <c r="U148" s="269">
        <f>SUM(U128:U147)</f>
        <v>262242.84999999998</v>
      </c>
      <c r="V148" s="269"/>
      <c r="W148" s="269">
        <f>SUM(W128:W147)</f>
        <v>230387.74</v>
      </c>
      <c r="X148" s="269"/>
      <c r="Y148" s="269">
        <f>SUM(Y128:Y147)</f>
        <v>438604.00999999995</v>
      </c>
      <c r="Z148" s="269"/>
      <c r="AA148" s="269">
        <f>SUM(AA128:AA147)</f>
        <v>695593.82000000018</v>
      </c>
      <c r="AB148" s="269"/>
      <c r="AC148" s="269">
        <f>SUM(AC128:AC147)</f>
        <v>929583.21000000008</v>
      </c>
      <c r="AD148" s="68">
        <f t="shared" si="7"/>
        <v>6777036.1699999999</v>
      </c>
    </row>
    <row r="149" spans="1:33" x14ac:dyDescent="0.25">
      <c r="A149" s="299">
        <v>145</v>
      </c>
      <c r="B149" s="229" t="s">
        <v>31</v>
      </c>
      <c r="C149" s="294">
        <f>G151/F128</f>
        <v>19701.88</v>
      </c>
      <c r="D149" s="294"/>
      <c r="E149" s="294"/>
      <c r="F149" s="294"/>
      <c r="G149" s="323">
        <v>1477641</v>
      </c>
      <c r="H149" s="311"/>
      <c r="I149" s="308">
        <v>1527495</v>
      </c>
      <c r="J149" s="311"/>
      <c r="K149" s="291">
        <v>1650107</v>
      </c>
      <c r="L149" s="294"/>
      <c r="M149" s="308">
        <v>1028839</v>
      </c>
      <c r="N149" s="311"/>
      <c r="O149" s="308">
        <v>692205</v>
      </c>
      <c r="P149" s="311"/>
      <c r="Q149" s="308">
        <v>479946</v>
      </c>
      <c r="R149" s="308"/>
      <c r="S149" s="308">
        <v>406093</v>
      </c>
      <c r="T149" s="308"/>
      <c r="U149" s="308">
        <v>400926</v>
      </c>
      <c r="V149" s="311"/>
      <c r="W149" s="291">
        <v>346838</v>
      </c>
      <c r="X149" s="294"/>
      <c r="Y149" s="308">
        <v>680358</v>
      </c>
      <c r="Z149" s="311"/>
      <c r="AA149" s="308">
        <v>1037028</v>
      </c>
      <c r="AB149" s="311"/>
      <c r="AC149" s="308">
        <v>1270156</v>
      </c>
      <c r="AD149" s="68">
        <f t="shared" si="7"/>
        <v>10997632</v>
      </c>
      <c r="AF149" s="133"/>
    </row>
    <row r="150" spans="1:33" x14ac:dyDescent="0.25">
      <c r="A150" s="299">
        <v>146</v>
      </c>
      <c r="B150" s="299" t="s">
        <v>32</v>
      </c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1"/>
      <c r="S150" s="291"/>
      <c r="U150" s="291"/>
      <c r="V150" s="294"/>
      <c r="W150" s="291"/>
      <c r="X150" s="294"/>
      <c r="Y150" s="291"/>
      <c r="Z150" s="294"/>
      <c r="AA150" s="291"/>
      <c r="AB150" s="294"/>
      <c r="AC150" s="291"/>
      <c r="AD150" s="47">
        <f t="shared" si="7"/>
        <v>0</v>
      </c>
    </row>
    <row r="151" spans="1:33" x14ac:dyDescent="0.25">
      <c r="A151" s="299">
        <v>147</v>
      </c>
      <c r="B151" s="299" t="s">
        <v>33</v>
      </c>
      <c r="C151" s="294"/>
      <c r="D151" s="294"/>
      <c r="E151" s="294"/>
      <c r="F151" s="294"/>
      <c r="G151" s="308">
        <f>SUM(G149:G150)</f>
        <v>1477641</v>
      </c>
      <c r="H151" s="311">
        <f>SUM(H149:H150)</f>
        <v>0</v>
      </c>
      <c r="I151" s="308">
        <f>SUM(I149:I150)</f>
        <v>1527495</v>
      </c>
      <c r="J151" s="311"/>
      <c r="K151" s="308">
        <f>SUM(K149:K150)</f>
        <v>1650107</v>
      </c>
      <c r="L151" s="311"/>
      <c r="M151" s="308">
        <f>SUM(M149:M150)</f>
        <v>1028839</v>
      </c>
      <c r="N151" s="311"/>
      <c r="O151" s="308">
        <f>SUM(O149:O150)</f>
        <v>692205</v>
      </c>
      <c r="P151" s="311"/>
      <c r="Q151" s="308">
        <f>SUM(Q149:Q150)</f>
        <v>479946</v>
      </c>
      <c r="R151" s="308"/>
      <c r="S151" s="308">
        <f>SUM(S149:S150)</f>
        <v>406093</v>
      </c>
      <c r="T151" s="308"/>
      <c r="U151" s="308">
        <f>SUM(U149:U150)</f>
        <v>400926</v>
      </c>
      <c r="V151" s="311"/>
      <c r="W151" s="308">
        <f>SUM(W149:W150)</f>
        <v>346838</v>
      </c>
      <c r="X151" s="311"/>
      <c r="Y151" s="308">
        <f>SUM(Y149:Y150)</f>
        <v>680358</v>
      </c>
      <c r="Z151" s="311"/>
      <c r="AA151" s="308">
        <f>SUM(AA149:AA150)</f>
        <v>1037028</v>
      </c>
      <c r="AB151" s="311"/>
      <c r="AC151" s="308">
        <f>SUM(AC149:AC150)</f>
        <v>1270156</v>
      </c>
      <c r="AD151" s="47">
        <f t="shared" si="7"/>
        <v>10997632</v>
      </c>
      <c r="AF151" s="133"/>
    </row>
    <row r="152" spans="1:33" x14ac:dyDescent="0.25">
      <c r="A152" s="299">
        <v>148</v>
      </c>
      <c r="B152" s="229"/>
    </row>
    <row r="153" spans="1:33" x14ac:dyDescent="0.25">
      <c r="A153" s="299">
        <v>149</v>
      </c>
      <c r="B153" s="314" t="s">
        <v>486</v>
      </c>
    </row>
    <row r="154" spans="1:33" x14ac:dyDescent="0.25">
      <c r="A154" s="299">
        <v>150</v>
      </c>
      <c r="B154" s="229" t="s">
        <v>9</v>
      </c>
      <c r="C154" s="269">
        <v>125</v>
      </c>
      <c r="D154" s="269"/>
      <c r="E154" s="269"/>
      <c r="F154" s="291">
        <f>G154/$C$154</f>
        <v>13</v>
      </c>
      <c r="G154" s="269">
        <v>1625</v>
      </c>
      <c r="H154" s="291">
        <f>I154/$C$154</f>
        <v>13</v>
      </c>
      <c r="I154" s="269">
        <v>1625</v>
      </c>
      <c r="J154" s="291">
        <f>K154/$C$154</f>
        <v>13</v>
      </c>
      <c r="K154" s="315">
        <v>1625</v>
      </c>
      <c r="L154" s="291">
        <f>M154/$C$154</f>
        <v>13</v>
      </c>
      <c r="M154" s="269">
        <v>1625</v>
      </c>
      <c r="N154" s="291">
        <f>O154/$C$154</f>
        <v>11</v>
      </c>
      <c r="O154" s="269">
        <v>1375</v>
      </c>
      <c r="P154" s="291">
        <f>Q154/$C$154</f>
        <v>11</v>
      </c>
      <c r="Q154" s="269">
        <v>1375</v>
      </c>
      <c r="R154" s="291">
        <f>S154/$C$154</f>
        <v>13</v>
      </c>
      <c r="S154" s="269">
        <v>1625</v>
      </c>
      <c r="T154" s="291">
        <f>U154/$C$154</f>
        <v>14</v>
      </c>
      <c r="U154" s="269">
        <v>1750</v>
      </c>
      <c r="V154" s="291">
        <f>W154/$C$154</f>
        <v>14</v>
      </c>
      <c r="W154" s="269">
        <v>1750</v>
      </c>
      <c r="X154" s="291">
        <f>Y154/$C$154</f>
        <v>14</v>
      </c>
      <c r="Y154" s="269">
        <v>1750</v>
      </c>
      <c r="Z154" s="291">
        <f>AA154/$C$154</f>
        <v>15</v>
      </c>
      <c r="AA154" s="269">
        <v>1875</v>
      </c>
      <c r="AB154" s="291">
        <f>AC154/$C$154</f>
        <v>15</v>
      </c>
      <c r="AC154" s="269">
        <v>1875</v>
      </c>
      <c r="AD154" s="68">
        <f>SUM(G154,I154,K154,M154,O154,Q154,S154,U154,W154,Y154,AA154,AC154)</f>
        <v>19875</v>
      </c>
      <c r="AF154" s="679">
        <f>(AB154+Z154+X154+V154+T154+R154+F154+H154+P154+N154+J154+L154)/12</f>
        <v>13.25</v>
      </c>
      <c r="AG154" s="132"/>
    </row>
    <row r="155" spans="1:33" x14ac:dyDescent="0.25">
      <c r="A155" s="299">
        <v>151</v>
      </c>
      <c r="B155" s="229" t="s">
        <v>163</v>
      </c>
      <c r="C155" s="322">
        <v>0.14330000000000001</v>
      </c>
      <c r="F155" s="291">
        <f>G155/$C$155</f>
        <v>170333.00767620376</v>
      </c>
      <c r="G155" s="269">
        <v>24408.720000000001</v>
      </c>
      <c r="H155" s="291">
        <f>I155/$C$155</f>
        <v>169902.93091416606</v>
      </c>
      <c r="I155" s="269">
        <v>24347.09</v>
      </c>
      <c r="J155" s="291">
        <f>K155/$C$155</f>
        <v>181763.01465457081</v>
      </c>
      <c r="K155" s="315">
        <v>26046.639999999999</v>
      </c>
      <c r="L155" s="291">
        <f>M155/$C$155</f>
        <v>151551.15143056522</v>
      </c>
      <c r="M155" s="269">
        <v>21717.279999999999</v>
      </c>
      <c r="N155" s="291">
        <f>O155/$C$155</f>
        <v>117090.02093510117</v>
      </c>
      <c r="O155" s="269">
        <v>16779</v>
      </c>
      <c r="P155" s="291">
        <f>Q155/$C$155</f>
        <v>105312.07257501743</v>
      </c>
      <c r="Q155" s="269">
        <v>15091.22</v>
      </c>
      <c r="R155" s="291">
        <f>S155/$C$155</f>
        <v>125141.03279832518</v>
      </c>
      <c r="S155" s="269">
        <v>17932.71</v>
      </c>
      <c r="T155" s="291">
        <f>U155/$C$155</f>
        <v>126370.96999302162</v>
      </c>
      <c r="U155" s="269">
        <v>18108.96</v>
      </c>
      <c r="V155" s="291">
        <f>W155/$C$155</f>
        <v>127059.03698534543</v>
      </c>
      <c r="W155" s="269">
        <v>18207.560000000001</v>
      </c>
      <c r="X155" s="291">
        <f>Y155/$C$155</f>
        <v>186718.91137473829</v>
      </c>
      <c r="Y155" s="269">
        <v>26756.82</v>
      </c>
      <c r="Z155" s="291">
        <f>AA155/$C$155</f>
        <v>186851.98883461268</v>
      </c>
      <c r="AA155" s="269">
        <v>26775.89</v>
      </c>
      <c r="AB155" s="291">
        <f>AC155/$C$155</f>
        <v>194349.05792044662</v>
      </c>
      <c r="AC155" s="269">
        <v>27850.22</v>
      </c>
      <c r="AD155" s="68">
        <f>SUM(G155,I155,K155,M155,O155,Q155,S155,U155,W155,Y155,AA155,AC155)</f>
        <v>264022.11</v>
      </c>
      <c r="AF155" s="132"/>
      <c r="AG155" s="132"/>
    </row>
    <row r="156" spans="1:33" x14ac:dyDescent="0.25">
      <c r="A156" s="299">
        <v>152</v>
      </c>
      <c r="B156" s="299" t="s">
        <v>164</v>
      </c>
      <c r="C156" s="322">
        <v>0.10983999999999999</v>
      </c>
      <c r="F156" s="291">
        <f>G156/$C$156</f>
        <v>160621.9956300073</v>
      </c>
      <c r="G156" s="269">
        <v>17642.72</v>
      </c>
      <c r="H156" s="291">
        <f>I156/$C$156</f>
        <v>156063.09176984706</v>
      </c>
      <c r="I156" s="269">
        <v>17141.97</v>
      </c>
      <c r="J156" s="291">
        <f>K156/$C$156</f>
        <v>162684.99635833941</v>
      </c>
      <c r="K156" s="315">
        <v>17869.32</v>
      </c>
      <c r="L156" s="291">
        <f>M156/$C$156</f>
        <v>171877.09395484341</v>
      </c>
      <c r="M156" s="269">
        <v>18878.98</v>
      </c>
      <c r="N156" s="291">
        <f>O156/$C$156</f>
        <v>141005.0072833212</v>
      </c>
      <c r="O156" s="269">
        <v>15487.99</v>
      </c>
      <c r="P156" s="291">
        <f>Q156/$C$156</f>
        <v>132192.91697013838</v>
      </c>
      <c r="Q156" s="269">
        <v>14520.07</v>
      </c>
      <c r="R156" s="291">
        <f>S156/$C$156</f>
        <v>130775.03641660597</v>
      </c>
      <c r="S156" s="269">
        <v>14364.33</v>
      </c>
      <c r="T156" s="291">
        <f>U156/$C$156</f>
        <v>168407.04661325566</v>
      </c>
      <c r="U156" s="269">
        <v>18497.830000000002</v>
      </c>
      <c r="V156" s="291">
        <f>W156/$C$156</f>
        <v>158643.93663510564</v>
      </c>
      <c r="W156" s="269">
        <v>17425.45</v>
      </c>
      <c r="X156" s="291">
        <f>Y156/$C$156</f>
        <v>202040.87764020392</v>
      </c>
      <c r="Y156" s="269">
        <v>22192.17</v>
      </c>
      <c r="Z156" s="291">
        <f>AA156/$C$156</f>
        <v>224683.99490167518</v>
      </c>
      <c r="AA156" s="269">
        <v>24679.29</v>
      </c>
      <c r="AB156" s="291">
        <f>AC156/$C$156</f>
        <v>150108.06627822286</v>
      </c>
      <c r="AC156" s="269">
        <v>16487.87</v>
      </c>
      <c r="AD156" s="68">
        <f>SUM(G156,I156,K156,M156,O156,Q156,S156,U156,W156,Y156,AA156,AC156)</f>
        <v>215187.99000000002</v>
      </c>
      <c r="AF156" s="132"/>
      <c r="AG156" s="132"/>
    </row>
    <row r="157" spans="1:33" x14ac:dyDescent="0.25">
      <c r="A157" s="299">
        <v>153</v>
      </c>
      <c r="B157" s="229" t="s">
        <v>165</v>
      </c>
      <c r="C157" s="322">
        <v>2.7089999999999999E-2</v>
      </c>
      <c r="F157" s="291">
        <f>G157/$C$157</f>
        <v>0</v>
      </c>
      <c r="H157" s="291">
        <f>I157/$C$157</f>
        <v>0</v>
      </c>
      <c r="J157" s="291">
        <f>K157/$C$157</f>
        <v>0</v>
      </c>
      <c r="K157" s="299"/>
      <c r="L157" s="291">
        <f>M157/$C$157</f>
        <v>15620.893318567738</v>
      </c>
      <c r="M157" s="269">
        <v>423.17</v>
      </c>
      <c r="N157" s="291">
        <f>O157/$C$157</f>
        <v>9565.1531930601705</v>
      </c>
      <c r="O157" s="269">
        <v>259.12</v>
      </c>
      <c r="P157" s="291">
        <f>Q157/$C$157</f>
        <v>37534.883720930236</v>
      </c>
      <c r="Q157" s="269">
        <v>1016.82</v>
      </c>
      <c r="R157" s="291">
        <f>S157/$C$157</f>
        <v>59310.815799187891</v>
      </c>
      <c r="S157" s="269">
        <v>1606.73</v>
      </c>
      <c r="T157" s="291">
        <f>U157/$C$157</f>
        <v>56877.07641196013</v>
      </c>
      <c r="U157" s="269">
        <v>1540.8</v>
      </c>
      <c r="V157" s="291">
        <f>W157/$C$157</f>
        <v>35145.07198228129</v>
      </c>
      <c r="W157" s="269">
        <v>952.08</v>
      </c>
      <c r="X157" s="291">
        <f>Y157/$C$157</f>
        <v>45427.094868955333</v>
      </c>
      <c r="Y157" s="269">
        <v>1230.6199999999999</v>
      </c>
      <c r="Z157" s="291">
        <f>AA157/$C$157</f>
        <v>75543.004798818758</v>
      </c>
      <c r="AA157" s="307">
        <v>2046.46</v>
      </c>
      <c r="AB157" s="291">
        <f>AC157/$C$157</f>
        <v>30410.114433370247</v>
      </c>
      <c r="AC157" s="269">
        <v>823.81</v>
      </c>
      <c r="AD157" s="68">
        <f>SUM(G157,I157,K157,M157,O157,Q157,S157,U157,W157,Y157,AA157,AC157)</f>
        <v>9899.6099999999988</v>
      </c>
    </row>
    <row r="158" spans="1:33" x14ac:dyDescent="0.25">
      <c r="A158" s="299">
        <v>154</v>
      </c>
      <c r="B158" s="229" t="s">
        <v>11</v>
      </c>
      <c r="C158" s="319"/>
      <c r="D158" s="319"/>
      <c r="E158" s="319"/>
      <c r="G158" s="269">
        <v>138835.64000000001</v>
      </c>
      <c r="I158" s="269">
        <v>136742.73000000001</v>
      </c>
      <c r="K158" s="315">
        <v>144495.94</v>
      </c>
      <c r="M158" s="269">
        <v>142231.06</v>
      </c>
      <c r="O158" s="269">
        <v>112283.37</v>
      </c>
      <c r="Q158" s="269">
        <v>115379.28</v>
      </c>
      <c r="S158" s="269">
        <v>132237.72000000003</v>
      </c>
      <c r="U158" s="269">
        <v>147519.26999999999</v>
      </c>
      <c r="W158" s="269">
        <v>134595.74</v>
      </c>
      <c r="Y158" s="269">
        <v>182141.47999999998</v>
      </c>
      <c r="AA158" s="269">
        <v>204911.89</v>
      </c>
      <c r="AC158" s="269">
        <v>158168.08000000002</v>
      </c>
      <c r="AD158" s="68">
        <f>SUM(G158:AC158)</f>
        <v>1749542.2000000002</v>
      </c>
      <c r="AF158" s="132"/>
      <c r="AG158" s="132"/>
    </row>
    <row r="159" spans="1:33" x14ac:dyDescent="0.25">
      <c r="A159" s="299">
        <v>155</v>
      </c>
      <c r="B159" s="299" t="s">
        <v>484</v>
      </c>
      <c r="C159" s="319"/>
      <c r="D159" s="319"/>
      <c r="E159" s="319"/>
      <c r="K159" s="299"/>
      <c r="M159" s="269">
        <v>7903.77</v>
      </c>
      <c r="O159" s="269">
        <v>19826.25</v>
      </c>
      <c r="Q159" s="269">
        <v>20944.29</v>
      </c>
      <c r="S159" s="269">
        <v>24004.520000000004</v>
      </c>
      <c r="U159" s="269">
        <v>26778.53</v>
      </c>
      <c r="W159" s="269">
        <v>24432.57</v>
      </c>
      <c r="Y159" s="269">
        <v>33063.350000000006</v>
      </c>
      <c r="AA159" s="269">
        <v>51034.21</v>
      </c>
      <c r="AC159" s="269">
        <v>50371.040000000001</v>
      </c>
      <c r="AD159" s="68">
        <f t="shared" ref="AD159:AD174" si="8">SUM(G159:AC159)</f>
        <v>258358.53</v>
      </c>
      <c r="AF159" s="132"/>
      <c r="AG159" s="132"/>
    </row>
    <row r="160" spans="1:33" x14ac:dyDescent="0.25">
      <c r="A160" s="299">
        <v>156</v>
      </c>
      <c r="B160" s="229" t="s">
        <v>115</v>
      </c>
      <c r="G160" s="269">
        <v>475.87</v>
      </c>
      <c r="I160" s="269">
        <v>469.39</v>
      </c>
      <c r="K160" s="315">
        <v>496.01</v>
      </c>
      <c r="M160" s="269">
        <v>488.23</v>
      </c>
      <c r="O160" s="269">
        <v>385.43</v>
      </c>
      <c r="Q160" s="269">
        <v>396.08000000000004</v>
      </c>
      <c r="S160" s="269">
        <v>453.92</v>
      </c>
      <c r="U160" s="269">
        <v>506.38</v>
      </c>
      <c r="W160" s="269">
        <v>462.02</v>
      </c>
      <c r="Y160" s="269">
        <v>625.22</v>
      </c>
      <c r="AA160" s="269">
        <v>694.34</v>
      </c>
      <c r="AC160" s="269">
        <v>528.74999999999989</v>
      </c>
      <c r="AD160" s="68">
        <f t="shared" si="8"/>
        <v>5981.64</v>
      </c>
      <c r="AF160" s="132"/>
      <c r="AG160" s="132"/>
    </row>
    <row r="161" spans="1:33" x14ac:dyDescent="0.25">
      <c r="A161" s="299">
        <v>157</v>
      </c>
      <c r="B161" s="229" t="s">
        <v>116</v>
      </c>
      <c r="G161" s="269">
        <v>1565.44</v>
      </c>
      <c r="I161" s="269">
        <v>1541.81</v>
      </c>
      <c r="K161" s="269">
        <v>1629.23</v>
      </c>
      <c r="M161" s="269">
        <v>1603.72</v>
      </c>
      <c r="O161" s="269">
        <v>1266.03</v>
      </c>
      <c r="Q161" s="269">
        <v>1300.9299999999998</v>
      </c>
      <c r="S161" s="269">
        <v>1491.0300000000002</v>
      </c>
      <c r="U161" s="269">
        <v>1663.35</v>
      </c>
      <c r="W161" s="269">
        <v>1517.62</v>
      </c>
      <c r="Y161" s="269">
        <v>2053.6999999999998</v>
      </c>
      <c r="AA161" s="269">
        <v>2527.8199999999997</v>
      </c>
      <c r="AC161" s="269">
        <v>2123.64</v>
      </c>
      <c r="AD161" s="68">
        <f t="shared" si="8"/>
        <v>20284.32</v>
      </c>
      <c r="AF161" s="132"/>
      <c r="AG161" s="132"/>
    </row>
    <row r="162" spans="1:33" x14ac:dyDescent="0.25">
      <c r="A162" s="299">
        <v>158</v>
      </c>
      <c r="B162" s="229" t="s">
        <v>117</v>
      </c>
      <c r="G162" s="269">
        <v>-16772.8</v>
      </c>
      <c r="I162" s="269">
        <v>-16519.95</v>
      </c>
      <c r="K162" s="315">
        <v>-17456.63</v>
      </c>
      <c r="M162" s="269">
        <v>-17182.990000000002</v>
      </c>
      <c r="O162" s="269">
        <v>-13565</v>
      </c>
      <c r="Q162" s="269">
        <v>-13939.02</v>
      </c>
      <c r="S162" s="269">
        <v>-15975.72</v>
      </c>
      <c r="U162" s="269">
        <v>-17821.87</v>
      </c>
      <c r="W162" s="269">
        <v>-16260.58</v>
      </c>
      <c r="Y162" s="269">
        <v>-22004.59</v>
      </c>
      <c r="AA162" s="269">
        <v>-17344.699999999997</v>
      </c>
      <c r="AC162" s="269">
        <v>-7508.37</v>
      </c>
      <c r="AD162" s="68">
        <f t="shared" si="8"/>
        <v>-192352.21999999997</v>
      </c>
      <c r="AF162" s="132"/>
      <c r="AG162" s="132"/>
    </row>
    <row r="163" spans="1:33" x14ac:dyDescent="0.25">
      <c r="A163" s="299">
        <v>159</v>
      </c>
      <c r="B163" s="229" t="s">
        <v>118</v>
      </c>
      <c r="G163" s="269">
        <v>2561.6</v>
      </c>
      <c r="I163" s="269">
        <v>2522.98</v>
      </c>
      <c r="K163" s="315">
        <v>2666.01</v>
      </c>
      <c r="M163" s="269">
        <v>2624.24</v>
      </c>
      <c r="O163" s="269">
        <v>2071.67</v>
      </c>
      <c r="Q163" s="269">
        <v>2128.81</v>
      </c>
      <c r="S163" s="269">
        <v>2439.8599999999997</v>
      </c>
      <c r="U163" s="269">
        <v>2721.8199999999997</v>
      </c>
      <c r="W163" s="269">
        <v>2483.38</v>
      </c>
      <c r="Y163" s="269">
        <v>3360.6000000000004</v>
      </c>
      <c r="AA163" s="269">
        <v>1945.5</v>
      </c>
      <c r="AC163" s="269">
        <v>45.589999999999996</v>
      </c>
      <c r="AD163" s="68">
        <f t="shared" si="8"/>
        <v>27572.06</v>
      </c>
      <c r="AF163" s="132"/>
      <c r="AG163" s="132"/>
    </row>
    <row r="164" spans="1:33" x14ac:dyDescent="0.25">
      <c r="A164" s="299">
        <v>160</v>
      </c>
      <c r="B164" s="229" t="s">
        <v>119</v>
      </c>
      <c r="G164" s="269">
        <v>9114.49</v>
      </c>
      <c r="I164" s="269">
        <v>8977.1</v>
      </c>
      <c r="K164" s="315">
        <v>9486.09</v>
      </c>
      <c r="M164" s="269">
        <v>9337.4</v>
      </c>
      <c r="O164" s="269">
        <v>7371.35</v>
      </c>
      <c r="Q164" s="269">
        <v>7574.6</v>
      </c>
      <c r="S164" s="269">
        <v>8681.35</v>
      </c>
      <c r="U164" s="269">
        <v>9684.58</v>
      </c>
      <c r="W164" s="269">
        <v>8836.16</v>
      </c>
      <c r="Y164" s="269">
        <v>11957.51</v>
      </c>
      <c r="AA164" s="269">
        <v>13121.880000000001</v>
      </c>
      <c r="AC164" s="269">
        <v>9866.3000000000011</v>
      </c>
      <c r="AD164" s="68">
        <f t="shared" si="8"/>
        <v>114008.81</v>
      </c>
      <c r="AF164" s="132"/>
      <c r="AG164" s="132"/>
    </row>
    <row r="165" spans="1:33" x14ac:dyDescent="0.25">
      <c r="A165" s="299">
        <v>161</v>
      </c>
      <c r="B165" s="318" t="s">
        <v>181</v>
      </c>
      <c r="G165" s="269">
        <v>-946.53</v>
      </c>
      <c r="I165" s="269">
        <v>-932.25</v>
      </c>
      <c r="K165" s="315">
        <v>-985.12</v>
      </c>
      <c r="M165" s="269">
        <v>-969.66</v>
      </c>
      <c r="O165" s="269">
        <v>-765.52</v>
      </c>
      <c r="Q165" s="269">
        <v>-786.61</v>
      </c>
      <c r="S165" s="269">
        <v>-901.55</v>
      </c>
      <c r="U165" s="269">
        <v>-1005.74</v>
      </c>
      <c r="W165" s="269">
        <v>-917.62</v>
      </c>
      <c r="Y165" s="269">
        <v>-1241.79</v>
      </c>
      <c r="AA165" s="269">
        <v>-1475.5800000000004</v>
      </c>
      <c r="AC165" s="269">
        <v>-1201.27</v>
      </c>
      <c r="AD165" s="68">
        <f t="shared" si="8"/>
        <v>-12129.24</v>
      </c>
      <c r="AF165" s="132"/>
      <c r="AG165" s="132"/>
    </row>
    <row r="166" spans="1:33" x14ac:dyDescent="0.25">
      <c r="A166" s="299">
        <v>162</v>
      </c>
      <c r="B166" s="318" t="s">
        <v>182</v>
      </c>
      <c r="G166" s="269">
        <v>-440.18</v>
      </c>
      <c r="I166" s="269">
        <v>-433.54</v>
      </c>
      <c r="K166" s="315">
        <v>-458.14</v>
      </c>
      <c r="M166" s="269">
        <v>-450.93</v>
      </c>
      <c r="O166" s="269">
        <v>-355.98</v>
      </c>
      <c r="Q166" s="269">
        <v>-365.8</v>
      </c>
      <c r="S166" s="269">
        <v>-419.24</v>
      </c>
      <c r="U166" s="269">
        <v>-467.7</v>
      </c>
      <c r="W166" s="269">
        <v>-426.71000000000004</v>
      </c>
      <c r="Y166" s="269">
        <v>-577.47</v>
      </c>
      <c r="AA166" s="269">
        <v>-616.4899999999999</v>
      </c>
      <c r="AC166" s="269">
        <v>-449.51000000000005</v>
      </c>
      <c r="AD166" s="68">
        <f t="shared" si="8"/>
        <v>-5461.6900000000005</v>
      </c>
      <c r="AF166" s="132"/>
      <c r="AG166" s="132"/>
    </row>
    <row r="167" spans="1:33" x14ac:dyDescent="0.25">
      <c r="A167" s="299">
        <v>163</v>
      </c>
      <c r="B167" s="318" t="s">
        <v>183</v>
      </c>
      <c r="G167" s="269">
        <v>-804.22</v>
      </c>
      <c r="I167" s="269">
        <v>-792.11</v>
      </c>
      <c r="K167" s="315">
        <v>-837.02</v>
      </c>
      <c r="M167" s="269">
        <v>-823.89</v>
      </c>
      <c r="O167" s="269">
        <v>-650.39</v>
      </c>
      <c r="Q167" s="269">
        <v>-668.33999999999992</v>
      </c>
      <c r="S167" s="269">
        <v>-766.02</v>
      </c>
      <c r="U167" s="269">
        <v>-854.50000000000011</v>
      </c>
      <c r="W167" s="269">
        <v>-779.63999999999987</v>
      </c>
      <c r="Y167" s="269">
        <v>-1055.07</v>
      </c>
      <c r="AA167" s="269">
        <v>-610.78</v>
      </c>
      <c r="AC167" s="269">
        <v>-14.319999999999999</v>
      </c>
      <c r="AD167" s="68">
        <f t="shared" si="8"/>
        <v>-8656.2999999999993</v>
      </c>
      <c r="AF167" s="132"/>
      <c r="AG167" s="132"/>
    </row>
    <row r="168" spans="1:33" x14ac:dyDescent="0.25">
      <c r="A168" s="299">
        <v>164</v>
      </c>
      <c r="B168" s="229" t="s">
        <v>120</v>
      </c>
      <c r="G168" s="269">
        <v>6362.1</v>
      </c>
      <c r="I168" s="269">
        <v>6122.14</v>
      </c>
      <c r="K168" s="315">
        <v>6692.77</v>
      </c>
      <c r="M168" s="299">
        <v>6861.54</v>
      </c>
      <c r="O168" s="269">
        <v>4560.57</v>
      </c>
      <c r="Q168" s="269">
        <v>3973.38</v>
      </c>
      <c r="S168" s="269">
        <v>3575.33</v>
      </c>
      <c r="U168" s="269">
        <v>4663.3499999999995</v>
      </c>
      <c r="W168" s="269">
        <v>4822.88</v>
      </c>
      <c r="Y168" s="269">
        <v>6874.05</v>
      </c>
      <c r="AA168" s="269">
        <v>12879.180000000002</v>
      </c>
      <c r="AC168" s="269">
        <v>9160.8000000000011</v>
      </c>
      <c r="AD168" s="68">
        <f t="shared" si="8"/>
        <v>76548.090000000011</v>
      </c>
      <c r="AF168" s="132"/>
      <c r="AG168" s="132"/>
    </row>
    <row r="169" spans="1:33" x14ac:dyDescent="0.25">
      <c r="A169" s="299">
        <v>165</v>
      </c>
      <c r="B169" s="229" t="s">
        <v>125</v>
      </c>
      <c r="G169" s="269">
        <v>119.63</v>
      </c>
      <c r="I169" s="269">
        <v>169.34</v>
      </c>
      <c r="K169" s="315">
        <v>134.6</v>
      </c>
      <c r="M169" s="299"/>
      <c r="O169" s="299"/>
      <c r="S169" s="269">
        <v>0</v>
      </c>
      <c r="AD169" s="68">
        <f t="shared" si="8"/>
        <v>423.57000000000005</v>
      </c>
    </row>
    <row r="170" spans="1:33" x14ac:dyDescent="0.25">
      <c r="A170" s="299">
        <v>166</v>
      </c>
      <c r="B170" s="229" t="s">
        <v>124</v>
      </c>
      <c r="G170" s="269">
        <v>470.82</v>
      </c>
      <c r="I170" s="269">
        <v>531.49</v>
      </c>
      <c r="K170" s="269">
        <v>607.12</v>
      </c>
      <c r="M170" s="269">
        <v>303.54000000000002</v>
      </c>
      <c r="O170" s="299">
        <v>231.02</v>
      </c>
      <c r="Q170" s="269">
        <v>118.6</v>
      </c>
      <c r="S170" s="269">
        <v>153.61000000000001</v>
      </c>
      <c r="U170" s="269">
        <v>130.4</v>
      </c>
      <c r="W170" s="269">
        <v>140.55000000000001</v>
      </c>
      <c r="Y170" s="269">
        <v>261.83</v>
      </c>
      <c r="AA170" s="269">
        <v>434.98</v>
      </c>
      <c r="AC170" s="269">
        <v>642.22</v>
      </c>
      <c r="AD170" s="68">
        <f t="shared" si="8"/>
        <v>4026.1800000000003</v>
      </c>
      <c r="AF170" s="132"/>
    </row>
    <row r="171" spans="1:33" x14ac:dyDescent="0.25">
      <c r="A171" s="299">
        <v>167</v>
      </c>
      <c r="B171" s="229" t="s">
        <v>29</v>
      </c>
      <c r="C171" s="319"/>
      <c r="D171" s="319"/>
      <c r="E171" s="319"/>
      <c r="K171" s="299"/>
      <c r="M171" s="299"/>
      <c r="O171" s="299"/>
      <c r="S171" s="269">
        <v>-268.69</v>
      </c>
      <c r="U171" s="269">
        <v>-650.2700000000001</v>
      </c>
      <c r="W171" s="269">
        <v>-6503.0699999999988</v>
      </c>
      <c r="Y171" s="269">
        <v>-13279.660000000002</v>
      </c>
      <c r="AA171" s="269">
        <v>-1620.4199999999996</v>
      </c>
      <c r="AC171" s="269">
        <v>-4533.4800000000005</v>
      </c>
      <c r="AD171" s="68">
        <f t="shared" si="8"/>
        <v>-26855.59</v>
      </c>
    </row>
    <row r="172" spans="1:33" x14ac:dyDescent="0.25">
      <c r="A172" s="299">
        <v>168</v>
      </c>
      <c r="B172" s="229" t="s">
        <v>122</v>
      </c>
      <c r="C172" s="319"/>
      <c r="D172" s="319"/>
      <c r="E172" s="319"/>
      <c r="K172" s="315"/>
      <c r="S172" s="269">
        <v>0</v>
      </c>
      <c r="AD172" s="68">
        <f t="shared" si="8"/>
        <v>0</v>
      </c>
      <c r="AG172" s="132"/>
    </row>
    <row r="173" spans="1:33" x14ac:dyDescent="0.25">
      <c r="A173" s="299">
        <v>169</v>
      </c>
      <c r="B173" s="229" t="s">
        <v>123</v>
      </c>
      <c r="C173" s="319"/>
      <c r="D173" s="319"/>
      <c r="E173" s="319"/>
      <c r="G173" s="269">
        <v>-4.82</v>
      </c>
      <c r="I173" s="269">
        <v>-5.47</v>
      </c>
      <c r="K173" s="315">
        <v>-243.33</v>
      </c>
      <c r="M173" s="269">
        <v>-260.29000000000002</v>
      </c>
      <c r="O173" s="299">
        <v>-379.05</v>
      </c>
      <c r="Q173" s="269">
        <v>-442.27</v>
      </c>
      <c r="S173" s="269">
        <v>-393.96</v>
      </c>
      <c r="U173" s="269">
        <v>-529.19000000000005</v>
      </c>
      <c r="W173" s="269">
        <v>-507.11</v>
      </c>
      <c r="Y173" s="269">
        <v>-606.29999999999995</v>
      </c>
      <c r="AA173" s="269">
        <v>-494.6</v>
      </c>
      <c r="AC173" s="269">
        <v>-602.59</v>
      </c>
      <c r="AD173" s="68">
        <f t="shared" si="8"/>
        <v>-4468.9799999999996</v>
      </c>
      <c r="AG173" s="132"/>
    </row>
    <row r="174" spans="1:33" x14ac:dyDescent="0.25">
      <c r="A174" s="299">
        <v>170</v>
      </c>
      <c r="B174" s="229" t="s">
        <v>30</v>
      </c>
      <c r="C174" s="319">
        <f>G174/F154</f>
        <v>14170.267692307696</v>
      </c>
      <c r="D174" s="319"/>
      <c r="E174" s="319"/>
      <c r="G174" s="269">
        <f>SUM(G154:G173)</f>
        <v>184213.48000000004</v>
      </c>
      <c r="H174" s="269"/>
      <c r="I174" s="269">
        <f>SUM(I154:I173)</f>
        <v>181507.72000000003</v>
      </c>
      <c r="J174" s="269"/>
      <c r="K174" s="269">
        <f>SUM(K154:K173)</f>
        <v>191768.49000000002</v>
      </c>
      <c r="L174" s="269"/>
      <c r="M174" s="269">
        <f>SUM(M154:M173)</f>
        <v>194310.16999999998</v>
      </c>
      <c r="N174" s="269"/>
      <c r="O174" s="269">
        <f>SUM(O154:O173)</f>
        <v>166180.85999999999</v>
      </c>
      <c r="P174" s="269"/>
      <c r="Q174" s="269">
        <f>SUM(Q154:Q173)</f>
        <v>167617.04000000007</v>
      </c>
      <c r="R174" s="269"/>
      <c r="S174" s="269">
        <f>SUM(S154:S173)</f>
        <v>189840.93000000008</v>
      </c>
      <c r="T174" s="269"/>
      <c r="U174" s="269">
        <f>SUM(U154:U173)</f>
        <v>212236</v>
      </c>
      <c r="V174" s="269"/>
      <c r="W174" s="269">
        <f>SUM(W154:W173)</f>
        <v>190231.28</v>
      </c>
      <c r="X174" s="269"/>
      <c r="Y174" s="269">
        <f>SUM(Y154:Y173)</f>
        <v>253502.46999999994</v>
      </c>
      <c r="Z174" s="269"/>
      <c r="AA174" s="269">
        <f>SUM(AA154:AA173)</f>
        <v>320763.87000000005</v>
      </c>
      <c r="AB174" s="269"/>
      <c r="AC174" s="269">
        <f>SUM(AC154:AC173)</f>
        <v>263633.77999999997</v>
      </c>
      <c r="AD174" s="68">
        <f t="shared" si="8"/>
        <v>2515806.0900000003</v>
      </c>
    </row>
    <row r="175" spans="1:33" x14ac:dyDescent="0.25">
      <c r="A175" s="299">
        <v>171</v>
      </c>
      <c r="B175" s="229" t="s">
        <v>31</v>
      </c>
      <c r="C175" s="294"/>
      <c r="D175" s="294"/>
      <c r="E175" s="294"/>
      <c r="F175" s="294"/>
      <c r="G175" s="323"/>
      <c r="H175" s="311"/>
      <c r="I175" s="308"/>
      <c r="J175" s="311"/>
      <c r="K175" s="291"/>
      <c r="L175" s="294"/>
      <c r="M175" s="308"/>
      <c r="N175" s="311"/>
      <c r="O175" s="308"/>
      <c r="P175" s="311"/>
      <c r="Q175" s="308">
        <v>275040</v>
      </c>
      <c r="R175" s="308"/>
      <c r="S175" s="308">
        <v>315227</v>
      </c>
      <c r="T175" s="308"/>
      <c r="U175" s="308">
        <v>351655</v>
      </c>
      <c r="V175" s="308"/>
      <c r="W175" s="291">
        <v>320848</v>
      </c>
      <c r="Y175" s="308">
        <v>434187</v>
      </c>
      <c r="Z175" s="308"/>
      <c r="AA175" s="308">
        <v>487079</v>
      </c>
      <c r="AB175" s="308"/>
      <c r="AC175" s="308">
        <v>374867</v>
      </c>
      <c r="AD175" s="47">
        <f t="shared" ref="AD175:AD177" si="9">SUM(G175:AC175)</f>
        <v>2558903</v>
      </c>
      <c r="AF175" s="133"/>
    </row>
    <row r="176" spans="1:33" x14ac:dyDescent="0.25">
      <c r="A176" s="299">
        <v>172</v>
      </c>
      <c r="B176" s="299" t="s">
        <v>32</v>
      </c>
      <c r="C176" s="294"/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1"/>
      <c r="S176" s="291">
        <v>-30</v>
      </c>
      <c r="U176" s="291">
        <v>-843</v>
      </c>
      <c r="W176" s="291">
        <v>-10236</v>
      </c>
      <c r="Y176" s="291">
        <v>-20911</v>
      </c>
      <c r="AA176" s="291">
        <v>-2163</v>
      </c>
      <c r="AC176" s="291">
        <v>-6209</v>
      </c>
      <c r="AD176" s="47">
        <f t="shared" si="9"/>
        <v>-40392</v>
      </c>
    </row>
    <row r="177" spans="1:32" x14ac:dyDescent="0.25">
      <c r="A177" s="299">
        <v>173</v>
      </c>
      <c r="B177" s="299" t="s">
        <v>33</v>
      </c>
      <c r="C177" s="294"/>
      <c r="D177" s="294"/>
      <c r="E177" s="294"/>
      <c r="F177" s="294"/>
      <c r="G177" s="308">
        <f>SUM(G175:G176)</f>
        <v>0</v>
      </c>
      <c r="H177" s="311">
        <f>SUM(H175:H176)</f>
        <v>0</v>
      </c>
      <c r="I177" s="308">
        <f>SUM(I175:I176)</f>
        <v>0</v>
      </c>
      <c r="J177" s="311"/>
      <c r="K177" s="308">
        <f>SUM(K175:K176)</f>
        <v>0</v>
      </c>
      <c r="L177" s="311"/>
      <c r="M177" s="308">
        <f>SUM(M175:M176)</f>
        <v>0</v>
      </c>
      <c r="N177" s="311"/>
      <c r="O177" s="308">
        <f>SUM(O175:O176)</f>
        <v>0</v>
      </c>
      <c r="P177" s="311"/>
      <c r="Q177" s="308">
        <f>SUM(Q175:Q176)</f>
        <v>275040</v>
      </c>
      <c r="R177" s="308"/>
      <c r="S177" s="308">
        <f>SUM(S175:S176)</f>
        <v>315197</v>
      </c>
      <c r="T177" s="308"/>
      <c r="U177" s="308">
        <f>SUM(U175:U176)</f>
        <v>350812</v>
      </c>
      <c r="V177" s="308"/>
      <c r="W177" s="308">
        <f>SUM(W175:W176)</f>
        <v>310612</v>
      </c>
      <c r="X177" s="308"/>
      <c r="Y177" s="308">
        <f>SUM(Y175:Y176)</f>
        <v>413276</v>
      </c>
      <c r="Z177" s="308"/>
      <c r="AA177" s="308">
        <f>SUM(AA175:AA176)</f>
        <v>484916</v>
      </c>
      <c r="AB177" s="308"/>
      <c r="AC177" s="308">
        <f>SUM(AC175:AC176)</f>
        <v>368658</v>
      </c>
      <c r="AD177" s="47">
        <f t="shared" si="9"/>
        <v>2518511</v>
      </c>
      <c r="AF177" s="133"/>
    </row>
    <row r="178" spans="1:32" x14ac:dyDescent="0.25">
      <c r="A178" s="299">
        <v>174</v>
      </c>
      <c r="B178" s="229"/>
    </row>
    <row r="179" spans="1:32" x14ac:dyDescent="0.25">
      <c r="A179" s="299">
        <v>175</v>
      </c>
      <c r="B179" s="314" t="s">
        <v>167</v>
      </c>
    </row>
    <row r="180" spans="1:32" x14ac:dyDescent="0.25">
      <c r="A180" s="299">
        <v>176</v>
      </c>
      <c r="B180" s="299" t="s">
        <v>9</v>
      </c>
      <c r="C180" s="269">
        <v>60</v>
      </c>
      <c r="D180" s="269"/>
      <c r="E180" s="269"/>
      <c r="F180" s="291">
        <f>G180/$C$180</f>
        <v>1</v>
      </c>
      <c r="G180" s="307">
        <v>60</v>
      </c>
      <c r="H180" s="291">
        <f>I180/$C$180</f>
        <v>1</v>
      </c>
      <c r="I180" s="307">
        <v>60</v>
      </c>
      <c r="J180" s="291">
        <f>K180/$C$180</f>
        <v>1</v>
      </c>
      <c r="K180" s="307">
        <v>60</v>
      </c>
      <c r="L180" s="291">
        <f>M180/$C$180</f>
        <v>1</v>
      </c>
      <c r="M180" s="307">
        <v>60</v>
      </c>
      <c r="N180" s="291">
        <f>O180/$C$180</f>
        <v>1</v>
      </c>
      <c r="O180" s="269">
        <v>60</v>
      </c>
      <c r="P180" s="291">
        <f>Q180/$C$180</f>
        <v>1</v>
      </c>
      <c r="Q180" s="307">
        <v>60</v>
      </c>
      <c r="R180" s="291">
        <f>S180/$C$180</f>
        <v>1</v>
      </c>
      <c r="S180" s="307">
        <v>60</v>
      </c>
      <c r="T180" s="291">
        <f>U180/$C$180</f>
        <v>1</v>
      </c>
      <c r="U180" s="307">
        <v>60</v>
      </c>
      <c r="V180" s="291">
        <f>W180/$C$180</f>
        <v>1</v>
      </c>
      <c r="W180" s="316">
        <v>60</v>
      </c>
      <c r="X180" s="291">
        <f>Y180/$C$180</f>
        <v>1</v>
      </c>
      <c r="Y180" s="307">
        <v>60</v>
      </c>
      <c r="Z180" s="291">
        <f>AA180/$C$180</f>
        <v>1</v>
      </c>
      <c r="AA180" s="307">
        <v>60</v>
      </c>
      <c r="AB180" s="291">
        <f>AC180/$C$180</f>
        <v>1</v>
      </c>
      <c r="AC180" s="307">
        <v>60</v>
      </c>
      <c r="AD180" s="68">
        <f>SUM(G180,I180,K180,M180,O180,Q180,S180,U180,W180,Y180,AA180,AC180)</f>
        <v>720</v>
      </c>
    </row>
    <row r="181" spans="1:32" x14ac:dyDescent="0.25">
      <c r="A181" s="299">
        <v>177</v>
      </c>
      <c r="B181" s="299" t="s">
        <v>160</v>
      </c>
      <c r="C181" s="299">
        <v>0.17851</v>
      </c>
      <c r="F181" s="291">
        <f>G181/$C$181</f>
        <v>78.987171587025941</v>
      </c>
      <c r="G181" s="307">
        <v>14.1</v>
      </c>
      <c r="H181" s="291">
        <f>I181/$C$181</f>
        <v>7.0024088286370514</v>
      </c>
      <c r="I181" s="307">
        <v>1.25</v>
      </c>
      <c r="J181" s="291">
        <f>K181/$C$181</f>
        <v>0</v>
      </c>
      <c r="L181" s="291">
        <f>M181/$C$181</f>
        <v>0</v>
      </c>
      <c r="M181" s="307"/>
      <c r="N181" s="291">
        <f>O181/$C$181</f>
        <v>128.00403338748529</v>
      </c>
      <c r="O181" s="269">
        <v>22.85</v>
      </c>
      <c r="P181" s="291">
        <f>Q181/$C$181</f>
        <v>151.02795361604393</v>
      </c>
      <c r="Q181" s="269">
        <v>26.96</v>
      </c>
      <c r="R181" s="291">
        <f>S181/$C$181</f>
        <v>0</v>
      </c>
      <c r="S181" s="307"/>
      <c r="T181" s="291">
        <f>U181/$C$181</f>
        <v>163.01607753067054</v>
      </c>
      <c r="U181" s="269">
        <v>29.1</v>
      </c>
      <c r="V181" s="291">
        <f>W181/$C$181</f>
        <v>0</v>
      </c>
      <c r="W181" s="316"/>
      <c r="X181" s="291">
        <f>Y181/$C$181</f>
        <v>411.01338860568035</v>
      </c>
      <c r="Y181" s="307">
        <v>73.37</v>
      </c>
      <c r="Z181" s="291">
        <f>AA181/$C$181</f>
        <v>317.01305249005662</v>
      </c>
      <c r="AA181" s="307">
        <v>56.59</v>
      </c>
      <c r="AB181" s="291">
        <f>AC181/$C$181</f>
        <v>491.00890706403004</v>
      </c>
      <c r="AC181" s="307">
        <v>87.65</v>
      </c>
      <c r="AD181" s="68">
        <f>SUM(G181,I181,K181,M181,O181,Q181,S181,U181,W181,Y181,AA181,AC181)</f>
        <v>311.87</v>
      </c>
    </row>
    <row r="182" spans="1:32" x14ac:dyDescent="0.25">
      <c r="A182" s="299">
        <v>178</v>
      </c>
      <c r="B182" s="299" t="s">
        <v>161</v>
      </c>
      <c r="C182" s="299">
        <v>0.14457</v>
      </c>
      <c r="F182" s="291">
        <f>G182/$C$182</f>
        <v>229.23151414539669</v>
      </c>
      <c r="G182" s="269">
        <v>33.14</v>
      </c>
      <c r="H182" s="291">
        <f>I182/$C$182</f>
        <v>20.33616932973646</v>
      </c>
      <c r="I182" s="307">
        <v>2.94</v>
      </c>
      <c r="J182" s="291">
        <f>K182/$C$182</f>
        <v>0</v>
      </c>
      <c r="L182" s="291">
        <f>M182/$C$182</f>
        <v>0</v>
      </c>
      <c r="N182" s="291">
        <f>O182/$C$182</f>
        <v>371.44635816559452</v>
      </c>
      <c r="O182" s="269">
        <v>53.7</v>
      </c>
      <c r="P182" s="291">
        <f>Q182/$C$182</f>
        <v>0</v>
      </c>
      <c r="R182" s="291">
        <f>S182/$C$182</f>
        <v>0</v>
      </c>
      <c r="T182" s="291">
        <f>U182/$C$182</f>
        <v>0</v>
      </c>
      <c r="U182" s="269">
        <v>0</v>
      </c>
      <c r="V182" s="291">
        <f>W182/$C$182</f>
        <v>0</v>
      </c>
      <c r="X182" s="291">
        <f>Y182/$C$182</f>
        <v>0</v>
      </c>
      <c r="Y182" s="269">
        <v>0</v>
      </c>
      <c r="Z182" s="291">
        <f>AA182/$C$182</f>
        <v>0</v>
      </c>
      <c r="AA182" s="269">
        <v>0</v>
      </c>
      <c r="AB182" s="291">
        <f>AC182/$C$182</f>
        <v>0</v>
      </c>
      <c r="AD182" s="68">
        <f>SUM(G182,I182,K182,M182,O182,Q182,S182,U182,W182,Y182,AA182,AC182)</f>
        <v>89.78</v>
      </c>
    </row>
    <row r="183" spans="1:32" x14ac:dyDescent="0.25">
      <c r="A183" s="299">
        <v>179</v>
      </c>
      <c r="B183" s="299" t="s">
        <v>11</v>
      </c>
      <c r="C183" s="319"/>
      <c r="D183" s="319"/>
      <c r="E183" s="319"/>
      <c r="G183" s="307">
        <v>0.13</v>
      </c>
      <c r="H183" s="308"/>
      <c r="I183" s="307">
        <v>0.01</v>
      </c>
      <c r="J183" s="308"/>
      <c r="M183" s="307"/>
      <c r="N183" s="308"/>
      <c r="O183" s="269">
        <v>9.75</v>
      </c>
      <c r="Q183" s="269">
        <v>63.34</v>
      </c>
      <c r="S183" s="307"/>
      <c r="T183" s="308"/>
      <c r="U183" s="269">
        <v>68.38</v>
      </c>
      <c r="W183" s="316"/>
      <c r="X183" s="317"/>
      <c r="Y183" s="307">
        <v>172.41</v>
      </c>
      <c r="Z183" s="308"/>
      <c r="AA183" s="307">
        <v>132.97999999999999</v>
      </c>
      <c r="AB183" s="308"/>
      <c r="AC183" s="307">
        <v>207.19</v>
      </c>
      <c r="AD183" s="68">
        <f>SUM(G183:AC183)</f>
        <v>654.19000000000005</v>
      </c>
    </row>
    <row r="184" spans="1:32" x14ac:dyDescent="0.25">
      <c r="A184" s="299">
        <v>180</v>
      </c>
      <c r="B184" s="299" t="s">
        <v>484</v>
      </c>
      <c r="C184" s="319"/>
      <c r="D184" s="319"/>
      <c r="E184" s="319"/>
      <c r="G184" s="307"/>
      <c r="H184" s="308"/>
      <c r="I184" s="307"/>
      <c r="J184" s="308"/>
      <c r="M184" s="307"/>
      <c r="N184" s="308"/>
      <c r="Q184" s="269">
        <v>11.5</v>
      </c>
      <c r="S184" s="307"/>
      <c r="T184" s="308"/>
      <c r="U184" s="269">
        <v>12.41</v>
      </c>
      <c r="W184" s="316"/>
      <c r="X184" s="317"/>
      <c r="Y184" s="307">
        <v>31.3</v>
      </c>
      <c r="Z184" s="308"/>
      <c r="AA184" s="307">
        <v>24.14</v>
      </c>
      <c r="AB184" s="308"/>
      <c r="AC184" s="307">
        <v>66.430000000000007</v>
      </c>
      <c r="AD184" s="68">
        <f>SUM(G184:AC184)</f>
        <v>145.78</v>
      </c>
    </row>
    <row r="185" spans="1:32" x14ac:dyDescent="0.25">
      <c r="A185" s="299">
        <v>181</v>
      </c>
      <c r="B185" s="226" t="s">
        <v>115</v>
      </c>
      <c r="C185" s="319"/>
      <c r="D185" s="319"/>
      <c r="E185" s="319"/>
      <c r="G185" s="307">
        <v>0.54</v>
      </c>
      <c r="H185" s="308"/>
      <c r="I185" s="307">
        <v>0.05</v>
      </c>
      <c r="J185" s="308"/>
      <c r="M185" s="307"/>
      <c r="N185" s="308"/>
      <c r="O185" s="269">
        <v>0.22</v>
      </c>
      <c r="Q185" s="269">
        <v>0.26</v>
      </c>
      <c r="S185" s="307"/>
      <c r="T185" s="308"/>
      <c r="U185" s="269">
        <v>0.28000000000000003</v>
      </c>
      <c r="W185" s="316"/>
      <c r="X185" s="317"/>
      <c r="Y185" s="307">
        <v>0.7</v>
      </c>
      <c r="Z185" s="308"/>
      <c r="AA185" s="307">
        <v>0.54</v>
      </c>
      <c r="AB185" s="308"/>
      <c r="AC185" s="307">
        <v>0.82</v>
      </c>
      <c r="AD185" s="68">
        <f t="shared" ref="AD185:AD196" si="10">SUM(G185:AC185)</f>
        <v>3.4099999999999997</v>
      </c>
    </row>
    <row r="186" spans="1:32" x14ac:dyDescent="0.25">
      <c r="A186" s="299">
        <v>182</v>
      </c>
      <c r="B186" s="226" t="s">
        <v>116</v>
      </c>
      <c r="G186" s="307">
        <v>0.25</v>
      </c>
      <c r="H186" s="308"/>
      <c r="I186" s="307">
        <v>0.02</v>
      </c>
      <c r="J186" s="308"/>
      <c r="M186" s="307"/>
      <c r="N186" s="308"/>
      <c r="O186" s="269">
        <v>0.88</v>
      </c>
      <c r="Q186" s="269">
        <v>1.03</v>
      </c>
      <c r="S186" s="307"/>
      <c r="T186" s="308"/>
      <c r="U186" s="269">
        <v>1.1100000000000001</v>
      </c>
      <c r="W186" s="316"/>
      <c r="X186" s="317"/>
      <c r="Y186" s="307">
        <v>2.81</v>
      </c>
      <c r="Z186" s="308"/>
      <c r="AA186" s="307">
        <v>2.17</v>
      </c>
      <c r="AB186" s="308"/>
      <c r="AC186" s="307">
        <v>4.1900000000000004</v>
      </c>
      <c r="AD186" s="68">
        <f t="shared" si="10"/>
        <v>12.46</v>
      </c>
    </row>
    <row r="187" spans="1:32" x14ac:dyDescent="0.25">
      <c r="A187" s="299">
        <v>183</v>
      </c>
      <c r="B187" s="226" t="s">
        <v>117</v>
      </c>
      <c r="G187" s="307">
        <v>0.61</v>
      </c>
      <c r="H187" s="308"/>
      <c r="I187" s="307">
        <v>0.05</v>
      </c>
      <c r="J187" s="308"/>
      <c r="M187" s="307"/>
      <c r="N187" s="308"/>
      <c r="O187" s="269">
        <v>0.41</v>
      </c>
      <c r="Q187" s="269">
        <v>0.48</v>
      </c>
      <c r="S187" s="307"/>
      <c r="T187" s="308"/>
      <c r="U187" s="269">
        <v>0.52</v>
      </c>
      <c r="W187" s="316"/>
      <c r="X187" s="317"/>
      <c r="Y187" s="307">
        <v>1.32</v>
      </c>
      <c r="Z187" s="308"/>
      <c r="AA187" s="307">
        <v>1.02</v>
      </c>
      <c r="AB187" s="308"/>
      <c r="AC187" s="307">
        <v>-2.87</v>
      </c>
      <c r="AD187" s="68">
        <f t="shared" si="10"/>
        <v>1.54</v>
      </c>
    </row>
    <row r="188" spans="1:32" x14ac:dyDescent="0.25">
      <c r="A188" s="299">
        <v>184</v>
      </c>
      <c r="B188" s="226" t="s">
        <v>118</v>
      </c>
      <c r="G188" s="307">
        <v>2.1800000000000002</v>
      </c>
      <c r="H188" s="308"/>
      <c r="I188" s="307">
        <v>0.19</v>
      </c>
      <c r="J188" s="308"/>
      <c r="M188" s="307"/>
      <c r="N188" s="308"/>
      <c r="O188" s="269">
        <v>0.99</v>
      </c>
      <c r="Q188" s="269">
        <v>1.17</v>
      </c>
      <c r="S188" s="307"/>
      <c r="T188" s="308"/>
      <c r="U188" s="269">
        <v>1.26</v>
      </c>
      <c r="W188" s="316"/>
      <c r="X188" s="317"/>
      <c r="Y188" s="307">
        <v>3.18</v>
      </c>
      <c r="Z188" s="308"/>
      <c r="AA188" s="307">
        <v>2.4500000000000002</v>
      </c>
      <c r="AB188" s="308"/>
      <c r="AC188" s="307"/>
      <c r="AD188" s="68">
        <f t="shared" si="10"/>
        <v>11.420000000000002</v>
      </c>
    </row>
    <row r="189" spans="1:32" x14ac:dyDescent="0.25">
      <c r="A189" s="299">
        <v>185</v>
      </c>
      <c r="B189" s="226" t="s">
        <v>119</v>
      </c>
      <c r="G189" s="307">
        <v>-0.28000000000000003</v>
      </c>
      <c r="H189" s="308"/>
      <c r="I189" s="307">
        <v>-0.02</v>
      </c>
      <c r="J189" s="308"/>
      <c r="M189" s="307"/>
      <c r="N189" s="308"/>
      <c r="O189" s="269">
        <v>3.53</v>
      </c>
      <c r="Q189" s="269">
        <v>4.16</v>
      </c>
      <c r="S189" s="307"/>
      <c r="T189" s="308"/>
      <c r="U189" s="269">
        <v>4.49</v>
      </c>
      <c r="W189" s="316"/>
      <c r="X189" s="317"/>
      <c r="Y189" s="307">
        <v>11.32</v>
      </c>
      <c r="Z189" s="308"/>
      <c r="AA189" s="307">
        <v>8.73</v>
      </c>
      <c r="AB189" s="308"/>
      <c r="AC189" s="307">
        <v>12.91</v>
      </c>
      <c r="AD189" s="68">
        <f t="shared" si="10"/>
        <v>44.84</v>
      </c>
    </row>
    <row r="190" spans="1:32" x14ac:dyDescent="0.25">
      <c r="A190" s="299">
        <v>186</v>
      </c>
      <c r="B190" s="321" t="s">
        <v>181</v>
      </c>
      <c r="G190" s="269">
        <v>-0.13</v>
      </c>
      <c r="I190" s="307">
        <v>-0.01</v>
      </c>
      <c r="J190" s="308"/>
      <c r="M190" s="307"/>
      <c r="N190" s="308"/>
      <c r="O190" s="269">
        <v>-0.45</v>
      </c>
      <c r="Q190" s="269">
        <v>-0.53</v>
      </c>
      <c r="S190" s="307"/>
      <c r="T190" s="308"/>
      <c r="U190" s="269">
        <v>-0.56999999999999995</v>
      </c>
      <c r="W190" s="316"/>
      <c r="X190" s="317"/>
      <c r="Y190" s="307">
        <v>-1.43</v>
      </c>
      <c r="Z190" s="308"/>
      <c r="AA190" s="307">
        <v>-1.1100000000000001</v>
      </c>
      <c r="AB190" s="308"/>
      <c r="AC190" s="307">
        <v>-1.92</v>
      </c>
      <c r="AD190" s="68">
        <f t="shared" si="10"/>
        <v>-6.15</v>
      </c>
    </row>
    <row r="191" spans="1:32" x14ac:dyDescent="0.25">
      <c r="A191" s="299">
        <v>187</v>
      </c>
      <c r="B191" s="321" t="s">
        <v>182</v>
      </c>
      <c r="G191" s="269">
        <v>-0.23</v>
      </c>
      <c r="I191" s="307">
        <v>-0.02</v>
      </c>
      <c r="J191" s="308"/>
      <c r="M191" s="307"/>
      <c r="N191" s="308"/>
      <c r="O191" s="269">
        <v>-0.21</v>
      </c>
      <c r="Q191" s="269">
        <v>-0.24</v>
      </c>
      <c r="S191" s="307"/>
      <c r="T191" s="308"/>
      <c r="U191" s="269">
        <v>-0.26</v>
      </c>
      <c r="W191" s="316"/>
      <c r="X191" s="317"/>
      <c r="Y191" s="307">
        <v>-0.67</v>
      </c>
      <c r="Z191" s="308"/>
      <c r="AA191" s="307">
        <v>-0.51</v>
      </c>
      <c r="AB191" s="308"/>
      <c r="AC191" s="307">
        <v>-0.72</v>
      </c>
      <c r="AD191" s="68">
        <f t="shared" si="10"/>
        <v>-2.8599999999999994</v>
      </c>
    </row>
    <row r="192" spans="1:32" x14ac:dyDescent="0.25">
      <c r="A192" s="299">
        <v>188</v>
      </c>
      <c r="B192" s="321" t="s">
        <v>183</v>
      </c>
      <c r="I192" s="307"/>
      <c r="J192" s="308"/>
      <c r="M192" s="307"/>
      <c r="N192" s="308"/>
      <c r="O192" s="269">
        <v>-0.38</v>
      </c>
      <c r="Q192" s="269">
        <v>-0.45</v>
      </c>
      <c r="S192" s="307"/>
      <c r="T192" s="308"/>
      <c r="U192" s="269">
        <v>-0.48</v>
      </c>
      <c r="W192" s="316"/>
      <c r="X192" s="317"/>
      <c r="Y192" s="307">
        <v>-1.22</v>
      </c>
      <c r="Z192" s="308"/>
      <c r="AA192" s="307">
        <v>-0.94</v>
      </c>
      <c r="AB192" s="308"/>
      <c r="AC192" s="307"/>
      <c r="AD192" s="68">
        <f t="shared" si="10"/>
        <v>-3.47</v>
      </c>
    </row>
    <row r="193" spans="1:30" x14ac:dyDescent="0.25">
      <c r="A193" s="299">
        <v>189</v>
      </c>
      <c r="B193" s="229" t="s">
        <v>30</v>
      </c>
      <c r="G193" s="295">
        <f>SUM(G180:G192)</f>
        <v>110.31</v>
      </c>
      <c r="H193" s="295"/>
      <c r="I193" s="295">
        <f>SUM(I180:I192)</f>
        <v>64.459999999999994</v>
      </c>
      <c r="J193" s="295"/>
      <c r="K193" s="295">
        <f>SUM(K180:K192)</f>
        <v>60</v>
      </c>
      <c r="L193" s="295"/>
      <c r="M193" s="295">
        <f>SUM(M180:M192)</f>
        <v>60</v>
      </c>
      <c r="N193" s="295"/>
      <c r="O193" s="295">
        <f>SUM(O180:O192)</f>
        <v>151.29000000000002</v>
      </c>
      <c r="P193" s="295"/>
      <c r="Q193" s="295">
        <f>SUM(Q180:Q192)</f>
        <v>167.67999999999998</v>
      </c>
      <c r="R193" s="295"/>
      <c r="S193" s="295">
        <f>SUM(S180:S192)</f>
        <v>60</v>
      </c>
      <c r="T193" s="295"/>
      <c r="U193" s="295">
        <f>SUM(U180:U192)</f>
        <v>176.24000000000004</v>
      </c>
      <c r="V193" s="295"/>
      <c r="W193" s="295">
        <f>SUM(W180:W192)</f>
        <v>60</v>
      </c>
      <c r="X193" s="295"/>
      <c r="Y193" s="295">
        <f>SUM(Y180:Y192)</f>
        <v>353.08999999999992</v>
      </c>
      <c r="Z193" s="295"/>
      <c r="AA193" s="295">
        <f>SUM(AA180:AA192)</f>
        <v>286.06</v>
      </c>
      <c r="AB193" s="295"/>
      <c r="AC193" s="295">
        <f>SUM(AC180:AC192)</f>
        <v>433.68</v>
      </c>
      <c r="AD193" s="68">
        <f t="shared" si="10"/>
        <v>1982.81</v>
      </c>
    </row>
    <row r="194" spans="1:30" x14ac:dyDescent="0.25">
      <c r="A194" s="299">
        <v>190</v>
      </c>
      <c r="B194" s="229" t="s">
        <v>31</v>
      </c>
      <c r="F194" s="294"/>
      <c r="G194" s="311">
        <v>79</v>
      </c>
      <c r="H194" s="311"/>
      <c r="I194" s="311">
        <v>7</v>
      </c>
      <c r="J194" s="311"/>
      <c r="K194" s="294">
        <v>0</v>
      </c>
      <c r="L194" s="294"/>
      <c r="M194" s="311">
        <v>0</v>
      </c>
      <c r="N194" s="311"/>
      <c r="O194" s="291">
        <v>128</v>
      </c>
      <c r="Q194" s="291">
        <v>151</v>
      </c>
      <c r="S194" s="308">
        <v>0</v>
      </c>
      <c r="T194" s="308"/>
      <c r="U194" s="291">
        <v>163</v>
      </c>
      <c r="V194" s="294"/>
      <c r="W194" s="294"/>
      <c r="X194" s="294"/>
      <c r="Y194" s="291">
        <v>411</v>
      </c>
      <c r="Z194" s="294"/>
      <c r="AA194" s="291">
        <v>317</v>
      </c>
      <c r="AB194" s="294"/>
      <c r="AC194" s="291">
        <v>491</v>
      </c>
      <c r="AD194" s="47">
        <f t="shared" si="10"/>
        <v>1747</v>
      </c>
    </row>
    <row r="195" spans="1:30" x14ac:dyDescent="0.25">
      <c r="A195" s="299">
        <v>191</v>
      </c>
      <c r="B195" s="299" t="s">
        <v>32</v>
      </c>
      <c r="F195" s="294"/>
      <c r="G195" s="311"/>
      <c r="H195" s="311"/>
      <c r="I195" s="294"/>
      <c r="J195" s="294"/>
      <c r="K195" s="294"/>
      <c r="L195" s="294"/>
      <c r="M195" s="294"/>
      <c r="N195" s="294"/>
      <c r="O195" s="291"/>
      <c r="Q195" s="291"/>
      <c r="S195" s="291"/>
      <c r="U195" s="291"/>
      <c r="V195" s="294"/>
      <c r="W195" s="294"/>
      <c r="X195" s="294"/>
      <c r="Y195" s="291"/>
      <c r="Z195" s="294"/>
      <c r="AA195" s="291"/>
      <c r="AB195" s="294"/>
      <c r="AC195" s="291"/>
      <c r="AD195" s="47">
        <f t="shared" si="10"/>
        <v>0</v>
      </c>
    </row>
    <row r="196" spans="1:30" x14ac:dyDescent="0.25">
      <c r="A196" s="299">
        <v>192</v>
      </c>
      <c r="B196" s="299" t="s">
        <v>33</v>
      </c>
      <c r="F196" s="294"/>
      <c r="G196" s="311">
        <f>SUM(G194:G195)</f>
        <v>79</v>
      </c>
      <c r="H196" s="311"/>
      <c r="I196" s="311">
        <f>SUM(I194:I195)</f>
        <v>7</v>
      </c>
      <c r="J196" s="311"/>
      <c r="K196" s="311">
        <f>SUM(K194:K195)</f>
        <v>0</v>
      </c>
      <c r="L196" s="311"/>
      <c r="M196" s="311">
        <f>SUM(M194:M195)</f>
        <v>0</v>
      </c>
      <c r="N196" s="311"/>
      <c r="O196" s="308">
        <f>SUM(O194:O195)</f>
        <v>128</v>
      </c>
      <c r="P196" s="308"/>
      <c r="Q196" s="308">
        <f>SUM(Q194:Q195)</f>
        <v>151</v>
      </c>
      <c r="R196" s="308"/>
      <c r="S196" s="308">
        <f>SUM(S194:S195)</f>
        <v>0</v>
      </c>
      <c r="T196" s="308"/>
      <c r="U196" s="308">
        <f>SUM(U194:U195)</f>
        <v>163</v>
      </c>
      <c r="V196" s="311"/>
      <c r="W196" s="311">
        <f>SUM(W194:W195)</f>
        <v>0</v>
      </c>
      <c r="X196" s="311"/>
      <c r="Y196" s="308">
        <f>SUM(Y194:Y195)</f>
        <v>411</v>
      </c>
      <c r="Z196" s="311"/>
      <c r="AA196" s="308">
        <v>317</v>
      </c>
      <c r="AB196" s="311"/>
      <c r="AC196" s="308">
        <f>SUM(AC194:AC195)</f>
        <v>491</v>
      </c>
      <c r="AD196" s="47">
        <f t="shared" si="10"/>
        <v>1747</v>
      </c>
    </row>
    <row r="197" spans="1:30" x14ac:dyDescent="0.25">
      <c r="A197" s="299">
        <v>193</v>
      </c>
      <c r="B197" s="229"/>
      <c r="AD197" s="47"/>
    </row>
    <row r="198" spans="1:30" x14ac:dyDescent="0.25">
      <c r="A198" s="299">
        <v>194</v>
      </c>
      <c r="B198" s="314" t="s">
        <v>485</v>
      </c>
    </row>
    <row r="199" spans="1:30" x14ac:dyDescent="0.25">
      <c r="A199" s="299">
        <v>195</v>
      </c>
      <c r="B199" s="229" t="s">
        <v>9</v>
      </c>
      <c r="C199" s="269">
        <v>163</v>
      </c>
      <c r="D199" s="269"/>
      <c r="E199" s="269"/>
      <c r="F199" s="291">
        <f>G199/$C$199</f>
        <v>8</v>
      </c>
      <c r="G199" s="307">
        <v>1304</v>
      </c>
      <c r="H199" s="291">
        <f>I199/$C$199</f>
        <v>8</v>
      </c>
      <c r="I199" s="307">
        <v>1304</v>
      </c>
      <c r="J199" s="291">
        <f>K199/$C$199</f>
        <v>8</v>
      </c>
      <c r="K199" s="307">
        <v>1304</v>
      </c>
      <c r="L199" s="291">
        <f>M199/$C$199</f>
        <v>8</v>
      </c>
      <c r="M199" s="307">
        <v>1304</v>
      </c>
      <c r="N199" s="291">
        <f>O199/$C$199</f>
        <v>7</v>
      </c>
      <c r="O199" s="307">
        <v>1141</v>
      </c>
      <c r="P199" s="291">
        <f>Q199/$C$199</f>
        <v>7</v>
      </c>
      <c r="Q199" s="307">
        <v>1141</v>
      </c>
      <c r="R199" s="291">
        <f>S199/$C$199</f>
        <v>7</v>
      </c>
      <c r="S199" s="307">
        <v>1141</v>
      </c>
      <c r="T199" s="291">
        <f>U199/$C$199</f>
        <v>8</v>
      </c>
      <c r="U199" s="307">
        <v>1304</v>
      </c>
      <c r="V199" s="291">
        <f>W199/$C$199</f>
        <v>8</v>
      </c>
      <c r="W199" s="316">
        <v>1304</v>
      </c>
      <c r="X199" s="291">
        <f>Y199/$C$199</f>
        <v>8</v>
      </c>
      <c r="Y199" s="307">
        <v>1304</v>
      </c>
      <c r="Z199" s="291">
        <f>AA199/$C$199</f>
        <v>8</v>
      </c>
      <c r="AA199" s="307">
        <v>1304</v>
      </c>
      <c r="AB199" s="291">
        <f>AC199/$C$199</f>
        <v>8</v>
      </c>
      <c r="AC199" s="307">
        <v>1304</v>
      </c>
      <c r="AD199" s="68">
        <f>SUM(G199,I199,K199,M199,O199,Q199,S199,U199,W199,Y199,AA199,AC199)</f>
        <v>15159</v>
      </c>
    </row>
    <row r="200" spans="1:30" x14ac:dyDescent="0.25">
      <c r="A200" s="299">
        <v>196</v>
      </c>
      <c r="B200" s="229" t="s">
        <v>168</v>
      </c>
      <c r="C200" s="299">
        <v>7.8950000000000006E-2</v>
      </c>
      <c r="F200" s="291">
        <f>G200/$C$200</f>
        <v>121886.13046231792</v>
      </c>
      <c r="G200" s="307">
        <v>9622.91</v>
      </c>
      <c r="H200" s="291">
        <f>I200/$C$200</f>
        <v>121680.05066497781</v>
      </c>
      <c r="I200" s="307">
        <v>9606.64</v>
      </c>
      <c r="J200" s="291">
        <f>K200/$C$200</f>
        <v>123408.99303356554</v>
      </c>
      <c r="K200" s="307">
        <v>9743.14</v>
      </c>
      <c r="L200" s="291">
        <f>M200/$C$200</f>
        <v>118029.8923369221</v>
      </c>
      <c r="M200" s="307">
        <v>9318.4600000000009</v>
      </c>
      <c r="N200" s="291">
        <f>O200/$C$200</f>
        <v>102877.89740341988</v>
      </c>
      <c r="O200" s="307">
        <v>8122.21</v>
      </c>
      <c r="P200" s="291">
        <f>Q200/$C$200</f>
        <v>90281.950601646604</v>
      </c>
      <c r="Q200" s="307">
        <v>7127.76</v>
      </c>
      <c r="R200" s="291">
        <f>S200/$C$200</f>
        <v>80372.007599746677</v>
      </c>
      <c r="S200" s="307">
        <v>6345.3700000000008</v>
      </c>
      <c r="T200" s="291">
        <f>U200/$C$200</f>
        <v>99416.972767574407</v>
      </c>
      <c r="U200" s="307">
        <v>7848.97</v>
      </c>
      <c r="V200" s="291">
        <f>W200/$C$200</f>
        <v>76300.949968334389</v>
      </c>
      <c r="W200" s="316">
        <v>6023.96</v>
      </c>
      <c r="X200" s="291">
        <f>Y200/$C$200</f>
        <v>80596.960101329954</v>
      </c>
      <c r="Y200" s="307">
        <v>6363.13</v>
      </c>
      <c r="Z200" s="291">
        <f>AA200/$C$200</f>
        <v>134706.01646611778</v>
      </c>
      <c r="AA200" s="307">
        <v>10635.04</v>
      </c>
      <c r="AB200" s="291">
        <f>AC200/$C$200</f>
        <v>112878.91070297657</v>
      </c>
      <c r="AC200" s="307">
        <v>8911.7900000000009</v>
      </c>
      <c r="AD200" s="68">
        <f>SUM(G200,I200,K200,M200,O200,Q200,S200,U200,W200,Y200,AA200,AC200)</f>
        <v>99669.380000000034</v>
      </c>
    </row>
    <row r="201" spans="1:30" x14ac:dyDescent="0.25">
      <c r="A201" s="299">
        <v>197</v>
      </c>
      <c r="B201" s="229" t="s">
        <v>169</v>
      </c>
      <c r="C201" s="299">
        <v>2.248E-2</v>
      </c>
      <c r="F201" s="291">
        <f>G201/$C$201</f>
        <v>138595.64056939504</v>
      </c>
      <c r="G201" s="307">
        <v>3115.63</v>
      </c>
      <c r="H201" s="291">
        <f>I201/$C$201</f>
        <v>137130.78291814946</v>
      </c>
      <c r="I201" s="307">
        <v>3082.7</v>
      </c>
      <c r="J201" s="291">
        <f>K201/$C$201</f>
        <v>146774.91103202847</v>
      </c>
      <c r="K201" s="307">
        <v>3299.5</v>
      </c>
      <c r="L201" s="291">
        <f>M201/$C$201</f>
        <v>130114.76868327403</v>
      </c>
      <c r="M201" s="307">
        <v>2924.98</v>
      </c>
      <c r="N201" s="291">
        <f>O201/$C$201</f>
        <v>88588.967971530248</v>
      </c>
      <c r="O201" s="307">
        <v>1991.48</v>
      </c>
      <c r="P201" s="291">
        <f>Q201/$C$201</f>
        <v>51974.199288256234</v>
      </c>
      <c r="Q201" s="307">
        <v>1168.3800000000001</v>
      </c>
      <c r="R201" s="291">
        <f>S201/$C$201</f>
        <v>30615.213523131675</v>
      </c>
      <c r="S201" s="307">
        <v>688.23</v>
      </c>
      <c r="T201" s="291">
        <f>U201/$C$201</f>
        <v>20611.20996441281</v>
      </c>
      <c r="U201" s="307">
        <v>463.34</v>
      </c>
      <c r="V201" s="291">
        <f>W201/$C$201</f>
        <v>17325.177935943062</v>
      </c>
      <c r="W201" s="316">
        <v>389.47</v>
      </c>
      <c r="X201" s="291">
        <f>Y201/$C$201</f>
        <v>30845.195729537365</v>
      </c>
      <c r="Y201" s="307">
        <v>693.4</v>
      </c>
      <c r="Z201" s="291">
        <f>AA201/$C$201</f>
        <v>98114.32384341638</v>
      </c>
      <c r="AA201" s="307">
        <v>2205.61</v>
      </c>
      <c r="AB201" s="291">
        <f>AC201/$C$201</f>
        <v>117354.09252669038</v>
      </c>
      <c r="AC201" s="307">
        <v>2638.12</v>
      </c>
      <c r="AD201" s="68">
        <f>SUM(G201,I201,K201,M201,O201,Q201,S201,U201,W201,Y201,AA201,AC201)</f>
        <v>22660.84</v>
      </c>
    </row>
    <row r="202" spans="1:30" x14ac:dyDescent="0.25">
      <c r="A202" s="299">
        <v>198</v>
      </c>
      <c r="B202" s="229" t="s">
        <v>11</v>
      </c>
      <c r="G202" s="307">
        <v>105729.64</v>
      </c>
      <c r="I202" s="307">
        <v>105051.39</v>
      </c>
      <c r="K202" s="307">
        <v>109667.7</v>
      </c>
      <c r="M202" s="307">
        <v>100722.05</v>
      </c>
      <c r="O202" s="307">
        <v>77716.45</v>
      </c>
      <c r="Q202" s="307">
        <v>57741.719999999994</v>
      </c>
      <c r="S202" s="307">
        <v>45049.62</v>
      </c>
      <c r="U202" s="307">
        <v>48719.360000000001</v>
      </c>
      <c r="W202" s="316">
        <v>38002.790000000008</v>
      </c>
      <c r="Y202" s="307">
        <v>45234.310000000005</v>
      </c>
      <c r="AA202" s="307">
        <v>94501.64</v>
      </c>
      <c r="AC202" s="307">
        <v>94027.15</v>
      </c>
      <c r="AD202" s="68">
        <f>SUM(G202:AC202)</f>
        <v>922163.82000000007</v>
      </c>
    </row>
    <row r="203" spans="1:30" x14ac:dyDescent="0.25">
      <c r="A203" s="299">
        <v>199</v>
      </c>
      <c r="B203" s="299" t="s">
        <v>484</v>
      </c>
      <c r="G203" s="307"/>
      <c r="I203" s="307"/>
      <c r="K203" s="307"/>
      <c r="M203" s="307"/>
      <c r="O203" s="307">
        <v>14580.21</v>
      </c>
      <c r="Q203" s="307">
        <v>10832.800000000001</v>
      </c>
      <c r="S203" s="307">
        <v>8451.65</v>
      </c>
      <c r="U203" s="307">
        <v>9140.1299999999992</v>
      </c>
      <c r="W203" s="316">
        <v>7129.62</v>
      </c>
      <c r="Y203" s="307">
        <v>8486.32</v>
      </c>
      <c r="AA203" s="307">
        <v>17729.239999999998</v>
      </c>
      <c r="AC203" s="307">
        <v>31150.519999999997</v>
      </c>
      <c r="AD203" s="68">
        <f>SUM(G203:AC203)</f>
        <v>107500.48999999999</v>
      </c>
    </row>
    <row r="204" spans="1:30" x14ac:dyDescent="0.25">
      <c r="A204" s="299">
        <v>200</v>
      </c>
      <c r="B204" s="229" t="s">
        <v>115</v>
      </c>
      <c r="G204" s="307">
        <v>132.84</v>
      </c>
      <c r="H204" s="308"/>
      <c r="I204" s="307">
        <v>132</v>
      </c>
      <c r="J204" s="308"/>
      <c r="K204" s="307">
        <v>137.80000000000001</v>
      </c>
      <c r="L204" s="308"/>
      <c r="M204" s="307">
        <v>126.55</v>
      </c>
      <c r="N204" s="308"/>
      <c r="O204" s="307">
        <v>97.64</v>
      </c>
      <c r="P204" s="308"/>
      <c r="Q204" s="307">
        <v>72.540000000000006</v>
      </c>
      <c r="R204" s="308"/>
      <c r="S204" s="307">
        <v>56.599999999999994</v>
      </c>
      <c r="T204" s="308"/>
      <c r="U204" s="307">
        <v>61.22</v>
      </c>
      <c r="V204" s="308"/>
      <c r="W204" s="316">
        <v>47.76</v>
      </c>
      <c r="X204" s="317"/>
      <c r="Y204" s="307">
        <v>56.839999999999996</v>
      </c>
      <c r="Z204" s="308"/>
      <c r="AA204" s="307">
        <v>118.74</v>
      </c>
      <c r="AB204" s="308"/>
      <c r="AC204" s="307">
        <v>115.13</v>
      </c>
      <c r="AD204" s="68">
        <f t="shared" ref="AD204:AD217" si="11">SUM(G204:AC204)</f>
        <v>1155.6599999999999</v>
      </c>
    </row>
    <row r="205" spans="1:30" x14ac:dyDescent="0.25">
      <c r="A205" s="299">
        <v>201</v>
      </c>
      <c r="B205" s="229" t="s">
        <v>116</v>
      </c>
      <c r="G205" s="307">
        <v>885.64</v>
      </c>
      <c r="H205" s="308"/>
      <c r="I205" s="307">
        <v>879.96</v>
      </c>
      <c r="J205" s="308"/>
      <c r="K205" s="307">
        <v>918.63</v>
      </c>
      <c r="L205" s="308"/>
      <c r="M205" s="307">
        <v>843.7</v>
      </c>
      <c r="N205" s="308"/>
      <c r="O205" s="307">
        <v>650.99</v>
      </c>
      <c r="P205" s="308"/>
      <c r="Q205" s="307">
        <v>483.68</v>
      </c>
      <c r="R205" s="308"/>
      <c r="S205" s="307">
        <v>377.36</v>
      </c>
      <c r="T205" s="308"/>
      <c r="U205" s="307">
        <v>408.1</v>
      </c>
      <c r="V205" s="308"/>
      <c r="W205" s="316">
        <v>318.33</v>
      </c>
      <c r="X205" s="317"/>
      <c r="Y205" s="307">
        <v>378.89</v>
      </c>
      <c r="Z205" s="308"/>
      <c r="AA205" s="307">
        <v>791.58000000000015</v>
      </c>
      <c r="AB205" s="308"/>
      <c r="AC205" s="307">
        <v>1229.45</v>
      </c>
      <c r="AD205" s="68">
        <f t="shared" si="11"/>
        <v>8166.31</v>
      </c>
    </row>
    <row r="206" spans="1:30" x14ac:dyDescent="0.25">
      <c r="A206" s="299">
        <v>202</v>
      </c>
      <c r="B206" s="229" t="s">
        <v>117</v>
      </c>
      <c r="G206" s="307">
        <v>1956.23</v>
      </c>
      <c r="H206" s="308"/>
      <c r="I206" s="307">
        <v>1943.68</v>
      </c>
      <c r="J206" s="308"/>
      <c r="K206" s="307">
        <v>2029.09</v>
      </c>
      <c r="L206" s="308"/>
      <c r="M206" s="307">
        <v>1863.57</v>
      </c>
      <c r="N206" s="308"/>
      <c r="O206" s="307">
        <v>1437.91</v>
      </c>
      <c r="P206" s="308"/>
      <c r="Q206" s="307">
        <v>1068.3500000000001</v>
      </c>
      <c r="R206" s="308"/>
      <c r="S206" s="307">
        <v>833.51</v>
      </c>
      <c r="T206" s="308"/>
      <c r="U206" s="307">
        <v>901.4</v>
      </c>
      <c r="V206" s="308"/>
      <c r="W206" s="316">
        <v>703.14</v>
      </c>
      <c r="X206" s="317"/>
      <c r="Y206" s="307">
        <v>836.95</v>
      </c>
      <c r="Z206" s="308"/>
      <c r="AA206" s="307">
        <v>1748.48</v>
      </c>
      <c r="AB206" s="308"/>
      <c r="AC206" s="307">
        <v>4388.25</v>
      </c>
      <c r="AD206" s="68">
        <f t="shared" si="11"/>
        <v>19710.559999999998</v>
      </c>
    </row>
    <row r="207" spans="1:30" x14ac:dyDescent="0.25">
      <c r="A207" s="299">
        <v>203</v>
      </c>
      <c r="B207" s="229" t="s">
        <v>118</v>
      </c>
      <c r="G207" s="307">
        <v>2016.14</v>
      </c>
      <c r="H207" s="308"/>
      <c r="I207" s="307">
        <v>2003.2</v>
      </c>
      <c r="J207" s="308"/>
      <c r="K207" s="307">
        <v>2091.23</v>
      </c>
      <c r="L207" s="308"/>
      <c r="M207" s="307">
        <v>1920.65</v>
      </c>
      <c r="N207" s="308"/>
      <c r="O207" s="307">
        <v>1481.96</v>
      </c>
      <c r="P207" s="308"/>
      <c r="Q207" s="307">
        <v>1101.0600000000002</v>
      </c>
      <c r="R207" s="308"/>
      <c r="S207" s="307">
        <v>859.04000000000008</v>
      </c>
      <c r="T207" s="308"/>
      <c r="U207" s="307">
        <v>929.02</v>
      </c>
      <c r="V207" s="308"/>
      <c r="W207" s="316">
        <v>724.67999999999984</v>
      </c>
      <c r="X207" s="317"/>
      <c r="Y207" s="307">
        <v>862.57</v>
      </c>
      <c r="Z207" s="308"/>
      <c r="AA207" s="307">
        <v>1802.02</v>
      </c>
      <c r="AB207" s="308"/>
      <c r="AC207" s="307"/>
      <c r="AD207" s="68">
        <f t="shared" si="11"/>
        <v>15791.570000000002</v>
      </c>
    </row>
    <row r="208" spans="1:30" x14ac:dyDescent="0.25">
      <c r="A208" s="299">
        <v>204</v>
      </c>
      <c r="B208" s="229" t="s">
        <v>119</v>
      </c>
      <c r="G208" s="307">
        <v>7173.67</v>
      </c>
      <c r="H208" s="308"/>
      <c r="I208" s="307">
        <v>7127.66</v>
      </c>
      <c r="J208" s="308"/>
      <c r="K208" s="307">
        <v>7440.87</v>
      </c>
      <c r="L208" s="308"/>
      <c r="M208" s="307">
        <v>6833.92</v>
      </c>
      <c r="N208" s="308"/>
      <c r="O208" s="307">
        <v>5273</v>
      </c>
      <c r="P208" s="308"/>
      <c r="Q208" s="307">
        <v>3917.73</v>
      </c>
      <c r="R208" s="308"/>
      <c r="S208" s="307">
        <v>3056.58</v>
      </c>
      <c r="T208" s="308"/>
      <c r="U208" s="307">
        <v>3305.58</v>
      </c>
      <c r="V208" s="308"/>
      <c r="W208" s="316">
        <v>2578.46</v>
      </c>
      <c r="X208" s="317"/>
      <c r="Y208" s="307">
        <v>3069.11</v>
      </c>
      <c r="Z208" s="308"/>
      <c r="AA208" s="307">
        <v>6411.85</v>
      </c>
      <c r="AB208" s="308"/>
      <c r="AC208" s="307">
        <v>6055.12</v>
      </c>
      <c r="AD208" s="68">
        <f t="shared" si="11"/>
        <v>62243.55000000001</v>
      </c>
    </row>
    <row r="209" spans="1:30" x14ac:dyDescent="0.25">
      <c r="A209" s="299">
        <v>205</v>
      </c>
      <c r="B209" s="229" t="s">
        <v>181</v>
      </c>
      <c r="G209" s="307">
        <v>-276.11</v>
      </c>
      <c r="H209" s="308"/>
      <c r="I209" s="307">
        <v>-274.33</v>
      </c>
      <c r="J209" s="308"/>
      <c r="K209" s="307">
        <v>-286.40000000000003</v>
      </c>
      <c r="L209" s="308"/>
      <c r="M209" s="307">
        <v>-263.04000000000002</v>
      </c>
      <c r="N209" s="308"/>
      <c r="O209" s="307">
        <v>-202.96</v>
      </c>
      <c r="P209" s="308"/>
      <c r="Q209" s="307">
        <v>-150.79000000000002</v>
      </c>
      <c r="R209" s="308"/>
      <c r="S209" s="307">
        <v>-117.64999999999999</v>
      </c>
      <c r="T209" s="308"/>
      <c r="U209" s="307">
        <v>-127.22999999999999</v>
      </c>
      <c r="V209" s="308"/>
      <c r="W209" s="269">
        <v>-99.24</v>
      </c>
      <c r="Y209" s="307">
        <v>-118.11999999999999</v>
      </c>
      <c r="Z209" s="308"/>
      <c r="AA209" s="307">
        <v>-246.77999999999997</v>
      </c>
      <c r="AB209" s="308"/>
      <c r="AC209" s="307">
        <v>-273.99</v>
      </c>
      <c r="AD209" s="68">
        <f t="shared" si="11"/>
        <v>-2436.6400000000003</v>
      </c>
    </row>
    <row r="210" spans="1:30" x14ac:dyDescent="0.25">
      <c r="A210" s="299">
        <v>206</v>
      </c>
      <c r="B210" s="229" t="s">
        <v>182</v>
      </c>
      <c r="G210" s="307">
        <v>-127.65</v>
      </c>
      <c r="H210" s="308"/>
      <c r="I210" s="307">
        <v>-126.82</v>
      </c>
      <c r="J210" s="308"/>
      <c r="K210" s="307">
        <v>-132.39000000000001</v>
      </c>
      <c r="L210" s="308"/>
      <c r="M210" s="307">
        <v>-121.59</v>
      </c>
      <c r="N210" s="308"/>
      <c r="O210" s="307">
        <v>-93.83</v>
      </c>
      <c r="P210" s="308"/>
      <c r="Q210" s="307">
        <v>-69.710000000000008</v>
      </c>
      <c r="R210" s="308"/>
      <c r="S210" s="307">
        <v>-54.379999999999995</v>
      </c>
      <c r="T210" s="308"/>
      <c r="U210" s="307">
        <v>-58.809999999999995</v>
      </c>
      <c r="V210" s="308"/>
      <c r="W210" s="269">
        <v>-45.879999999999995</v>
      </c>
      <c r="Y210" s="307">
        <v>-54.61</v>
      </c>
      <c r="Z210" s="308"/>
      <c r="AA210" s="307">
        <v>-114.09</v>
      </c>
      <c r="AB210" s="308"/>
      <c r="AC210" s="307">
        <v>-101.53</v>
      </c>
      <c r="AD210" s="68">
        <f t="shared" si="11"/>
        <v>-1101.2900000000002</v>
      </c>
    </row>
    <row r="211" spans="1:30" x14ac:dyDescent="0.25">
      <c r="A211" s="299">
        <v>207</v>
      </c>
      <c r="B211" s="229" t="s">
        <v>183</v>
      </c>
      <c r="G211" s="307">
        <v>-234.45</v>
      </c>
      <c r="H211" s="308"/>
      <c r="I211" s="307">
        <v>-232.93</v>
      </c>
      <c r="J211" s="308"/>
      <c r="K211" s="307">
        <v>-243.16</v>
      </c>
      <c r="L211" s="308"/>
      <c r="M211" s="307">
        <v>-223.33</v>
      </c>
      <c r="N211" s="308"/>
      <c r="O211" s="307">
        <v>-172.32</v>
      </c>
      <c r="P211" s="308"/>
      <c r="Q211" s="307">
        <v>-128.03</v>
      </c>
      <c r="R211" s="308"/>
      <c r="S211" s="307">
        <v>-99.88</v>
      </c>
      <c r="T211" s="308"/>
      <c r="U211" s="307">
        <v>-108.03</v>
      </c>
      <c r="V211" s="308"/>
      <c r="W211" s="269">
        <v>-84.26</v>
      </c>
      <c r="Y211" s="307">
        <v>-100.29</v>
      </c>
      <c r="Z211" s="308"/>
      <c r="AA211" s="307">
        <v>-209.53</v>
      </c>
      <c r="AB211" s="308"/>
      <c r="AC211" s="307"/>
      <c r="AD211" s="68">
        <f t="shared" si="11"/>
        <v>-1836.2099999999998</v>
      </c>
    </row>
    <row r="212" spans="1:30" x14ac:dyDescent="0.25">
      <c r="A212" s="299">
        <v>208</v>
      </c>
      <c r="B212" s="229" t="s">
        <v>120</v>
      </c>
      <c r="G212" s="307">
        <v>2149.25</v>
      </c>
      <c r="H212" s="308"/>
      <c r="I212" s="307">
        <v>2139.69</v>
      </c>
      <c r="J212" s="308"/>
      <c r="K212" s="307">
        <v>2181.2600000000002</v>
      </c>
      <c r="L212" s="308"/>
      <c r="M212" s="307">
        <v>1981.91</v>
      </c>
      <c r="N212" s="308"/>
      <c r="O212" s="307">
        <v>1594.23</v>
      </c>
      <c r="P212" s="308"/>
      <c r="Q212" s="307">
        <v>1129.55</v>
      </c>
      <c r="R212" s="308"/>
      <c r="S212" s="307">
        <v>871.71</v>
      </c>
      <c r="T212" s="308"/>
      <c r="U212" s="307">
        <v>843.99999999999989</v>
      </c>
      <c r="V212" s="308"/>
      <c r="W212" s="269">
        <v>766.49999999999989</v>
      </c>
      <c r="Y212" s="307">
        <v>904.42000000000007</v>
      </c>
      <c r="Z212" s="308"/>
      <c r="AA212" s="307">
        <v>1759.88</v>
      </c>
      <c r="AB212" s="308"/>
      <c r="AC212" s="307">
        <v>2231.79</v>
      </c>
      <c r="AD212" s="68">
        <f t="shared" si="11"/>
        <v>18554.189999999999</v>
      </c>
    </row>
    <row r="213" spans="1:30" x14ac:dyDescent="0.25">
      <c r="A213" s="299">
        <v>209</v>
      </c>
      <c r="B213" s="226" t="s">
        <v>124</v>
      </c>
      <c r="G213" s="307">
        <v>4.8899999999999997</v>
      </c>
      <c r="H213" s="308"/>
      <c r="I213" s="307">
        <v>4.8899999999999997</v>
      </c>
      <c r="J213" s="308"/>
      <c r="K213" s="307">
        <v>4.8899999999999997</v>
      </c>
      <c r="L213" s="308"/>
      <c r="M213" s="307">
        <v>4.8899999999999997</v>
      </c>
      <c r="N213" s="308"/>
      <c r="O213" s="299"/>
      <c r="P213" s="308"/>
      <c r="Q213" s="307"/>
      <c r="R213" s="308"/>
      <c r="S213" s="307"/>
      <c r="T213" s="308"/>
      <c r="U213" s="307">
        <v>404.41</v>
      </c>
      <c r="V213" s="308"/>
      <c r="W213" s="269">
        <v>45.98</v>
      </c>
      <c r="Y213" s="307">
        <v>4.8899999999999997</v>
      </c>
      <c r="Z213" s="308"/>
      <c r="AA213" s="307">
        <v>509.09</v>
      </c>
      <c r="AB213" s="308"/>
      <c r="AC213" s="307">
        <v>4.8899999999999997</v>
      </c>
      <c r="AD213" s="68">
        <f t="shared" si="11"/>
        <v>988.82</v>
      </c>
    </row>
    <row r="214" spans="1:30" x14ac:dyDescent="0.25">
      <c r="A214" s="299">
        <v>210</v>
      </c>
      <c r="B214" s="229" t="s">
        <v>30</v>
      </c>
      <c r="G214" s="307">
        <f>SUM(G199:G213)</f>
        <v>133452.63</v>
      </c>
      <c r="H214" s="307"/>
      <c r="I214" s="307">
        <f>SUM(I199:I213)</f>
        <v>132641.72999999998</v>
      </c>
      <c r="J214" s="307"/>
      <c r="K214" s="307">
        <f>SUM(K199:K213)</f>
        <v>138156.16</v>
      </c>
      <c r="L214" s="307"/>
      <c r="M214" s="307">
        <f>SUM(M199:M213)</f>
        <v>127236.72000000002</v>
      </c>
      <c r="N214" s="307"/>
      <c r="O214" s="307">
        <f>SUM(O199:O212)</f>
        <v>113617.97</v>
      </c>
      <c r="P214" s="307"/>
      <c r="Q214" s="307">
        <f>SUM(Q199:Q213)</f>
        <v>85436.039999999979</v>
      </c>
      <c r="R214" s="307"/>
      <c r="S214" s="307">
        <f>SUM(S199:S213)</f>
        <v>67458.760000000009</v>
      </c>
      <c r="T214" s="307"/>
      <c r="U214" s="307">
        <f>SUM(U199:U213)</f>
        <v>74035.460000000021</v>
      </c>
      <c r="V214" s="307"/>
      <c r="W214" s="307">
        <f>SUM(W199:W213)</f>
        <v>57805.310000000019</v>
      </c>
      <c r="X214" s="307"/>
      <c r="Y214" s="307">
        <f>SUM(Y199:Y213)</f>
        <v>67921.81</v>
      </c>
      <c r="Z214" s="307"/>
      <c r="AA214" s="307">
        <f>SUM(AA199:AA213)</f>
        <v>138946.77000000002</v>
      </c>
      <c r="AB214" s="307"/>
      <c r="AC214" s="307">
        <f>SUM(AC199:AC213)</f>
        <v>151680.69000000003</v>
      </c>
      <c r="AD214" s="68">
        <f t="shared" si="11"/>
        <v>1288390.05</v>
      </c>
    </row>
    <row r="215" spans="1:30" x14ac:dyDescent="0.25">
      <c r="A215" s="299">
        <v>211</v>
      </c>
      <c r="B215" s="229" t="s">
        <v>31</v>
      </c>
      <c r="C215" s="294"/>
      <c r="D215" s="294"/>
      <c r="E215" s="294"/>
      <c r="F215" s="294"/>
      <c r="G215" s="324">
        <v>260482</v>
      </c>
      <c r="H215" s="308"/>
      <c r="I215" s="324">
        <v>258811</v>
      </c>
      <c r="J215" s="308"/>
      <c r="K215" s="324">
        <v>270184</v>
      </c>
      <c r="L215" s="308"/>
      <c r="M215" s="308">
        <v>248145</v>
      </c>
      <c r="N215" s="308"/>
      <c r="O215" s="308">
        <v>191467</v>
      </c>
      <c r="P215" s="308"/>
      <c r="Q215" s="308">
        <v>142256</v>
      </c>
      <c r="R215" s="308"/>
      <c r="S215" s="308">
        <v>110987</v>
      </c>
      <c r="T215" s="308"/>
      <c r="U215" s="308">
        <v>120028</v>
      </c>
      <c r="V215" s="311"/>
      <c r="W215" s="291">
        <v>93626</v>
      </c>
      <c r="X215" s="294"/>
      <c r="Y215" s="308">
        <v>111442</v>
      </c>
      <c r="Z215" s="311"/>
      <c r="AA215" s="308">
        <v>232820</v>
      </c>
      <c r="AB215" s="311"/>
      <c r="AC215" s="308">
        <v>230233</v>
      </c>
      <c r="AD215" s="68">
        <f t="shared" si="11"/>
        <v>2270481</v>
      </c>
    </row>
    <row r="216" spans="1:30" x14ac:dyDescent="0.25">
      <c r="A216" s="299">
        <v>212</v>
      </c>
      <c r="B216" s="299" t="s">
        <v>32</v>
      </c>
      <c r="C216" s="294"/>
      <c r="D216" s="294"/>
      <c r="E216" s="294"/>
      <c r="F216" s="294"/>
      <c r="G216" s="291"/>
      <c r="I216" s="291"/>
      <c r="K216" s="291"/>
      <c r="M216" s="291"/>
      <c r="O216" s="291"/>
      <c r="Q216" s="291"/>
      <c r="S216" s="291"/>
      <c r="U216" s="291"/>
      <c r="V216" s="294"/>
      <c r="W216" s="291"/>
      <c r="X216" s="294"/>
      <c r="Y216" s="291"/>
      <c r="Z216" s="294"/>
      <c r="AA216" s="291"/>
      <c r="AB216" s="294"/>
      <c r="AC216" s="291"/>
      <c r="AD216" s="68">
        <f t="shared" si="11"/>
        <v>0</v>
      </c>
    </row>
    <row r="217" spans="1:30" x14ac:dyDescent="0.25">
      <c r="A217" s="299">
        <v>213</v>
      </c>
      <c r="B217" s="299" t="s">
        <v>33</v>
      </c>
      <c r="C217" s="294"/>
      <c r="D217" s="294"/>
      <c r="E217" s="294"/>
      <c r="F217" s="294"/>
      <c r="G217" s="308">
        <f>SUM(G215:G216)</f>
        <v>260482</v>
      </c>
      <c r="H217" s="308"/>
      <c r="I217" s="308">
        <f>SUM(I215:I216)</f>
        <v>258811</v>
      </c>
      <c r="J217" s="308"/>
      <c r="K217" s="308">
        <f>SUM(K215:K216)</f>
        <v>270184</v>
      </c>
      <c r="L217" s="308"/>
      <c r="M217" s="308">
        <f>SUM(M215:M216)</f>
        <v>248145</v>
      </c>
      <c r="N217" s="308"/>
      <c r="O217" s="308">
        <f>SUM(O215:O216)</f>
        <v>191467</v>
      </c>
      <c r="P217" s="308"/>
      <c r="Q217" s="308">
        <f>SUM(Q215:Q216)</f>
        <v>142256</v>
      </c>
      <c r="R217" s="308"/>
      <c r="S217" s="308">
        <f>SUM(S215:S216)</f>
        <v>110987</v>
      </c>
      <c r="T217" s="308"/>
      <c r="U217" s="308">
        <f>SUM(U215:U216)</f>
        <v>120028</v>
      </c>
      <c r="V217" s="311"/>
      <c r="W217" s="308">
        <f>SUM(W215:W216)</f>
        <v>93626</v>
      </c>
      <c r="X217" s="311"/>
      <c r="Y217" s="308">
        <f>SUM(Y215:Y216)</f>
        <v>111442</v>
      </c>
      <c r="Z217" s="311"/>
      <c r="AA217" s="308">
        <f>SUM(AA215:AA216)</f>
        <v>232820</v>
      </c>
      <c r="AB217" s="311"/>
      <c r="AC217" s="308">
        <f>SUM(AC215:AC216)</f>
        <v>230233</v>
      </c>
      <c r="AD217" s="68">
        <f t="shared" si="11"/>
        <v>2270481</v>
      </c>
    </row>
    <row r="218" spans="1:30" x14ac:dyDescent="0.25">
      <c r="A218" s="299">
        <v>214</v>
      </c>
      <c r="B218" s="226"/>
    </row>
    <row r="219" spans="1:30" x14ac:dyDescent="0.25">
      <c r="A219" s="299">
        <v>215</v>
      </c>
      <c r="B219" s="313" t="s">
        <v>131</v>
      </c>
    </row>
    <row r="220" spans="1:30" x14ac:dyDescent="0.25">
      <c r="A220" s="299">
        <v>216</v>
      </c>
      <c r="B220" s="229" t="s">
        <v>9</v>
      </c>
      <c r="C220" s="295">
        <v>625</v>
      </c>
      <c r="D220" s="295"/>
      <c r="E220" s="269"/>
      <c r="F220" s="291">
        <f>G220/$C$220</f>
        <v>186</v>
      </c>
      <c r="G220" s="307">
        <v>116250</v>
      </c>
      <c r="H220" s="291">
        <f>I220/$C$220</f>
        <v>186</v>
      </c>
      <c r="I220" s="307">
        <v>116250</v>
      </c>
      <c r="J220" s="291">
        <f>K220/$C$220</f>
        <v>185</v>
      </c>
      <c r="K220" s="307">
        <v>115625</v>
      </c>
      <c r="L220" s="291">
        <f>M220/$C$220</f>
        <v>185</v>
      </c>
      <c r="M220" s="307">
        <v>115625</v>
      </c>
      <c r="N220" s="291">
        <f>O220/$C$220</f>
        <v>187</v>
      </c>
      <c r="O220" s="307">
        <v>116875</v>
      </c>
      <c r="P220" s="291">
        <f>Q220/$C$220</f>
        <v>189</v>
      </c>
      <c r="Q220" s="307">
        <v>118125</v>
      </c>
      <c r="R220" s="291">
        <f>S220/$C$220</f>
        <v>188</v>
      </c>
      <c r="S220" s="307">
        <v>117500</v>
      </c>
      <c r="T220" s="291">
        <f>U220/$C$220</f>
        <v>188</v>
      </c>
      <c r="U220" s="307">
        <v>117500</v>
      </c>
      <c r="V220" s="291">
        <f>W220/$C$220</f>
        <v>187</v>
      </c>
      <c r="W220" s="316">
        <v>116875</v>
      </c>
      <c r="X220" s="291">
        <f>Y220/$C$220</f>
        <v>186</v>
      </c>
      <c r="Y220" s="307">
        <v>116250</v>
      </c>
      <c r="Z220" s="291">
        <f>AA220/$C$220</f>
        <v>179</v>
      </c>
      <c r="AA220" s="307">
        <v>111875</v>
      </c>
      <c r="AB220" s="667">
        <f>AC220/$C$220</f>
        <v>181</v>
      </c>
      <c r="AC220" s="307">
        <v>113125</v>
      </c>
      <c r="AD220" s="68">
        <f>SUM(G220,I220,K220,M220,O220,Q220,S220,U220,W220,Y220,AA220,AC220)</f>
        <v>1391875</v>
      </c>
    </row>
    <row r="221" spans="1:30" x14ac:dyDescent="0.25">
      <c r="A221" s="299">
        <v>217</v>
      </c>
      <c r="B221" s="229" t="s">
        <v>157</v>
      </c>
      <c r="C221" s="299">
        <f>'[2]Exh IDM-2 - Revenue Summary'!D346</f>
        <v>0.2</v>
      </c>
      <c r="F221" s="291">
        <f>G221/$C$221</f>
        <v>1511520</v>
      </c>
      <c r="G221" s="307">
        <v>302304</v>
      </c>
      <c r="H221" s="291">
        <f>I221/$C$221</f>
        <v>1511520</v>
      </c>
      <c r="I221" s="307">
        <v>302304</v>
      </c>
      <c r="J221" s="291">
        <f>K221/$C$221</f>
        <v>1506520</v>
      </c>
      <c r="K221" s="307">
        <v>301304</v>
      </c>
      <c r="L221" s="291">
        <f>M221/$C$221</f>
        <v>1506520</v>
      </c>
      <c r="M221" s="307">
        <v>301304</v>
      </c>
      <c r="N221" s="291">
        <f>O221/$C$221</f>
        <v>1508820</v>
      </c>
      <c r="O221" s="307">
        <v>301764</v>
      </c>
      <c r="P221" s="291">
        <f>Q221/$C$221</f>
        <v>1512320</v>
      </c>
      <c r="Q221" s="307">
        <v>302464</v>
      </c>
      <c r="R221" s="291">
        <f>S221/$C$221</f>
        <v>1509320</v>
      </c>
      <c r="S221" s="307">
        <v>301864</v>
      </c>
      <c r="T221" s="291">
        <f>U221/$C$221</f>
        <v>1509320</v>
      </c>
      <c r="U221" s="307">
        <v>301864</v>
      </c>
      <c r="V221" s="291">
        <f>W221/$C$221</f>
        <v>1500620</v>
      </c>
      <c r="W221" s="316">
        <v>300124</v>
      </c>
      <c r="X221" s="291">
        <f>Y221/$C$221</f>
        <v>1495620</v>
      </c>
      <c r="Y221" s="307">
        <v>299124</v>
      </c>
      <c r="Z221" s="291">
        <f>AA221/$C$221</f>
        <v>1399420</v>
      </c>
      <c r="AA221" s="307">
        <v>279884</v>
      </c>
      <c r="AB221" s="291">
        <f>AC221/$C$221</f>
        <v>1402620</v>
      </c>
      <c r="AC221" s="307">
        <v>280524</v>
      </c>
      <c r="AD221" s="68">
        <f t="shared" ref="AD221:AD226" si="12">SUM(G221,I221,K221,M221,O221,Q221,S221,U221,W221,Y221,AA221,AC221)</f>
        <v>3574828</v>
      </c>
    </row>
    <row r="222" spans="1:30" x14ac:dyDescent="0.25">
      <c r="A222" s="299">
        <v>218</v>
      </c>
      <c r="B222" s="229" t="s">
        <v>158</v>
      </c>
      <c r="C222" s="299">
        <f>'[2]Exh IDM-2 - Revenue Summary'!D348</f>
        <v>4.0000000000000002E-4</v>
      </c>
      <c r="F222" s="291">
        <f>G222/$C$222</f>
        <v>29346875</v>
      </c>
      <c r="G222" s="307">
        <v>11738.75</v>
      </c>
      <c r="H222" s="291">
        <f>I222/$C$222</f>
        <v>31076824.999999996</v>
      </c>
      <c r="I222" s="307">
        <v>12430.73</v>
      </c>
      <c r="J222" s="291">
        <f>K222/$C$222</f>
        <v>30225250</v>
      </c>
      <c r="K222" s="307">
        <v>12090.1</v>
      </c>
      <c r="L222" s="291">
        <f>M222/$C$222</f>
        <v>29437075</v>
      </c>
      <c r="M222" s="307">
        <v>11774.83</v>
      </c>
      <c r="N222" s="291">
        <f>O222/$C$222</f>
        <v>27861925</v>
      </c>
      <c r="O222" s="307">
        <v>11144.77</v>
      </c>
      <c r="P222" s="291">
        <f>Q222/$C$222</f>
        <v>29822949.999999996</v>
      </c>
      <c r="Q222" s="307">
        <v>11929.179999999998</v>
      </c>
      <c r="R222" s="291">
        <f>S222/$C$222</f>
        <v>27060275</v>
      </c>
      <c r="S222" s="307">
        <v>10824.11</v>
      </c>
      <c r="T222" s="291">
        <f>U222/$C$222</f>
        <v>26669274.999999996</v>
      </c>
      <c r="U222" s="307">
        <v>10667.71</v>
      </c>
      <c r="V222" s="291">
        <f>W222/$C$222</f>
        <v>28179200</v>
      </c>
      <c r="W222" s="316">
        <v>11271.68</v>
      </c>
      <c r="X222" s="291">
        <f>Y222/$C$222</f>
        <v>31905299.999999996</v>
      </c>
      <c r="Y222" s="307">
        <v>12762.119999999999</v>
      </c>
      <c r="Z222" s="291">
        <f>AA222/$C$222</f>
        <v>33622049.999999993</v>
      </c>
      <c r="AA222" s="307">
        <v>13448.819999999998</v>
      </c>
      <c r="AB222" s="291">
        <f>AC222/$C$222</f>
        <v>29817599.999999996</v>
      </c>
      <c r="AC222" s="307">
        <v>11927.039999999999</v>
      </c>
      <c r="AD222" s="68">
        <f t="shared" si="12"/>
        <v>142009.83999999997</v>
      </c>
    </row>
    <row r="223" spans="1:30" x14ac:dyDescent="0.25">
      <c r="A223" s="299">
        <v>219</v>
      </c>
      <c r="B223" s="229" t="s">
        <v>159</v>
      </c>
      <c r="C223" s="299">
        <v>5.3310000000000003E-2</v>
      </c>
      <c r="F223" s="291">
        <f>G223/$C$223</f>
        <v>7862115.3629712993</v>
      </c>
      <c r="G223" s="307">
        <v>419129.37</v>
      </c>
      <c r="H223" s="291">
        <f>I223/$C$223</f>
        <v>8453276.8711311202</v>
      </c>
      <c r="I223" s="307">
        <v>450644.19</v>
      </c>
      <c r="J223" s="291">
        <f>K223/$C$223</f>
        <v>8557635.9032076523</v>
      </c>
      <c r="K223" s="307">
        <v>456207.57</v>
      </c>
      <c r="L223" s="291">
        <f>M223/$C$223</f>
        <v>8253032.0765334833</v>
      </c>
      <c r="M223" s="307">
        <v>439969.14</v>
      </c>
      <c r="N223" s="291">
        <f>O223/$C$223</f>
        <v>7503525.792534234</v>
      </c>
      <c r="O223" s="307">
        <v>400012.96</v>
      </c>
      <c r="P223" s="291">
        <f>Q223/$C$223</f>
        <v>7181359.7824048027</v>
      </c>
      <c r="Q223" s="307">
        <v>382838.29000000004</v>
      </c>
      <c r="R223" s="291">
        <f>S223/$C$223</f>
        <v>7238910.3357718997</v>
      </c>
      <c r="S223" s="307">
        <v>385906.31</v>
      </c>
      <c r="T223" s="291">
        <f>U223/$C$223</f>
        <v>7149827.9872444198</v>
      </c>
      <c r="U223" s="307">
        <v>381157.33</v>
      </c>
      <c r="V223" s="291">
        <f>W223/$C$223</f>
        <v>7170331.4575126609</v>
      </c>
      <c r="W223" s="316">
        <v>382250.37</v>
      </c>
      <c r="X223" s="291">
        <f>Y223/$C$223</f>
        <v>8230819.9212155314</v>
      </c>
      <c r="Y223" s="307">
        <v>438785.01</v>
      </c>
      <c r="Z223" s="291">
        <f>AA223/$C$223</f>
        <v>8763705.8713187017</v>
      </c>
      <c r="AA223" s="307">
        <v>467193.16</v>
      </c>
      <c r="AB223" s="291">
        <f>AC223/$C$223</f>
        <v>7999591.071093603</v>
      </c>
      <c r="AC223" s="307">
        <v>426458.2</v>
      </c>
      <c r="AD223" s="68">
        <f t="shared" si="12"/>
        <v>5030551.9000000004</v>
      </c>
    </row>
    <row r="224" spans="1:30" x14ac:dyDescent="0.25">
      <c r="A224" s="299">
        <v>220</v>
      </c>
      <c r="B224" s="229" t="s">
        <v>127</v>
      </c>
      <c r="C224" s="299">
        <v>1.9449999999999999E-2</v>
      </c>
      <c r="F224" s="291">
        <f>G224/$C$224</f>
        <v>5476198.4575835476</v>
      </c>
      <c r="G224" s="307">
        <v>106512.06</v>
      </c>
      <c r="H224" s="291">
        <f>I224/$C$224</f>
        <v>5770126.992287918</v>
      </c>
      <c r="I224" s="307">
        <v>112228.97</v>
      </c>
      <c r="J224" s="291">
        <f>K224/$C$224</f>
        <v>5321246.7866323907</v>
      </c>
      <c r="K224" s="307">
        <v>103498.25</v>
      </c>
      <c r="L224" s="291">
        <f>M224/$C$224</f>
        <v>5312761.4395886892</v>
      </c>
      <c r="M224" s="307">
        <v>103333.21</v>
      </c>
      <c r="N224" s="291">
        <f>O224/$C$224</f>
        <v>5304661.1825192804</v>
      </c>
      <c r="O224" s="307">
        <v>103175.66</v>
      </c>
      <c r="P224" s="291">
        <f>Q224/$C$224</f>
        <v>5195831.3624678664</v>
      </c>
      <c r="Q224" s="307">
        <v>101058.92</v>
      </c>
      <c r="R224" s="291">
        <f>S224/$C$224</f>
        <v>6592056.5552699231</v>
      </c>
      <c r="S224" s="307">
        <v>128215.5</v>
      </c>
      <c r="T224" s="291">
        <f>U224/$C$224</f>
        <v>4648257.5835475586</v>
      </c>
      <c r="U224" s="307">
        <v>90408.61</v>
      </c>
      <c r="V224" s="291">
        <f>W224/$C$224</f>
        <v>4665568.6375321336</v>
      </c>
      <c r="W224" s="316">
        <v>90745.31</v>
      </c>
      <c r="X224" s="291">
        <f>Y224/$C$224</f>
        <v>5363985.6041131113</v>
      </c>
      <c r="Y224" s="307">
        <v>104329.52</v>
      </c>
      <c r="Z224" s="291">
        <f>AA224/$C$224</f>
        <v>6149301.2853470445</v>
      </c>
      <c r="AA224" s="307">
        <v>119603.91</v>
      </c>
      <c r="AB224" s="291">
        <f>AC224/$C$224</f>
        <v>4930934.7043701801</v>
      </c>
      <c r="AC224" s="307">
        <v>95906.68</v>
      </c>
      <c r="AD224" s="68">
        <f t="shared" si="12"/>
        <v>1259016.5999999999</v>
      </c>
    </row>
    <row r="225" spans="1:30" x14ac:dyDescent="0.25">
      <c r="A225" s="299">
        <v>221</v>
      </c>
      <c r="B225" s="229" t="s">
        <v>127</v>
      </c>
      <c r="C225" s="299">
        <v>1.1820000000000001E-2</v>
      </c>
      <c r="F225" s="291">
        <f>G225/$C$225</f>
        <v>2797255.4991539759</v>
      </c>
      <c r="G225" s="307">
        <v>33063.56</v>
      </c>
      <c r="H225" s="291">
        <f>I225/$C$225</f>
        <v>2945891.708967851</v>
      </c>
      <c r="I225" s="307">
        <v>34820.44</v>
      </c>
      <c r="J225" s="291">
        <f>K225/$C$225</f>
        <v>2863669.2047377327</v>
      </c>
      <c r="K225" s="307">
        <v>33848.57</v>
      </c>
      <c r="L225" s="291">
        <f>M225/$C$225</f>
        <v>2573247.8849407784</v>
      </c>
      <c r="M225" s="307">
        <v>30415.79</v>
      </c>
      <c r="N225" s="291">
        <f>O225/$C$225</f>
        <v>2547390.8629441625</v>
      </c>
      <c r="O225" s="307">
        <v>30110.16</v>
      </c>
      <c r="P225" s="291">
        <f>Q225/$C$225</f>
        <v>2762310.4906937391</v>
      </c>
      <c r="Q225" s="307">
        <v>32650.51</v>
      </c>
      <c r="R225" s="291">
        <f>S225/$C$225</f>
        <v>0</v>
      </c>
      <c r="S225" s="307"/>
      <c r="T225" s="291">
        <f>U225/$C$225</f>
        <v>2180871.4043993233</v>
      </c>
      <c r="U225" s="307">
        <v>25777.9</v>
      </c>
      <c r="V225" s="291">
        <f>W225/$C$225</f>
        <v>2310089.6785109979</v>
      </c>
      <c r="W225" s="316">
        <v>27305.26</v>
      </c>
      <c r="X225" s="291">
        <f>Y225/$C$225</f>
        <v>2455660.7445008457</v>
      </c>
      <c r="Y225" s="307">
        <v>29025.91</v>
      </c>
      <c r="Z225" s="291">
        <f>AA225/$C$225</f>
        <v>2629170.8967851098</v>
      </c>
      <c r="AA225" s="307">
        <v>31076.799999999999</v>
      </c>
      <c r="AB225" s="291">
        <f>AC225/$C$225</f>
        <v>2231098.9847715735</v>
      </c>
      <c r="AC225" s="307">
        <v>26371.59</v>
      </c>
      <c r="AD225" s="68">
        <f t="shared" si="12"/>
        <v>334466.49000000005</v>
      </c>
    </row>
    <row r="226" spans="1:30" x14ac:dyDescent="0.25">
      <c r="A226" s="299">
        <v>222</v>
      </c>
      <c r="B226" s="226" t="s">
        <v>128</v>
      </c>
      <c r="C226" s="299">
        <v>5.62E-3</v>
      </c>
      <c r="F226" s="291">
        <f>G226/$C$226</f>
        <v>13211284.697508896</v>
      </c>
      <c r="G226" s="307">
        <v>74247.42</v>
      </c>
      <c r="H226" s="291">
        <f>I226/$C$226</f>
        <v>13907637.010676157</v>
      </c>
      <c r="I226" s="307">
        <v>78160.92</v>
      </c>
      <c r="J226" s="291">
        <f>K226/$C$226</f>
        <v>13482677.935943061</v>
      </c>
      <c r="K226" s="307">
        <v>75772.650000000009</v>
      </c>
      <c r="L226" s="291">
        <f>M226/$C$226</f>
        <v>13298076.512455516</v>
      </c>
      <c r="M226" s="307">
        <v>74735.19</v>
      </c>
      <c r="N226" s="291">
        <f>O226/$C$226</f>
        <v>12506341.637010677</v>
      </c>
      <c r="O226" s="307">
        <v>70285.64</v>
      </c>
      <c r="P226" s="291">
        <f>Q226/$C$226</f>
        <v>14683366.548042705</v>
      </c>
      <c r="Q226" s="307">
        <v>82520.52</v>
      </c>
      <c r="R226" s="291">
        <f>S226/$C$226</f>
        <v>12263814.946619216</v>
      </c>
      <c r="S226" s="307">
        <v>68922.64</v>
      </c>
      <c r="T226" s="291">
        <f>U226/$C$226</f>
        <v>12690279.359430604</v>
      </c>
      <c r="U226" s="307">
        <v>71319.37</v>
      </c>
      <c r="V226" s="291">
        <f>W226/$C$226</f>
        <v>14033218.861209964</v>
      </c>
      <c r="W226" s="316">
        <v>78866.69</v>
      </c>
      <c r="X226" s="291">
        <f>Y226/$C$226</f>
        <v>15854873.665480427</v>
      </c>
      <c r="Y226" s="307">
        <v>89104.39</v>
      </c>
      <c r="Z226" s="291">
        <f>AA226/$C$226</f>
        <v>16079957.295373665</v>
      </c>
      <c r="AA226" s="307">
        <v>90369.36</v>
      </c>
      <c r="AB226" s="291">
        <f>AC226/$C$226</f>
        <v>14656001.77935943</v>
      </c>
      <c r="AC226" s="307">
        <v>82366.73</v>
      </c>
      <c r="AD226" s="68">
        <f t="shared" si="12"/>
        <v>936671.52</v>
      </c>
    </row>
    <row r="227" spans="1:30" x14ac:dyDescent="0.25">
      <c r="A227" s="299">
        <v>223</v>
      </c>
      <c r="B227" s="321" t="s">
        <v>181</v>
      </c>
      <c r="G227" s="297">
        <v>-18488.490000000002</v>
      </c>
      <c r="H227" s="296"/>
      <c r="I227" s="297">
        <v>-19578.41</v>
      </c>
      <c r="J227" s="296"/>
      <c r="K227" s="297">
        <v>-19041.900000000001</v>
      </c>
      <c r="L227" s="296"/>
      <c r="M227" s="297">
        <v>-18545.41</v>
      </c>
      <c r="N227" s="296"/>
      <c r="O227" s="297">
        <v>-17553.05</v>
      </c>
      <c r="P227" s="296"/>
      <c r="Q227" s="297">
        <v>-18788.41</v>
      </c>
      <c r="R227" s="296"/>
      <c r="S227" s="297">
        <v>-17047.929999999997</v>
      </c>
      <c r="U227" s="269">
        <v>-16801.620000000003</v>
      </c>
      <c r="W227" s="316">
        <v>-17752.87</v>
      </c>
      <c r="X227" s="317"/>
      <c r="Y227" s="307">
        <v>-20100.330000000002</v>
      </c>
      <c r="Z227" s="308"/>
      <c r="AA227" s="307">
        <v>-21181.899999999994</v>
      </c>
      <c r="AB227" s="308"/>
      <c r="AC227" s="307">
        <v>-21170.510000000002</v>
      </c>
      <c r="AD227" s="68">
        <f t="shared" ref="AD227:AD246" si="13">SUM(G227:AC227)</f>
        <v>-226050.83</v>
      </c>
    </row>
    <row r="228" spans="1:30" x14ac:dyDescent="0.25">
      <c r="A228" s="299">
        <v>224</v>
      </c>
      <c r="B228" s="321" t="s">
        <v>182</v>
      </c>
      <c r="G228" s="297">
        <v>-8510.57</v>
      </c>
      <c r="H228" s="296"/>
      <c r="I228" s="297">
        <v>-9012.31</v>
      </c>
      <c r="J228" s="296"/>
      <c r="K228" s="297">
        <v>-8765.34</v>
      </c>
      <c r="L228" s="296"/>
      <c r="M228" s="297">
        <v>-8536.75</v>
      </c>
      <c r="N228" s="296"/>
      <c r="O228" s="297">
        <v>-8079.95</v>
      </c>
      <c r="P228" s="296"/>
      <c r="Q228" s="297">
        <v>-8648.5999999999985</v>
      </c>
      <c r="R228" s="296"/>
      <c r="S228" s="297">
        <v>-7847.4</v>
      </c>
      <c r="U228" s="269">
        <v>-7734.0999999999995</v>
      </c>
      <c r="W228" s="316">
        <v>-8171.86</v>
      </c>
      <c r="X228" s="317"/>
      <c r="Y228" s="307">
        <v>-9252.5400000000009</v>
      </c>
      <c r="Z228" s="308"/>
      <c r="AA228" s="307">
        <v>-9750.4599999999991</v>
      </c>
      <c r="AB228" s="308"/>
      <c r="AC228" s="307">
        <v>-7782.4799999999987</v>
      </c>
      <c r="AD228" s="68">
        <f t="shared" si="13"/>
        <v>-102092.36</v>
      </c>
    </row>
    <row r="229" spans="1:30" x14ac:dyDescent="0.25">
      <c r="A229" s="299">
        <v>225</v>
      </c>
      <c r="B229" s="321" t="s">
        <v>183</v>
      </c>
      <c r="G229" s="297">
        <v>-15847.32</v>
      </c>
      <c r="H229" s="296"/>
      <c r="I229" s="297">
        <v>-16781.55</v>
      </c>
      <c r="J229" s="296"/>
      <c r="K229" s="297">
        <v>-16321.59</v>
      </c>
      <c r="L229" s="296"/>
      <c r="M229" s="297">
        <v>-15896.06</v>
      </c>
      <c r="N229" s="296"/>
      <c r="O229" s="297">
        <v>-15045.44</v>
      </c>
      <c r="P229" s="296"/>
      <c r="Q229" s="297">
        <v>-16104.38</v>
      </c>
      <c r="R229" s="296"/>
      <c r="S229" s="297">
        <v>-14612.5</v>
      </c>
      <c r="U229" s="269">
        <v>-14401.409999999998</v>
      </c>
      <c r="W229" s="316">
        <v>-15216.81</v>
      </c>
      <c r="X229" s="317"/>
      <c r="Y229" s="307">
        <v>-17228.910000000003</v>
      </c>
      <c r="Z229" s="308"/>
      <c r="AA229" s="307">
        <v>-18156.02</v>
      </c>
      <c r="AB229" s="308"/>
      <c r="AC229" s="307"/>
      <c r="AD229" s="68">
        <f t="shared" si="13"/>
        <v>-175611.99</v>
      </c>
    </row>
    <row r="230" spans="1:30" x14ac:dyDescent="0.25">
      <c r="A230" s="299">
        <v>226</v>
      </c>
      <c r="B230" s="226" t="s">
        <v>115</v>
      </c>
      <c r="G230" s="307">
        <v>9097.5</v>
      </c>
      <c r="H230" s="308"/>
      <c r="I230" s="307">
        <v>9633.84</v>
      </c>
      <c r="J230" s="308"/>
      <c r="K230" s="307">
        <v>9369.83</v>
      </c>
      <c r="L230" s="308"/>
      <c r="M230" s="307">
        <v>9125.3700000000008</v>
      </c>
      <c r="N230" s="308"/>
      <c r="O230" s="307">
        <v>8637.19</v>
      </c>
      <c r="P230" s="308"/>
      <c r="Q230" s="307">
        <v>9245.07</v>
      </c>
      <c r="R230" s="308"/>
      <c r="S230" s="307">
        <v>8388.69</v>
      </c>
      <c r="T230" s="308"/>
      <c r="U230" s="307">
        <v>8267.48</v>
      </c>
      <c r="V230" s="308"/>
      <c r="W230" s="316">
        <v>8735.5</v>
      </c>
      <c r="X230" s="317"/>
      <c r="Y230" s="307">
        <v>9890.66</v>
      </c>
      <c r="Z230" s="308"/>
      <c r="AA230" s="307">
        <v>10422.849999999999</v>
      </c>
      <c r="AB230" s="308"/>
      <c r="AC230" s="307">
        <v>8945.35</v>
      </c>
      <c r="AD230" s="68">
        <f t="shared" si="13"/>
        <v>109759.33000000002</v>
      </c>
    </row>
    <row r="231" spans="1:30" x14ac:dyDescent="0.25">
      <c r="A231" s="299">
        <v>227</v>
      </c>
      <c r="B231" s="226" t="s">
        <v>116</v>
      </c>
      <c r="G231" s="307">
        <v>50183.09</v>
      </c>
      <c r="H231" s="308"/>
      <c r="I231" s="307">
        <v>53141.57</v>
      </c>
      <c r="J231" s="308"/>
      <c r="K231" s="307">
        <v>51685.16</v>
      </c>
      <c r="L231" s="308"/>
      <c r="M231" s="307">
        <v>50337.49</v>
      </c>
      <c r="N231" s="308"/>
      <c r="O231" s="307">
        <v>47643.9</v>
      </c>
      <c r="P231" s="308"/>
      <c r="Q231" s="307">
        <v>50997.07</v>
      </c>
      <c r="R231" s="308"/>
      <c r="S231" s="307">
        <v>46272.92</v>
      </c>
      <c r="T231" s="308"/>
      <c r="U231" s="307">
        <v>45604.37</v>
      </c>
      <c r="V231" s="308"/>
      <c r="W231" s="316">
        <v>48186.43</v>
      </c>
      <c r="X231" s="317"/>
      <c r="Y231" s="307">
        <v>54558.14</v>
      </c>
      <c r="Z231" s="308"/>
      <c r="AA231" s="307">
        <v>57493.850000000006</v>
      </c>
      <c r="AB231" s="308"/>
      <c r="AC231" s="307">
        <v>51882.67</v>
      </c>
      <c r="AD231" s="68">
        <f t="shared" si="13"/>
        <v>607986.66</v>
      </c>
    </row>
    <row r="232" spans="1:30" x14ac:dyDescent="0.25">
      <c r="A232" s="299">
        <v>228</v>
      </c>
      <c r="B232" s="226" t="s">
        <v>266</v>
      </c>
      <c r="G232" s="307">
        <v>1250</v>
      </c>
      <c r="H232" s="308"/>
      <c r="I232" s="307">
        <v>1250</v>
      </c>
      <c r="J232" s="308"/>
      <c r="K232" s="307">
        <v>1250</v>
      </c>
      <c r="L232" s="308"/>
      <c r="M232" s="307">
        <v>1250</v>
      </c>
      <c r="N232" s="308"/>
      <c r="O232" s="307">
        <v>1250</v>
      </c>
      <c r="P232" s="308"/>
      <c r="Q232" s="307">
        <v>1750</v>
      </c>
      <c r="R232" s="308"/>
      <c r="S232" s="307">
        <v>1875</v>
      </c>
      <c r="T232" s="308"/>
      <c r="U232" s="307">
        <v>1875</v>
      </c>
      <c r="V232" s="308"/>
      <c r="W232" s="316">
        <v>1875</v>
      </c>
      <c r="X232" s="317"/>
      <c r="Y232" s="307">
        <v>1875</v>
      </c>
      <c r="Z232" s="308"/>
      <c r="AA232" s="307">
        <v>1875</v>
      </c>
      <c r="AB232" s="308"/>
      <c r="AC232" s="307">
        <v>1875</v>
      </c>
      <c r="AD232" s="68">
        <f t="shared" si="13"/>
        <v>19250</v>
      </c>
    </row>
    <row r="233" spans="1:30" x14ac:dyDescent="0.25">
      <c r="A233" s="299">
        <v>229</v>
      </c>
      <c r="B233" s="226" t="s">
        <v>266</v>
      </c>
      <c r="G233" s="307">
        <v>500</v>
      </c>
      <c r="H233" s="308"/>
      <c r="I233" s="307">
        <v>500</v>
      </c>
      <c r="J233" s="308"/>
      <c r="K233" s="307">
        <v>500</v>
      </c>
      <c r="L233" s="308"/>
      <c r="M233" s="307">
        <v>500</v>
      </c>
      <c r="N233" s="308"/>
      <c r="O233" s="307">
        <v>500</v>
      </c>
      <c r="P233" s="308"/>
      <c r="R233" s="308"/>
      <c r="S233" s="307">
        <v>0</v>
      </c>
      <c r="T233" s="308"/>
      <c r="U233" s="307">
        <v>0</v>
      </c>
      <c r="V233" s="308"/>
      <c r="W233" s="316"/>
      <c r="X233" s="317"/>
      <c r="Y233" s="307"/>
      <c r="Z233" s="308"/>
      <c r="AA233" s="307"/>
      <c r="AB233" s="308"/>
      <c r="AC233" s="307"/>
      <c r="AD233" s="68">
        <f t="shared" si="13"/>
        <v>2500</v>
      </c>
    </row>
    <row r="234" spans="1:30" x14ac:dyDescent="0.25">
      <c r="A234" s="299">
        <v>230</v>
      </c>
      <c r="B234" s="226" t="s">
        <v>20</v>
      </c>
      <c r="G234" s="307">
        <v>47189.87</v>
      </c>
      <c r="H234" s="308"/>
      <c r="I234" s="307">
        <v>49121.58</v>
      </c>
      <c r="J234" s="308"/>
      <c r="K234" s="307">
        <v>48745.17</v>
      </c>
      <c r="L234" s="308"/>
      <c r="M234" s="307">
        <v>47806.36</v>
      </c>
      <c r="N234" s="308"/>
      <c r="O234" s="307">
        <v>45866.14</v>
      </c>
      <c r="P234" s="308"/>
      <c r="Q234" s="307">
        <v>45787.14</v>
      </c>
      <c r="R234" s="308"/>
      <c r="S234" s="307">
        <v>44979.43</v>
      </c>
      <c r="T234" s="308"/>
      <c r="U234" s="307">
        <v>44335.180000000008</v>
      </c>
      <c r="V234" s="308"/>
      <c r="W234" s="269">
        <v>44722.64</v>
      </c>
      <c r="Y234" s="307">
        <v>48353.61</v>
      </c>
      <c r="Z234" s="308"/>
      <c r="AA234" s="307">
        <v>49420.060000000005</v>
      </c>
      <c r="AB234" s="308"/>
      <c r="AC234" s="307">
        <v>46018.32</v>
      </c>
      <c r="AD234" s="68">
        <f t="shared" si="13"/>
        <v>562345.5</v>
      </c>
    </row>
    <row r="235" spans="1:30" x14ac:dyDescent="0.25">
      <c r="A235" s="299">
        <v>231</v>
      </c>
      <c r="B235" s="226" t="s">
        <v>120</v>
      </c>
      <c r="G235" s="307">
        <v>34144.520000000004</v>
      </c>
      <c r="H235" s="308"/>
      <c r="I235" s="307">
        <v>35729.840000000004</v>
      </c>
      <c r="J235" s="308"/>
      <c r="K235" s="307">
        <v>35310.480000000003</v>
      </c>
      <c r="L235" s="308"/>
      <c r="M235" s="307">
        <v>34677.68</v>
      </c>
      <c r="N235" s="308"/>
      <c r="O235" s="307">
        <v>31643.9</v>
      </c>
      <c r="P235" s="308"/>
      <c r="Q235" s="307">
        <v>31473.71</v>
      </c>
      <c r="R235" s="308"/>
      <c r="S235" s="307">
        <v>31492.310000000005</v>
      </c>
      <c r="T235" s="308"/>
      <c r="U235" s="307">
        <v>32294.77</v>
      </c>
      <c r="V235" s="308"/>
      <c r="W235" s="269">
        <v>33382.080000000002</v>
      </c>
      <c r="Y235" s="307">
        <v>35899.18</v>
      </c>
      <c r="Z235" s="308"/>
      <c r="AA235" s="307">
        <v>38109.590000000004</v>
      </c>
      <c r="AB235" s="308"/>
      <c r="AC235" s="307">
        <v>34238.339999999997</v>
      </c>
      <c r="AD235" s="68">
        <f t="shared" si="13"/>
        <v>408396.4</v>
      </c>
    </row>
    <row r="236" spans="1:30" x14ac:dyDescent="0.25">
      <c r="A236" s="299">
        <v>232</v>
      </c>
      <c r="B236" s="229" t="s">
        <v>125</v>
      </c>
      <c r="G236" s="307">
        <v>98.47</v>
      </c>
      <c r="H236" s="308"/>
      <c r="I236" s="307">
        <v>112.52</v>
      </c>
      <c r="J236" s="308"/>
      <c r="K236" s="307">
        <v>118.7</v>
      </c>
      <c r="L236" s="308"/>
      <c r="M236" s="307">
        <v>88.25</v>
      </c>
      <c r="N236" s="308"/>
      <c r="O236" s="307">
        <v>91.67</v>
      </c>
      <c r="P236" s="308"/>
      <c r="Q236" s="307">
        <v>114.07000000000001</v>
      </c>
      <c r="R236" s="308"/>
      <c r="S236" s="307">
        <v>90.36999999999999</v>
      </c>
      <c r="T236" s="308"/>
      <c r="U236" s="307"/>
      <c r="V236" s="308"/>
      <c r="Y236" s="307"/>
      <c r="Z236" s="308"/>
      <c r="AA236" s="307"/>
      <c r="AB236" s="308"/>
      <c r="AC236" s="307"/>
      <c r="AD236" s="68">
        <f t="shared" si="13"/>
        <v>714.05000000000007</v>
      </c>
    </row>
    <row r="237" spans="1:30" x14ac:dyDescent="0.25">
      <c r="A237" s="299">
        <v>233</v>
      </c>
      <c r="B237" s="325" t="s">
        <v>126</v>
      </c>
      <c r="G237" s="307">
        <v>728.39</v>
      </c>
      <c r="H237" s="308"/>
      <c r="I237" s="269">
        <v>2676.24</v>
      </c>
      <c r="K237" s="269">
        <v>2553.2200000000003</v>
      </c>
      <c r="M237" s="307">
        <v>60</v>
      </c>
      <c r="N237" s="308"/>
      <c r="O237" s="307">
        <v>60</v>
      </c>
      <c r="P237" s="308"/>
      <c r="Q237" s="307">
        <v>60</v>
      </c>
      <c r="R237" s="308"/>
      <c r="S237" s="307">
        <v>60</v>
      </c>
      <c r="T237" s="308"/>
      <c r="U237" s="307"/>
      <c r="V237" s="308"/>
      <c r="Y237" s="307"/>
      <c r="Z237" s="308"/>
      <c r="AA237" s="307"/>
      <c r="AB237" s="308"/>
      <c r="AC237" s="307"/>
      <c r="AD237" s="68">
        <f t="shared" si="13"/>
        <v>6197.85</v>
      </c>
    </row>
    <row r="238" spans="1:30" x14ac:dyDescent="0.25">
      <c r="A238" s="299">
        <v>234</v>
      </c>
      <c r="B238" s="229" t="s">
        <v>122</v>
      </c>
      <c r="G238" s="307">
        <v>81.180000000000007</v>
      </c>
      <c r="H238" s="308"/>
      <c r="I238" s="307">
        <v>103.43</v>
      </c>
      <c r="J238" s="308"/>
      <c r="K238" s="307">
        <v>103.3</v>
      </c>
      <c r="L238" s="308"/>
      <c r="M238" s="307">
        <v>2335.15</v>
      </c>
      <c r="N238" s="308"/>
      <c r="O238" s="307">
        <v>773.95</v>
      </c>
      <c r="P238" s="308"/>
      <c r="Q238" s="307">
        <v>1065.1600000000001</v>
      </c>
      <c r="R238" s="308"/>
      <c r="S238" s="307">
        <v>1140.77</v>
      </c>
      <c r="T238" s="308"/>
      <c r="U238" s="307"/>
      <c r="V238" s="308"/>
      <c r="Y238" s="307"/>
      <c r="Z238" s="308"/>
      <c r="AA238" s="307"/>
      <c r="AB238" s="308"/>
      <c r="AC238" s="307"/>
      <c r="AD238" s="68">
        <f t="shared" si="13"/>
        <v>5602.9400000000005</v>
      </c>
    </row>
    <row r="239" spans="1:30" x14ac:dyDescent="0.25">
      <c r="A239" s="299">
        <v>235</v>
      </c>
      <c r="B239" s="229" t="s">
        <v>121</v>
      </c>
      <c r="G239" s="307">
        <v>-121.68</v>
      </c>
      <c r="H239" s="308"/>
      <c r="I239" s="307">
        <v>-123.31</v>
      </c>
      <c r="J239" s="308"/>
      <c r="K239" s="307">
        <v>-119.17</v>
      </c>
      <c r="L239" s="308"/>
      <c r="M239" s="307">
        <v>102.84</v>
      </c>
      <c r="N239" s="308"/>
      <c r="O239" s="307">
        <v>97.25</v>
      </c>
      <c r="P239" s="308"/>
      <c r="Q239" s="307">
        <v>98.51</v>
      </c>
      <c r="R239" s="308"/>
      <c r="S239" s="307">
        <v>95.69</v>
      </c>
      <c r="T239" s="308"/>
      <c r="U239" s="307"/>
      <c r="V239" s="308"/>
      <c r="Y239" s="307"/>
      <c r="Z239" s="308"/>
      <c r="AA239" s="307"/>
      <c r="AB239" s="308"/>
      <c r="AC239" s="307"/>
      <c r="AD239" s="68">
        <f t="shared" si="13"/>
        <v>30.129999999999953</v>
      </c>
    </row>
    <row r="240" spans="1:30" x14ac:dyDescent="0.25">
      <c r="A240" s="299">
        <v>236</v>
      </c>
      <c r="B240" s="229" t="s">
        <v>123</v>
      </c>
      <c r="G240" s="307">
        <v>708</v>
      </c>
      <c r="H240" s="308"/>
      <c r="I240" s="307">
        <v>721.19</v>
      </c>
      <c r="J240" s="308"/>
      <c r="K240" s="307">
        <v>554.18000000000006</v>
      </c>
      <c r="L240" s="308"/>
      <c r="M240" s="307">
        <v>-119.99</v>
      </c>
      <c r="N240" s="308"/>
      <c r="O240" s="307">
        <v>-120.16</v>
      </c>
      <c r="P240" s="308"/>
      <c r="Q240" s="307">
        <v>-118.48</v>
      </c>
      <c r="R240" s="308"/>
      <c r="S240" s="307">
        <v>-111.94</v>
      </c>
      <c r="T240" s="308"/>
      <c r="U240" s="307">
        <v>-117.86</v>
      </c>
      <c r="V240" s="308"/>
      <c r="W240" s="269">
        <v>-119.86</v>
      </c>
      <c r="Y240" s="307">
        <v>-118</v>
      </c>
      <c r="Z240" s="308"/>
      <c r="AA240" s="307">
        <v>-127.87</v>
      </c>
      <c r="AB240" s="308"/>
      <c r="AC240" s="307">
        <v>-124.88999999999999</v>
      </c>
      <c r="AD240" s="68">
        <f t="shared" si="13"/>
        <v>904.32</v>
      </c>
    </row>
    <row r="241" spans="1:31" x14ac:dyDescent="0.25">
      <c r="A241" s="299">
        <v>237</v>
      </c>
      <c r="B241" s="229" t="s">
        <v>124</v>
      </c>
      <c r="G241" s="307"/>
      <c r="H241" s="308"/>
      <c r="I241" s="307"/>
      <c r="J241" s="308"/>
      <c r="K241" s="307"/>
      <c r="L241" s="308"/>
      <c r="M241" s="307">
        <v>670.49</v>
      </c>
      <c r="N241" s="308"/>
      <c r="O241" s="307">
        <v>645.11</v>
      </c>
      <c r="P241" s="308"/>
      <c r="Q241" s="307">
        <v>563.55999999999995</v>
      </c>
      <c r="R241" s="308"/>
      <c r="S241" s="307">
        <v>639.61</v>
      </c>
      <c r="T241" s="308"/>
      <c r="U241" s="307">
        <v>763.58999999999992</v>
      </c>
      <c r="V241" s="308"/>
      <c r="W241" s="269">
        <v>843.05</v>
      </c>
      <c r="Y241" s="307">
        <v>905.88</v>
      </c>
      <c r="Z241" s="308"/>
      <c r="AA241" s="307">
        <v>775.78</v>
      </c>
      <c r="AB241" s="308"/>
      <c r="AC241" s="307">
        <v>715.5</v>
      </c>
      <c r="AD241" s="68">
        <f t="shared" si="13"/>
        <v>6522.57</v>
      </c>
    </row>
    <row r="242" spans="1:31" x14ac:dyDescent="0.25">
      <c r="A242" s="299">
        <v>238</v>
      </c>
      <c r="B242" s="229" t="s">
        <v>29</v>
      </c>
      <c r="G242" s="307"/>
      <c r="H242" s="308"/>
      <c r="I242" s="307"/>
      <c r="J242" s="308"/>
      <c r="M242" s="269">
        <v>-757.31</v>
      </c>
      <c r="S242" s="269">
        <v>0</v>
      </c>
      <c r="U242" s="307">
        <v>-19782.670000000006</v>
      </c>
      <c r="V242" s="308"/>
      <c r="Y242" s="269">
        <v>7214.24</v>
      </c>
      <c r="AA242" s="269">
        <v>7.21</v>
      </c>
      <c r="AD242" s="68">
        <f t="shared" si="13"/>
        <v>-13318.530000000008</v>
      </c>
    </row>
    <row r="243" spans="1:31" x14ac:dyDescent="0.25">
      <c r="A243" s="299">
        <v>239</v>
      </c>
      <c r="B243" s="229" t="s">
        <v>30</v>
      </c>
      <c r="G243" s="307">
        <f>SUM(G220:G242)</f>
        <v>1164258.1200000001</v>
      </c>
      <c r="H243" s="307"/>
      <c r="I243" s="307">
        <f>SUM(I220:I242)</f>
        <v>1214333.8799999999</v>
      </c>
      <c r="J243" s="307"/>
      <c r="K243" s="307">
        <f>SUM(K220:K242)</f>
        <v>1204288.1799999997</v>
      </c>
      <c r="L243" s="307"/>
      <c r="M243" s="307">
        <f>SUM(M220:M242)</f>
        <v>1180255.27</v>
      </c>
      <c r="N243" s="307"/>
      <c r="O243" s="307">
        <f>SUM(O220:O242)</f>
        <v>1129778.7</v>
      </c>
      <c r="P243" s="307"/>
      <c r="Q243" s="307">
        <f>SUM(Q220:Q242)</f>
        <v>1129080.8399999999</v>
      </c>
      <c r="R243" s="307"/>
      <c r="S243" s="307">
        <f>SUM(S220:S242)</f>
        <v>1108647.58</v>
      </c>
      <c r="T243" s="307"/>
      <c r="U243" s="307">
        <f>SUM(U220:U242)</f>
        <v>1072997.6500000001</v>
      </c>
      <c r="V243" s="307"/>
      <c r="W243" s="307">
        <f>SUM(W220:W242)</f>
        <v>1103921.6100000001</v>
      </c>
      <c r="X243" s="307"/>
      <c r="Y243" s="307">
        <f>SUM(Y220:Y242)</f>
        <v>1201377.8799999997</v>
      </c>
      <c r="Z243" s="307"/>
      <c r="AA243" s="307">
        <f>SUM(AA220:AA242)</f>
        <v>1222339.1400000004</v>
      </c>
      <c r="AB243" s="307"/>
      <c r="AC243" s="307">
        <f>SUM(AC220:AC242)</f>
        <v>1151276.54</v>
      </c>
      <c r="AD243" s="68">
        <f t="shared" si="13"/>
        <v>13882555.389999997</v>
      </c>
    </row>
    <row r="244" spans="1:31" x14ac:dyDescent="0.25">
      <c r="A244" s="299">
        <v>240</v>
      </c>
      <c r="B244" s="229" t="s">
        <v>31</v>
      </c>
      <c r="G244" s="308">
        <v>29346851</v>
      </c>
      <c r="H244" s="308"/>
      <c r="I244" s="308">
        <v>31076934</v>
      </c>
      <c r="J244" s="308"/>
      <c r="K244" s="308">
        <v>30225230</v>
      </c>
      <c r="L244" s="308"/>
      <c r="M244" s="308">
        <v>29437116</v>
      </c>
      <c r="N244" s="308"/>
      <c r="O244" s="308">
        <v>27861922</v>
      </c>
      <c r="P244" s="308"/>
      <c r="Q244" s="308">
        <v>29822871</v>
      </c>
      <c r="R244" s="308"/>
      <c r="S244" s="308">
        <v>26669236</v>
      </c>
      <c r="T244" s="308"/>
      <c r="U244" s="308">
        <v>26669236</v>
      </c>
      <c r="V244" s="308"/>
      <c r="W244" s="296">
        <v>28179207</v>
      </c>
      <c r="X244" s="296"/>
      <c r="Y244" s="308">
        <v>31905338</v>
      </c>
      <c r="Z244" s="308"/>
      <c r="AA244" s="308">
        <v>33622137</v>
      </c>
      <c r="AB244" s="308"/>
      <c r="AC244" s="308">
        <v>29817626</v>
      </c>
      <c r="AD244" s="47">
        <f t="shared" si="13"/>
        <v>354633704</v>
      </c>
      <c r="AE244" s="47"/>
    </row>
    <row r="245" spans="1:31" x14ac:dyDescent="0.25">
      <c r="A245" s="299">
        <v>241</v>
      </c>
      <c r="B245" s="299" t="s">
        <v>32</v>
      </c>
      <c r="G245" s="291"/>
      <c r="I245" s="308"/>
      <c r="J245" s="308"/>
      <c r="K245" s="291"/>
      <c r="M245" s="291"/>
      <c r="O245" s="291"/>
      <c r="Q245" s="291"/>
      <c r="S245" s="296">
        <v>-582010</v>
      </c>
      <c r="U245" s="308">
        <v>-582010</v>
      </c>
      <c r="V245" s="308"/>
      <c r="W245" s="291"/>
      <c r="Y245" s="291">
        <v>294750</v>
      </c>
      <c r="AA245" s="291">
        <v>132</v>
      </c>
      <c r="AC245" s="291"/>
      <c r="AD245" s="47">
        <f t="shared" si="13"/>
        <v>-869138</v>
      </c>
      <c r="AE245" s="47"/>
    </row>
    <row r="246" spans="1:31" x14ac:dyDescent="0.25">
      <c r="A246" s="299">
        <v>242</v>
      </c>
      <c r="B246" s="299" t="s">
        <v>33</v>
      </c>
      <c r="G246" s="308">
        <f>SUM(G244:G245)</f>
        <v>29346851</v>
      </c>
      <c r="H246" s="308"/>
      <c r="I246" s="308">
        <f t="shared" ref="I246:AC246" si="14">SUM(I244:I245)</f>
        <v>31076934</v>
      </c>
      <c r="J246" s="308">
        <f t="shared" si="14"/>
        <v>0</v>
      </c>
      <c r="K246" s="308">
        <f t="shared" si="14"/>
        <v>30225230</v>
      </c>
      <c r="L246" s="308">
        <f t="shared" si="14"/>
        <v>0</v>
      </c>
      <c r="M246" s="308">
        <f t="shared" si="14"/>
        <v>29437116</v>
      </c>
      <c r="N246" s="308">
        <f t="shared" si="14"/>
        <v>0</v>
      </c>
      <c r="O246" s="308">
        <f t="shared" si="14"/>
        <v>27861922</v>
      </c>
      <c r="P246" s="308">
        <f t="shared" si="14"/>
        <v>0</v>
      </c>
      <c r="Q246" s="308">
        <f t="shared" si="14"/>
        <v>29822871</v>
      </c>
      <c r="R246" s="308">
        <f t="shared" si="14"/>
        <v>0</v>
      </c>
      <c r="S246" s="308">
        <f t="shared" si="14"/>
        <v>26087226</v>
      </c>
      <c r="T246" s="308">
        <f t="shared" si="14"/>
        <v>0</v>
      </c>
      <c r="U246" s="308">
        <f t="shared" si="14"/>
        <v>26087226</v>
      </c>
      <c r="V246" s="308">
        <f t="shared" si="14"/>
        <v>0</v>
      </c>
      <c r="W246" s="308">
        <f t="shared" si="14"/>
        <v>28179207</v>
      </c>
      <c r="X246" s="308">
        <f t="shared" si="14"/>
        <v>0</v>
      </c>
      <c r="Y246" s="308">
        <f t="shared" si="14"/>
        <v>32200088</v>
      </c>
      <c r="Z246" s="308">
        <f t="shared" si="14"/>
        <v>0</v>
      </c>
      <c r="AA246" s="308">
        <f t="shared" si="14"/>
        <v>33622269</v>
      </c>
      <c r="AB246" s="308">
        <f t="shared" si="14"/>
        <v>0</v>
      </c>
      <c r="AC246" s="308">
        <f t="shared" si="14"/>
        <v>29817626</v>
      </c>
      <c r="AD246" s="47">
        <f t="shared" si="13"/>
        <v>353764566</v>
      </c>
      <c r="AE246" s="47"/>
    </row>
    <row r="247" spans="1:31" x14ac:dyDescent="0.25">
      <c r="A247" s="299">
        <v>243</v>
      </c>
      <c r="B247" s="226"/>
    </row>
    <row r="248" spans="1:31" x14ac:dyDescent="0.25">
      <c r="A248" s="299">
        <v>244</v>
      </c>
      <c r="B248" s="313" t="s">
        <v>133</v>
      </c>
    </row>
    <row r="249" spans="1:31" x14ac:dyDescent="0.25">
      <c r="A249" s="299">
        <v>245</v>
      </c>
      <c r="B249" s="229" t="s">
        <v>25</v>
      </c>
      <c r="C249" s="299">
        <v>625</v>
      </c>
      <c r="E249" s="299">
        <v>625</v>
      </c>
      <c r="F249" s="291">
        <f>G249/$C$249</f>
        <v>1</v>
      </c>
      <c r="G249" s="269">
        <v>625</v>
      </c>
      <c r="H249" s="291">
        <f>I249/$C$249</f>
        <v>1</v>
      </c>
      <c r="I249" s="307">
        <v>625</v>
      </c>
      <c r="J249" s="291">
        <f>K249/$C$249</f>
        <v>1</v>
      </c>
      <c r="K249" s="307">
        <v>625</v>
      </c>
      <c r="L249" s="291">
        <f>M249/$C$249</f>
        <v>1</v>
      </c>
      <c r="M249" s="307">
        <v>625</v>
      </c>
      <c r="N249" s="291">
        <f>O249/$C$249</f>
        <v>1</v>
      </c>
      <c r="O249" s="307">
        <v>625</v>
      </c>
      <c r="P249" s="291">
        <f>Q249/$C$249</f>
        <v>1</v>
      </c>
      <c r="Q249" s="307">
        <v>625</v>
      </c>
      <c r="R249" s="291">
        <f>S249/$C$249</f>
        <v>1</v>
      </c>
      <c r="S249" s="307">
        <v>625</v>
      </c>
      <c r="T249" s="291">
        <f>U249/$E$249</f>
        <v>1</v>
      </c>
      <c r="U249" s="307">
        <v>625</v>
      </c>
      <c r="V249" s="291">
        <f>W249/$E$249</f>
        <v>1</v>
      </c>
      <c r="W249" s="269">
        <v>625</v>
      </c>
      <c r="X249" s="291">
        <f>Y249/$E$249</f>
        <v>1</v>
      </c>
      <c r="Y249" s="307">
        <v>625</v>
      </c>
      <c r="Z249" s="291">
        <f>AA249/$E$249</f>
        <v>1</v>
      </c>
      <c r="AA249" s="307">
        <v>625</v>
      </c>
      <c r="AB249" s="667">
        <f>AC249/$E$249</f>
        <v>1</v>
      </c>
      <c r="AC249" s="307">
        <v>625</v>
      </c>
      <c r="AD249" s="68">
        <f>SUM(G249,I249,K249,M249,O249,Q249,S249,U249,W249,Y249,AA249,AC249)</f>
        <v>7500</v>
      </c>
    </row>
    <row r="250" spans="1:31" x14ac:dyDescent="0.25">
      <c r="A250" s="299">
        <v>246</v>
      </c>
      <c r="B250" s="229" t="s">
        <v>157</v>
      </c>
      <c r="C250" s="299">
        <v>13219.29</v>
      </c>
      <c r="E250" s="326">
        <v>13344.87</v>
      </c>
      <c r="F250" s="291">
        <f>G250/$C$250</f>
        <v>1</v>
      </c>
      <c r="G250" s="269">
        <v>13219.29</v>
      </c>
      <c r="H250" s="291">
        <f>I250/$C$250</f>
        <v>1</v>
      </c>
      <c r="I250" s="307">
        <v>13219.29</v>
      </c>
      <c r="J250" s="291">
        <f>K250/$C$250</f>
        <v>1</v>
      </c>
      <c r="K250" s="307">
        <v>13219.29</v>
      </c>
      <c r="L250" s="291">
        <f>M250/$C$250</f>
        <v>1</v>
      </c>
      <c r="M250" s="307">
        <v>13219.29</v>
      </c>
      <c r="N250" s="291">
        <f>O250/$C$250</f>
        <v>1</v>
      </c>
      <c r="O250" s="307">
        <v>13219.29</v>
      </c>
      <c r="P250" s="291">
        <f>Q250/$C$250</f>
        <v>1</v>
      </c>
      <c r="Q250" s="307">
        <v>13219.29</v>
      </c>
      <c r="R250" s="291">
        <f>S250/$C$250</f>
        <v>1</v>
      </c>
      <c r="S250" s="307">
        <v>13219.29</v>
      </c>
      <c r="T250" s="291">
        <f>U250/$E$250</f>
        <v>1</v>
      </c>
      <c r="U250" s="307">
        <v>13344.87</v>
      </c>
      <c r="V250" s="291">
        <f>W250/$E$250</f>
        <v>1</v>
      </c>
      <c r="W250" s="269">
        <v>13344.87</v>
      </c>
      <c r="X250" s="291">
        <f>Y250/$E$250</f>
        <v>1</v>
      </c>
      <c r="Y250" s="307">
        <v>13344.87</v>
      </c>
      <c r="Z250" s="291">
        <f>AA250/$E$250</f>
        <v>1</v>
      </c>
      <c r="AA250" s="307">
        <v>13344.87</v>
      </c>
      <c r="AB250" s="291">
        <f>AC250/$E$250</f>
        <v>1</v>
      </c>
      <c r="AC250" s="307">
        <v>13344.87</v>
      </c>
      <c r="AD250" s="68">
        <f t="shared" ref="AD250:AD254" si="15">SUM(G250,I250,K250,M250,O250,Q250,S250,U250,W250,Y250,AA250,AC250)</f>
        <v>159259.38</v>
      </c>
    </row>
    <row r="251" spans="1:31" x14ac:dyDescent="0.25">
      <c r="A251" s="299">
        <v>247</v>
      </c>
      <c r="B251" s="229" t="s">
        <v>194</v>
      </c>
      <c r="E251" s="327"/>
      <c r="S251" s="307">
        <v>0</v>
      </c>
      <c r="AD251" s="68">
        <f t="shared" si="15"/>
        <v>0</v>
      </c>
    </row>
    <row r="252" spans="1:31" x14ac:dyDescent="0.25">
      <c r="A252" s="299">
        <v>248</v>
      </c>
      <c r="B252" s="229" t="s">
        <v>187</v>
      </c>
      <c r="C252" s="299">
        <v>4.0000000000000002E-4</v>
      </c>
      <c r="E252" s="328">
        <v>4.0000000000000002E-4</v>
      </c>
      <c r="F252" s="291">
        <f>G252/$C$252</f>
        <v>2617900</v>
      </c>
      <c r="G252" s="269">
        <v>1047.1600000000001</v>
      </c>
      <c r="H252" s="291">
        <f>I252/$C$252</f>
        <v>3202150</v>
      </c>
      <c r="I252" s="307">
        <v>1280.8600000000001</v>
      </c>
      <c r="J252" s="291">
        <f>K252/$C$252</f>
        <v>2316550</v>
      </c>
      <c r="K252" s="307">
        <v>926.62</v>
      </c>
      <c r="L252" s="291">
        <f>M252/$C$252</f>
        <v>2298400</v>
      </c>
      <c r="M252" s="307">
        <v>919.36</v>
      </c>
      <c r="N252" s="291">
        <f>O252/$C$252</f>
        <v>2069824.9999999998</v>
      </c>
      <c r="O252" s="307">
        <v>827.93</v>
      </c>
      <c r="P252" s="291">
        <f>Q252/$C$252</f>
        <v>1973650</v>
      </c>
      <c r="Q252" s="307">
        <v>789.46</v>
      </c>
      <c r="R252" s="291">
        <f>S252/$C$252</f>
        <v>2265725</v>
      </c>
      <c r="S252" s="307">
        <v>906.29</v>
      </c>
      <c r="T252" s="291">
        <f>U252/$E$252</f>
        <v>2468675</v>
      </c>
      <c r="U252" s="307">
        <v>987.47</v>
      </c>
      <c r="V252" s="291">
        <f>W252/$E$252</f>
        <v>2310625</v>
      </c>
      <c r="W252" s="269">
        <v>924.25</v>
      </c>
      <c r="X252" s="291">
        <f>Y252/$E$252</f>
        <v>2238150</v>
      </c>
      <c r="Y252" s="307">
        <v>895.26</v>
      </c>
      <c r="Z252" s="291">
        <f>AA252/$E$252</f>
        <v>2832250</v>
      </c>
      <c r="AA252" s="307">
        <v>1132.9000000000001</v>
      </c>
      <c r="AB252" s="291">
        <f>AC252/$E$252</f>
        <v>3143974.9999999995</v>
      </c>
      <c r="AC252" s="307">
        <v>1257.5899999999999</v>
      </c>
      <c r="AD252" s="68">
        <f t="shared" si="15"/>
        <v>11895.150000000001</v>
      </c>
    </row>
    <row r="253" spans="1:31" x14ac:dyDescent="0.25">
      <c r="A253" s="299">
        <v>249</v>
      </c>
      <c r="B253" s="229" t="s">
        <v>170</v>
      </c>
      <c r="C253" s="299">
        <v>1.4541200000000001E-2</v>
      </c>
      <c r="E253" s="327">
        <v>1.4679299999999999E-2</v>
      </c>
      <c r="F253" s="291">
        <f>G253/$C$253</f>
        <v>2545058.179517509</v>
      </c>
      <c r="G253" s="269">
        <v>37008.200000000004</v>
      </c>
      <c r="H253" s="291">
        <f>I253/$C$253</f>
        <v>3006870.1345143453</v>
      </c>
      <c r="I253" s="307">
        <v>43723.5</v>
      </c>
      <c r="J253" s="291">
        <f>K253/$C$253</f>
        <v>2292202.1566308145</v>
      </c>
      <c r="K253" s="307">
        <v>33331.370000000003</v>
      </c>
      <c r="L253" s="291">
        <f>M253/$C$253</f>
        <v>2283506.8632575027</v>
      </c>
      <c r="M253" s="307">
        <v>33204.93</v>
      </c>
      <c r="N253" s="291">
        <f>O253/$C$253</f>
        <v>2069825.7365279344</v>
      </c>
      <c r="O253" s="307">
        <v>30097.75</v>
      </c>
      <c r="P253" s="291">
        <f>Q253/$C$253</f>
        <v>1973659.6704536076</v>
      </c>
      <c r="Q253" s="307">
        <v>28699.38</v>
      </c>
      <c r="R253" s="291">
        <f>S253/$C$253</f>
        <v>2265713.2836354636</v>
      </c>
      <c r="S253" s="307">
        <v>32946.19</v>
      </c>
      <c r="T253" s="291">
        <f>U253/$E$253</f>
        <v>2468668.1245018495</v>
      </c>
      <c r="U253" s="307">
        <v>36238.32</v>
      </c>
      <c r="V253" s="291">
        <f>W253/$E$253</f>
        <v>2310614.9475792442</v>
      </c>
      <c r="W253" s="269">
        <v>33918.21</v>
      </c>
      <c r="X253" s="291">
        <f>Y253/$E$253</f>
        <v>2238144.1894368259</v>
      </c>
      <c r="Y253" s="307">
        <v>32854.39</v>
      </c>
      <c r="Z253" s="291">
        <f>AA253/$E$253</f>
        <v>2855886.1798587129</v>
      </c>
      <c r="AA253" s="307">
        <v>41922.410000000003</v>
      </c>
      <c r="AB253" s="291">
        <f>AC253/$E$253</f>
        <v>3224084.2546987939</v>
      </c>
      <c r="AC253" s="307">
        <v>47327.3</v>
      </c>
      <c r="AD253" s="68">
        <f t="shared" si="15"/>
        <v>431271.95</v>
      </c>
    </row>
    <row r="254" spans="1:31" x14ac:dyDescent="0.25">
      <c r="A254" s="299">
        <v>250</v>
      </c>
      <c r="B254" s="229" t="s">
        <v>171</v>
      </c>
      <c r="C254" s="299">
        <v>1.8889699999999999E-2</v>
      </c>
      <c r="E254" s="327">
        <v>1.9069099999999999E-2</v>
      </c>
      <c r="F254" s="291">
        <f>G254/$C$254</f>
        <v>72832.813649766802</v>
      </c>
      <c r="G254" s="269">
        <v>1375.79</v>
      </c>
      <c r="H254" s="291">
        <f>I254/$C$254</f>
        <v>195282.0849457641</v>
      </c>
      <c r="I254" s="307">
        <v>3688.82</v>
      </c>
      <c r="J254" s="291">
        <f>K254/$C$254</f>
        <v>24352.954255493736</v>
      </c>
      <c r="K254" s="307">
        <v>460.02</v>
      </c>
      <c r="L254" s="291">
        <f>M254/$C$254</f>
        <v>14900.183697994145</v>
      </c>
      <c r="M254" s="307">
        <v>281.45999999999998</v>
      </c>
      <c r="N254" s="291">
        <f>O254/$C$254</f>
        <v>0</v>
      </c>
      <c r="P254" s="291">
        <f>Q254/$C$254</f>
        <v>0</v>
      </c>
      <c r="R254" s="291">
        <f>S254/$C$254</f>
        <v>0</v>
      </c>
      <c r="S254" s="269">
        <v>0</v>
      </c>
      <c r="T254" s="291">
        <f>U254/$E$254</f>
        <v>0</v>
      </c>
      <c r="U254" s="307">
        <v>0</v>
      </c>
      <c r="V254" s="291">
        <f>W254/$E$254</f>
        <v>0</v>
      </c>
      <c r="X254" s="291">
        <f>Y254/$E$254</f>
        <v>0</v>
      </c>
      <c r="Y254" s="307"/>
      <c r="Z254" s="291">
        <f>AA254/$E$254</f>
        <v>0</v>
      </c>
      <c r="AA254" s="307"/>
      <c r="AB254" s="291">
        <f>AC254/$E$254</f>
        <v>0</v>
      </c>
      <c r="AD254" s="68">
        <f t="shared" si="15"/>
        <v>5806.0900000000011</v>
      </c>
    </row>
    <row r="255" spans="1:31" x14ac:dyDescent="0.25">
      <c r="A255" s="299">
        <v>251</v>
      </c>
      <c r="B255" s="229" t="s">
        <v>20</v>
      </c>
      <c r="G255" s="307">
        <v>2360.63</v>
      </c>
      <c r="H255" s="308"/>
      <c r="I255" s="307">
        <v>2771.04</v>
      </c>
      <c r="J255" s="308"/>
      <c r="K255" s="307">
        <v>2151.8000000000002</v>
      </c>
      <c r="L255" s="308"/>
      <c r="M255" s="269">
        <v>2137.96</v>
      </c>
      <c r="N255" s="308"/>
      <c r="O255" s="307">
        <v>1983.76</v>
      </c>
      <c r="P255" s="308"/>
      <c r="Q255" s="307">
        <v>1920.09</v>
      </c>
      <c r="R255" s="308"/>
      <c r="S255" s="307">
        <v>2113.44</v>
      </c>
      <c r="T255" s="308"/>
      <c r="U255" s="307">
        <v>2268.48</v>
      </c>
      <c r="V255" s="308"/>
      <c r="W255" s="269">
        <v>2162.87</v>
      </c>
      <c r="Y255" s="307">
        <v>2114.4499999999998</v>
      </c>
      <c r="Z255" s="308"/>
      <c r="AA255" s="307">
        <v>2526.79</v>
      </c>
      <c r="AB255" s="308"/>
      <c r="AC255" s="307">
        <v>2771.8</v>
      </c>
      <c r="AD255" s="68">
        <f>SUM(G255:AC255)</f>
        <v>27283.11</v>
      </c>
    </row>
    <row r="256" spans="1:31" x14ac:dyDescent="0.25">
      <c r="A256" s="299">
        <v>252</v>
      </c>
      <c r="B256" s="229" t="s">
        <v>29</v>
      </c>
      <c r="G256" s="307"/>
      <c r="H256" s="308"/>
      <c r="I256" s="307"/>
      <c r="J256" s="308"/>
      <c r="K256" s="307"/>
      <c r="L256" s="308"/>
      <c r="M256" s="307"/>
      <c r="N256" s="308"/>
      <c r="O256" s="307"/>
      <c r="P256" s="308"/>
      <c r="Q256" s="307"/>
      <c r="R256" s="308"/>
      <c r="S256" s="307">
        <v>0</v>
      </c>
      <c r="T256" s="308"/>
      <c r="U256" s="307"/>
      <c r="V256" s="308"/>
      <c r="AD256" s="68">
        <f t="shared" ref="AD256:AD260" si="16">SUM(G256:AC256)</f>
        <v>0</v>
      </c>
    </row>
    <row r="257" spans="1:31" x14ac:dyDescent="0.25">
      <c r="A257" s="299">
        <v>253</v>
      </c>
      <c r="B257" s="229" t="s">
        <v>30</v>
      </c>
      <c r="G257" s="307">
        <f>SUM(G249:G256)</f>
        <v>55636.070000000007</v>
      </c>
      <c r="H257" s="307"/>
      <c r="I257" s="307">
        <f>SUM(I249:I256)</f>
        <v>65308.51</v>
      </c>
      <c r="J257" s="307"/>
      <c r="K257" s="307">
        <f>SUM(K249:K256)</f>
        <v>50714.100000000006</v>
      </c>
      <c r="L257" s="307"/>
      <c r="M257" s="307">
        <f>SUM(M249:M256)</f>
        <v>50388</v>
      </c>
      <c r="N257" s="307"/>
      <c r="O257" s="307">
        <f>SUM(O249:O256)</f>
        <v>46753.73</v>
      </c>
      <c r="P257" s="307"/>
      <c r="Q257" s="307">
        <f>SUM(Q249:Q256)</f>
        <v>45253.22</v>
      </c>
      <c r="R257" s="307"/>
      <c r="S257" s="307">
        <f>SUM(S249:S256)</f>
        <v>49810.210000000006</v>
      </c>
      <c r="T257" s="307"/>
      <c r="U257" s="307">
        <v>53464.140000000007</v>
      </c>
      <c r="V257" s="307"/>
      <c r="W257" s="307">
        <f>SUM(W249:W256)</f>
        <v>50975.200000000004</v>
      </c>
      <c r="X257" s="307"/>
      <c r="Y257" s="307">
        <f>SUM(Y249:Y256)</f>
        <v>49833.97</v>
      </c>
      <c r="Z257" s="307"/>
      <c r="AA257" s="307">
        <f>SUM(AA249:AA256)</f>
        <v>59551.970000000008</v>
      </c>
      <c r="AB257" s="307"/>
      <c r="AC257" s="307">
        <f>SUM(AC249:AC256)</f>
        <v>65326.560000000005</v>
      </c>
      <c r="AD257" s="68">
        <f t="shared" si="16"/>
        <v>643015.68000000005</v>
      </c>
    </row>
    <row r="258" spans="1:31" x14ac:dyDescent="0.25">
      <c r="A258" s="299">
        <v>254</v>
      </c>
      <c r="B258" s="229" t="s">
        <v>31</v>
      </c>
      <c r="F258" s="294"/>
      <c r="G258" s="269">
        <v>2545058</v>
      </c>
      <c r="H258" s="311"/>
      <c r="I258" s="311">
        <v>3006870</v>
      </c>
      <c r="J258" s="311"/>
      <c r="K258" s="311">
        <v>2292202</v>
      </c>
      <c r="L258" s="311"/>
      <c r="M258" s="311">
        <v>2283507</v>
      </c>
      <c r="N258" s="311"/>
      <c r="O258" s="323">
        <v>2069826</v>
      </c>
      <c r="P258" s="311"/>
      <c r="Q258" s="308">
        <v>1973660</v>
      </c>
      <c r="R258" s="311"/>
      <c r="S258" s="308">
        <v>2265713</v>
      </c>
      <c r="T258" s="311"/>
      <c r="U258" s="308">
        <v>2468668</v>
      </c>
      <c r="V258" s="311"/>
      <c r="W258" s="291">
        <v>2310615</v>
      </c>
      <c r="X258" s="294"/>
      <c r="Y258" s="308">
        <v>2238144</v>
      </c>
      <c r="Z258" s="311"/>
      <c r="AA258" s="308">
        <v>2832256</v>
      </c>
      <c r="AB258" s="311"/>
      <c r="AC258" s="308">
        <v>3143984</v>
      </c>
      <c r="AD258" s="68">
        <f t="shared" si="16"/>
        <v>29430503</v>
      </c>
    </row>
    <row r="259" spans="1:31" x14ac:dyDescent="0.25">
      <c r="A259" s="299">
        <v>255</v>
      </c>
      <c r="B259" s="229" t="s">
        <v>32</v>
      </c>
      <c r="F259" s="294"/>
      <c r="G259" s="294">
        <v>72833</v>
      </c>
      <c r="H259" s="294"/>
      <c r="I259" s="294">
        <v>195282</v>
      </c>
      <c r="J259" s="294"/>
      <c r="K259" s="294">
        <v>24353</v>
      </c>
      <c r="L259" s="294"/>
      <c r="M259" s="294">
        <v>14900</v>
      </c>
      <c r="N259" s="294"/>
      <c r="O259" s="311"/>
      <c r="P259" s="311"/>
      <c r="Q259" s="291"/>
      <c r="R259" s="294"/>
      <c r="S259" s="308"/>
      <c r="T259" s="311"/>
      <c r="U259" s="308"/>
      <c r="V259" s="311"/>
      <c r="W259" s="291"/>
      <c r="X259" s="294"/>
      <c r="Y259" s="291"/>
      <c r="Z259" s="294"/>
      <c r="AA259" s="291"/>
      <c r="AB259" s="294"/>
      <c r="AC259" s="308"/>
      <c r="AD259" s="68">
        <f t="shared" si="16"/>
        <v>307368</v>
      </c>
    </row>
    <row r="260" spans="1:31" x14ac:dyDescent="0.25">
      <c r="A260" s="299">
        <v>256</v>
      </c>
      <c r="B260" s="229" t="s">
        <v>33</v>
      </c>
      <c r="F260" s="294"/>
      <c r="G260" s="311">
        <f>SUM(G258:G259)</f>
        <v>2617891</v>
      </c>
      <c r="H260" s="311"/>
      <c r="I260" s="311">
        <f>SUM(I258:I259)</f>
        <v>3202152</v>
      </c>
      <c r="J260" s="311"/>
      <c r="K260" s="311">
        <f>SUM(K258:K259)</f>
        <v>2316555</v>
      </c>
      <c r="L260" s="311"/>
      <c r="M260" s="311">
        <f>SUM(M258:M259)</f>
        <v>2298407</v>
      </c>
      <c r="N260" s="311"/>
      <c r="O260" s="311">
        <f>SUM(O258:O259)</f>
        <v>2069826</v>
      </c>
      <c r="P260" s="311"/>
      <c r="Q260" s="308">
        <f>SUM(Q258:Q259)</f>
        <v>1973660</v>
      </c>
      <c r="R260" s="311"/>
      <c r="S260" s="308">
        <f>SUM(S258:S259)</f>
        <v>2265713</v>
      </c>
      <c r="T260" s="311"/>
      <c r="U260" s="308">
        <f>SUM(U258:U259)</f>
        <v>2468668</v>
      </c>
      <c r="V260" s="311"/>
      <c r="W260" s="308">
        <f>SUM(W258:W259)</f>
        <v>2310615</v>
      </c>
      <c r="X260" s="311"/>
      <c r="Y260" s="308">
        <f>SUM(Y258:Y259)</f>
        <v>2238144</v>
      </c>
      <c r="Z260" s="311"/>
      <c r="AA260" s="308">
        <v>2832256</v>
      </c>
      <c r="AB260" s="311"/>
      <c r="AC260" s="308">
        <f>SUM(AC258:AC259)</f>
        <v>3143984</v>
      </c>
      <c r="AD260" s="68">
        <f t="shared" si="16"/>
        <v>29737871</v>
      </c>
    </row>
    <row r="261" spans="1:31" x14ac:dyDescent="0.25">
      <c r="A261" s="299">
        <v>257</v>
      </c>
      <c r="B261" s="229"/>
    </row>
    <row r="262" spans="1:31" x14ac:dyDescent="0.25">
      <c r="A262" s="299">
        <v>258</v>
      </c>
      <c r="B262" s="313" t="s">
        <v>134</v>
      </c>
    </row>
    <row r="263" spans="1:31" x14ac:dyDescent="0.25">
      <c r="A263" s="299">
        <v>259</v>
      </c>
      <c r="B263" s="229" t="s">
        <v>25</v>
      </c>
      <c r="G263" s="307">
        <v>625</v>
      </c>
      <c r="H263" s="308"/>
      <c r="I263" s="307">
        <v>625</v>
      </c>
      <c r="J263" s="308"/>
      <c r="K263" s="307">
        <v>625</v>
      </c>
      <c r="L263" s="308"/>
      <c r="M263" s="307">
        <v>625</v>
      </c>
      <c r="N263" s="308"/>
      <c r="O263" s="307">
        <v>625</v>
      </c>
      <c r="P263" s="308"/>
      <c r="Q263" s="307">
        <v>625</v>
      </c>
      <c r="R263" s="308"/>
      <c r="S263" s="307">
        <v>625</v>
      </c>
      <c r="T263" s="308"/>
      <c r="U263" s="307">
        <v>625</v>
      </c>
      <c r="V263" s="308"/>
      <c r="W263" s="316">
        <v>625</v>
      </c>
      <c r="X263" s="317"/>
      <c r="Y263" s="307">
        <v>625</v>
      </c>
      <c r="Z263" s="308"/>
      <c r="AA263" s="307">
        <v>625</v>
      </c>
      <c r="AB263" s="308"/>
      <c r="AC263" s="307">
        <v>625</v>
      </c>
      <c r="AD263" s="68">
        <f t="shared" ref="AD263:AD274" si="17">SUM(G263:AC263)</f>
        <v>7500</v>
      </c>
    </row>
    <row r="264" spans="1:31" x14ac:dyDescent="0.25">
      <c r="A264" s="299">
        <v>260</v>
      </c>
      <c r="B264" s="229" t="s">
        <v>157</v>
      </c>
      <c r="H264" s="308"/>
      <c r="J264" s="308"/>
      <c r="L264" s="308"/>
      <c r="N264" s="308"/>
      <c r="P264" s="308"/>
      <c r="R264" s="308"/>
      <c r="T264" s="308"/>
      <c r="U264" s="307"/>
      <c r="V264" s="308"/>
      <c r="W264" s="316"/>
      <c r="X264" s="317"/>
      <c r="AD264" s="68">
        <f t="shared" si="17"/>
        <v>0</v>
      </c>
    </row>
    <row r="265" spans="1:31" x14ac:dyDescent="0.25">
      <c r="A265" s="299">
        <v>261</v>
      </c>
      <c r="B265" s="229" t="s">
        <v>185</v>
      </c>
      <c r="G265" s="307">
        <v>2000</v>
      </c>
      <c r="H265" s="308"/>
      <c r="I265" s="307">
        <v>2000</v>
      </c>
      <c r="J265" s="308"/>
      <c r="K265" s="307">
        <v>2000</v>
      </c>
      <c r="L265" s="308"/>
      <c r="M265" s="307">
        <v>2000</v>
      </c>
      <c r="N265" s="308"/>
      <c r="O265" s="307">
        <v>2000</v>
      </c>
      <c r="P265" s="308"/>
      <c r="Q265" s="307">
        <v>2000</v>
      </c>
      <c r="R265" s="308"/>
      <c r="S265" s="307">
        <v>2000</v>
      </c>
      <c r="T265" s="308"/>
      <c r="U265" s="307">
        <v>2000</v>
      </c>
      <c r="V265" s="308"/>
      <c r="W265" s="316">
        <v>2000</v>
      </c>
      <c r="X265" s="317"/>
      <c r="Y265" s="307">
        <v>2000</v>
      </c>
      <c r="Z265" s="308"/>
      <c r="AA265" s="307">
        <v>2000</v>
      </c>
      <c r="AB265" s="308"/>
      <c r="AC265" s="307">
        <v>2000</v>
      </c>
      <c r="AD265" s="68">
        <f t="shared" si="17"/>
        <v>24000</v>
      </c>
    </row>
    <row r="266" spans="1:31" x14ac:dyDescent="0.25">
      <c r="A266" s="299">
        <v>262</v>
      </c>
      <c r="B266" s="229" t="s">
        <v>158</v>
      </c>
      <c r="G266" s="307">
        <v>375.43</v>
      </c>
      <c r="H266" s="308"/>
      <c r="I266" s="307">
        <v>816.61</v>
      </c>
      <c r="J266" s="308"/>
      <c r="K266" s="307">
        <v>943.77</v>
      </c>
      <c r="L266" s="308"/>
      <c r="M266" s="307">
        <v>1008.28</v>
      </c>
      <c r="N266" s="308"/>
      <c r="O266" s="307">
        <v>1138.25</v>
      </c>
      <c r="P266" s="308"/>
      <c r="Q266" s="307">
        <v>887.8</v>
      </c>
      <c r="R266" s="308"/>
      <c r="S266" s="307">
        <v>836.27</v>
      </c>
      <c r="T266" s="308"/>
      <c r="U266" s="307">
        <v>1079.04</v>
      </c>
      <c r="V266" s="308"/>
      <c r="W266" s="316">
        <v>1070.8499999999999</v>
      </c>
      <c r="X266" s="317"/>
      <c r="Y266" s="307">
        <v>982.81</v>
      </c>
      <c r="Z266" s="308"/>
      <c r="AA266" s="307">
        <v>1111.9000000000001</v>
      </c>
      <c r="AB266" s="308"/>
      <c r="AC266" s="307">
        <v>1087.8</v>
      </c>
      <c r="AD266" s="68">
        <f t="shared" si="17"/>
        <v>11338.809999999998</v>
      </c>
    </row>
    <row r="267" spans="1:31" x14ac:dyDescent="0.25">
      <c r="A267" s="299">
        <v>263</v>
      </c>
      <c r="B267" s="229" t="s">
        <v>194</v>
      </c>
      <c r="H267" s="308"/>
      <c r="J267" s="308"/>
      <c r="L267" s="308"/>
      <c r="N267" s="308"/>
      <c r="P267" s="308"/>
      <c r="R267" s="308"/>
      <c r="T267" s="308"/>
      <c r="U267" s="307"/>
      <c r="V267" s="308"/>
      <c r="W267" s="316"/>
      <c r="X267" s="317"/>
      <c r="AD267" s="68">
        <f t="shared" si="17"/>
        <v>0</v>
      </c>
    </row>
    <row r="268" spans="1:31" x14ac:dyDescent="0.25">
      <c r="A268" s="299">
        <v>264</v>
      </c>
      <c r="B268" s="229" t="s">
        <v>172</v>
      </c>
      <c r="G268" s="307">
        <v>15370.78</v>
      </c>
      <c r="H268" s="308"/>
      <c r="I268" s="307">
        <v>33433.51</v>
      </c>
      <c r="J268" s="308"/>
      <c r="K268" s="307">
        <v>38639.42</v>
      </c>
      <c r="L268" s="308"/>
      <c r="M268" s="307">
        <v>41280.58</v>
      </c>
      <c r="N268" s="308"/>
      <c r="O268" s="307">
        <v>46602.09</v>
      </c>
      <c r="P268" s="308"/>
      <c r="Q268" s="307">
        <v>36348.089999999997</v>
      </c>
      <c r="R268" s="308"/>
      <c r="S268" s="307">
        <v>34238.39</v>
      </c>
      <c r="T268" s="308"/>
      <c r="U268" s="307">
        <v>44177.64</v>
      </c>
      <c r="V268" s="308"/>
      <c r="W268" s="316">
        <v>43842.31</v>
      </c>
      <c r="X268" s="317"/>
      <c r="Y268" s="307">
        <v>40237.85</v>
      </c>
      <c r="Z268" s="308"/>
      <c r="AA268" s="307">
        <v>44653.67</v>
      </c>
      <c r="AB268" s="308"/>
      <c r="AC268" s="307">
        <v>43685.94</v>
      </c>
      <c r="AD268" s="68">
        <f t="shared" si="17"/>
        <v>462510.26999999996</v>
      </c>
    </row>
    <row r="269" spans="1:31" x14ac:dyDescent="0.25">
      <c r="A269" s="299">
        <v>265</v>
      </c>
      <c r="B269" s="229" t="s">
        <v>20</v>
      </c>
      <c r="G269" s="307">
        <v>814.03</v>
      </c>
      <c r="H269" s="308"/>
      <c r="I269" s="307">
        <v>1633.94</v>
      </c>
      <c r="J269" s="308"/>
      <c r="K269" s="307">
        <v>1870.24</v>
      </c>
      <c r="L269" s="308"/>
      <c r="M269" s="307">
        <v>1990.13</v>
      </c>
      <c r="N269" s="308"/>
      <c r="O269" s="307">
        <v>2231.69</v>
      </c>
      <c r="P269" s="308"/>
      <c r="Q269" s="307">
        <v>1766.24</v>
      </c>
      <c r="R269" s="308"/>
      <c r="S269" s="307">
        <v>1670.47</v>
      </c>
      <c r="T269" s="308"/>
      <c r="U269" s="307">
        <v>2121.64</v>
      </c>
      <c r="V269" s="308"/>
      <c r="W269" s="316">
        <v>2106.42</v>
      </c>
      <c r="X269" s="317"/>
      <c r="Y269" s="307">
        <v>1942.8</v>
      </c>
      <c r="Z269" s="308"/>
      <c r="AA269" s="307">
        <v>2144.19</v>
      </c>
      <c r="AB269" s="308"/>
      <c r="AC269" s="307">
        <v>2100.2399999999998</v>
      </c>
      <c r="AD269" s="68">
        <f t="shared" si="17"/>
        <v>22392.03</v>
      </c>
    </row>
    <row r="270" spans="1:31" x14ac:dyDescent="0.25">
      <c r="A270" s="299">
        <v>266</v>
      </c>
      <c r="B270" s="229" t="s">
        <v>29</v>
      </c>
      <c r="G270" s="307"/>
      <c r="H270" s="308"/>
      <c r="I270" s="307"/>
      <c r="J270" s="308"/>
      <c r="K270" s="307"/>
      <c r="L270" s="308"/>
      <c r="M270" s="307"/>
      <c r="N270" s="308"/>
      <c r="O270" s="307"/>
      <c r="P270" s="308"/>
      <c r="Q270" s="307"/>
      <c r="R270" s="308"/>
      <c r="S270" s="307"/>
      <c r="T270" s="308"/>
      <c r="U270" s="307"/>
      <c r="V270" s="308"/>
      <c r="W270" s="316"/>
      <c r="X270" s="317"/>
      <c r="AD270" s="68">
        <f t="shared" si="17"/>
        <v>0</v>
      </c>
    </row>
    <row r="271" spans="1:31" x14ac:dyDescent="0.25">
      <c r="A271" s="299">
        <v>267</v>
      </c>
      <c r="B271" s="229" t="s">
        <v>30</v>
      </c>
      <c r="G271" s="307">
        <f>SUM(G263:G270)</f>
        <v>19185.239999999998</v>
      </c>
      <c r="H271" s="307"/>
      <c r="I271" s="307">
        <f>SUM(I263:I270)</f>
        <v>38509.060000000005</v>
      </c>
      <c r="J271" s="307"/>
      <c r="K271" s="307">
        <f>SUM(K263:K270)</f>
        <v>44078.429999999993</v>
      </c>
      <c r="L271" s="307"/>
      <c r="M271" s="307">
        <f>SUM(M263:M270)</f>
        <v>46903.99</v>
      </c>
      <c r="N271" s="307"/>
      <c r="O271" s="307">
        <f>SUM(O263:O270)</f>
        <v>52597.03</v>
      </c>
      <c r="P271" s="307"/>
      <c r="Q271" s="307">
        <f>SUM(Q263:Q270)</f>
        <v>41627.129999999997</v>
      </c>
      <c r="R271" s="307"/>
      <c r="S271" s="307">
        <f>SUM(S263:S270)</f>
        <v>39370.129999999997</v>
      </c>
      <c r="T271" s="307"/>
      <c r="U271" s="307">
        <f>SUM(U263:U270)</f>
        <v>50003.32</v>
      </c>
      <c r="V271" s="307"/>
      <c r="W271" s="307">
        <f>SUM(W263:W270)</f>
        <v>49644.579999999994</v>
      </c>
      <c r="X271" s="307"/>
      <c r="Y271" s="307">
        <f>SUM(Y263:Y270)</f>
        <v>45788.46</v>
      </c>
      <c r="Z271" s="307"/>
      <c r="AA271" s="307">
        <f>SUM(AA263:AA270)</f>
        <v>50534.76</v>
      </c>
      <c r="AB271" s="307"/>
      <c r="AC271" s="307">
        <f>SUM(AC263:AC270)</f>
        <v>49498.98</v>
      </c>
      <c r="AD271" s="68">
        <f t="shared" si="17"/>
        <v>527741.1100000001</v>
      </c>
    </row>
    <row r="272" spans="1:31" x14ac:dyDescent="0.25">
      <c r="A272" s="299">
        <v>268</v>
      </c>
      <c r="B272" s="229" t="s">
        <v>31</v>
      </c>
      <c r="E272" s="294"/>
      <c r="F272" s="294"/>
      <c r="G272" s="308">
        <v>938576</v>
      </c>
      <c r="H272" s="308"/>
      <c r="I272" s="308">
        <v>2041529</v>
      </c>
      <c r="J272" s="308"/>
      <c r="K272" s="308">
        <v>2359414</v>
      </c>
      <c r="L272" s="308"/>
      <c r="M272" s="308">
        <v>2520690</v>
      </c>
      <c r="N272" s="308"/>
      <c r="O272" s="308">
        <v>2845634</v>
      </c>
      <c r="P272" s="308"/>
      <c r="Q272" s="308">
        <v>2219500</v>
      </c>
      <c r="R272" s="308"/>
      <c r="S272" s="308">
        <v>2090677</v>
      </c>
      <c r="T272" s="311"/>
      <c r="U272" s="308">
        <v>2697591</v>
      </c>
      <c r="V272" s="311"/>
      <c r="W272" s="296">
        <v>2677115</v>
      </c>
      <c r="X272" s="312"/>
      <c r="Y272" s="308">
        <v>2457018</v>
      </c>
      <c r="Z272" s="311"/>
      <c r="AA272" s="308">
        <v>2779753</v>
      </c>
      <c r="AB272" s="311"/>
      <c r="AC272" s="308">
        <v>2719510</v>
      </c>
      <c r="AD272" s="47">
        <f t="shared" si="17"/>
        <v>28347007</v>
      </c>
      <c r="AE272" s="47"/>
    </row>
    <row r="273" spans="1:31" x14ac:dyDescent="0.25">
      <c r="A273" s="299">
        <v>269</v>
      </c>
      <c r="B273" s="229" t="s">
        <v>32</v>
      </c>
      <c r="E273" s="294"/>
      <c r="F273" s="294"/>
      <c r="G273" s="291"/>
      <c r="I273" s="291"/>
      <c r="K273" s="291"/>
      <c r="M273" s="291"/>
      <c r="O273" s="291"/>
      <c r="Q273" s="291"/>
      <c r="S273" s="308"/>
      <c r="T273" s="311"/>
      <c r="U273" s="308"/>
      <c r="V273" s="311"/>
      <c r="W273" s="291"/>
      <c r="X273" s="294"/>
      <c r="Y273" s="308"/>
      <c r="Z273" s="311"/>
      <c r="AA273" s="308"/>
      <c r="AB273" s="311"/>
      <c r="AC273" s="308"/>
      <c r="AD273" s="47">
        <f t="shared" si="17"/>
        <v>0</v>
      </c>
      <c r="AE273" s="47"/>
    </row>
    <row r="274" spans="1:31" x14ac:dyDescent="0.25">
      <c r="A274" s="299">
        <v>270</v>
      </c>
      <c r="B274" s="229" t="s">
        <v>33</v>
      </c>
      <c r="E274" s="294"/>
      <c r="F274" s="294"/>
      <c r="G274" s="308">
        <f>SUM(G272:G273)</f>
        <v>938576</v>
      </c>
      <c r="H274" s="308"/>
      <c r="I274" s="308">
        <f>SUM(I272:I273)</f>
        <v>2041529</v>
      </c>
      <c r="J274" s="308"/>
      <c r="K274" s="308">
        <f>SUM(K272:K273)</f>
        <v>2359414</v>
      </c>
      <c r="L274" s="308"/>
      <c r="M274" s="308">
        <f>SUM(M272:M273)</f>
        <v>2520690</v>
      </c>
      <c r="N274" s="308"/>
      <c r="O274" s="308">
        <f>SUM(O272:O273)</f>
        <v>2845634</v>
      </c>
      <c r="P274" s="308"/>
      <c r="Q274" s="308">
        <f>SUM(Q272:Q273)</f>
        <v>2219500</v>
      </c>
      <c r="R274" s="308"/>
      <c r="S274" s="308">
        <f>SUM(S272:S273)</f>
        <v>2090677</v>
      </c>
      <c r="T274" s="311"/>
      <c r="U274" s="308">
        <f>SUM(U272:U273)</f>
        <v>2697591</v>
      </c>
      <c r="V274" s="311"/>
      <c r="W274" s="308">
        <f>SUM(W272:W273)</f>
        <v>2677115</v>
      </c>
      <c r="X274" s="311"/>
      <c r="Y274" s="308">
        <f>SUM(Y272:Y273)</f>
        <v>2457018</v>
      </c>
      <c r="Z274" s="311"/>
      <c r="AA274" s="308">
        <f>SUM(AA272:AA273)</f>
        <v>2779753</v>
      </c>
      <c r="AB274" s="311"/>
      <c r="AC274" s="308">
        <f>SUM(AC272:AC273)</f>
        <v>2719510</v>
      </c>
      <c r="AD274" s="47">
        <f t="shared" si="17"/>
        <v>28347007</v>
      </c>
      <c r="AE274" s="47"/>
    </row>
    <row r="275" spans="1:31" x14ac:dyDescent="0.25">
      <c r="A275" s="299">
        <v>271</v>
      </c>
      <c r="B275" s="226"/>
    </row>
    <row r="276" spans="1:31" x14ac:dyDescent="0.25">
      <c r="A276" s="299">
        <v>272</v>
      </c>
      <c r="B276" s="313" t="s">
        <v>135</v>
      </c>
    </row>
    <row r="277" spans="1:31" x14ac:dyDescent="0.25">
      <c r="A277" s="299">
        <v>273</v>
      </c>
      <c r="B277" s="229" t="s">
        <v>25</v>
      </c>
      <c r="G277" s="307">
        <v>625</v>
      </c>
      <c r="H277" s="308"/>
      <c r="I277" s="307">
        <v>625</v>
      </c>
      <c r="J277" s="308"/>
      <c r="K277" s="307">
        <v>625</v>
      </c>
      <c r="L277" s="308"/>
      <c r="M277" s="307">
        <v>625</v>
      </c>
      <c r="N277" s="308"/>
      <c r="O277" s="307">
        <v>625</v>
      </c>
      <c r="P277" s="308"/>
      <c r="Q277" s="307">
        <v>625</v>
      </c>
      <c r="R277" s="308"/>
      <c r="S277" s="307">
        <v>625</v>
      </c>
      <c r="T277" s="308"/>
      <c r="U277" s="307">
        <v>625</v>
      </c>
      <c r="V277" s="308"/>
      <c r="W277" s="269">
        <v>625</v>
      </c>
      <c r="Y277" s="269">
        <v>625</v>
      </c>
      <c r="AA277" s="307">
        <v>625</v>
      </c>
      <c r="AB277" s="308"/>
      <c r="AC277" s="307">
        <v>625</v>
      </c>
      <c r="AD277" s="68">
        <f t="shared" ref="AD277:AD288" si="18">SUM(G277:AC277)</f>
        <v>7500</v>
      </c>
    </row>
    <row r="278" spans="1:31" x14ac:dyDescent="0.25">
      <c r="A278" s="299">
        <v>274</v>
      </c>
      <c r="B278" s="229" t="s">
        <v>185</v>
      </c>
      <c r="G278" s="307">
        <v>2250</v>
      </c>
      <c r="H278" s="308"/>
      <c r="I278" s="307">
        <v>2250</v>
      </c>
      <c r="J278" s="308"/>
      <c r="K278" s="307">
        <v>2250</v>
      </c>
      <c r="L278" s="308"/>
      <c r="M278" s="307">
        <v>2250</v>
      </c>
      <c r="N278" s="308"/>
      <c r="O278" s="307">
        <v>2250</v>
      </c>
      <c r="P278" s="308"/>
      <c r="Q278" s="307">
        <v>2250</v>
      </c>
      <c r="R278" s="308"/>
      <c r="S278" s="307">
        <v>2250</v>
      </c>
      <c r="T278" s="308"/>
      <c r="U278" s="307">
        <v>2250</v>
      </c>
      <c r="V278" s="308"/>
      <c r="W278" s="269">
        <v>2250</v>
      </c>
      <c r="Y278" s="307">
        <v>2250</v>
      </c>
      <c r="Z278" s="308"/>
      <c r="AA278" s="307">
        <v>2250</v>
      </c>
      <c r="AB278" s="308"/>
      <c r="AC278" s="307">
        <v>2250</v>
      </c>
      <c r="AD278" s="68">
        <f t="shared" si="18"/>
        <v>27000</v>
      </c>
    </row>
    <row r="279" spans="1:31" x14ac:dyDescent="0.25">
      <c r="A279" s="299">
        <v>275</v>
      </c>
      <c r="B279" s="229" t="s">
        <v>158</v>
      </c>
      <c r="G279" s="307">
        <v>306.19</v>
      </c>
      <c r="H279" s="308"/>
      <c r="I279" s="307">
        <v>334.17</v>
      </c>
      <c r="J279" s="308"/>
      <c r="K279" s="307">
        <v>294.01</v>
      </c>
      <c r="L279" s="308"/>
      <c r="M279" s="307">
        <v>339.3</v>
      </c>
      <c r="N279" s="308"/>
      <c r="O279" s="307">
        <v>308</v>
      </c>
      <c r="P279" s="308"/>
      <c r="Q279" s="307">
        <v>181.37</v>
      </c>
      <c r="R279" s="308"/>
      <c r="S279" s="307">
        <v>303.63</v>
      </c>
      <c r="T279" s="308"/>
      <c r="U279" s="307">
        <v>262.57</v>
      </c>
      <c r="V279" s="308"/>
      <c r="W279" s="269">
        <v>251.99</v>
      </c>
      <c r="Y279" s="307">
        <v>280.33999999999997</v>
      </c>
      <c r="Z279" s="308"/>
      <c r="AA279" s="307">
        <v>314.82</v>
      </c>
      <c r="AB279" s="308"/>
      <c r="AC279" s="307">
        <v>303.55</v>
      </c>
      <c r="AD279" s="68">
        <f t="shared" si="18"/>
        <v>3479.940000000001</v>
      </c>
    </row>
    <row r="280" spans="1:31" x14ac:dyDescent="0.25">
      <c r="A280" s="299">
        <v>276</v>
      </c>
      <c r="B280" s="229" t="s">
        <v>157</v>
      </c>
      <c r="G280" s="307">
        <v>8872.9699999999993</v>
      </c>
      <c r="H280" s="308"/>
      <c r="I280" s="307">
        <v>9683.75</v>
      </c>
      <c r="J280" s="308"/>
      <c r="K280" s="307">
        <v>8520.17</v>
      </c>
      <c r="L280" s="308"/>
      <c r="M280" s="307">
        <v>9832.57</v>
      </c>
      <c r="N280" s="308"/>
      <c r="O280" s="307">
        <v>8925.43</v>
      </c>
      <c r="P280" s="308"/>
      <c r="Q280" s="307">
        <v>5255.9</v>
      </c>
      <c r="R280" s="308"/>
      <c r="S280" s="307">
        <v>8798.85</v>
      </c>
      <c r="T280" s="308"/>
      <c r="U280" s="307">
        <v>7608.83</v>
      </c>
      <c r="V280" s="308"/>
      <c r="W280" s="269">
        <v>7302.3</v>
      </c>
      <c r="Y280" s="269">
        <v>8123.82</v>
      </c>
      <c r="AA280" s="269">
        <v>9269.0400000000009</v>
      </c>
      <c r="AC280" s="269">
        <v>8937.14</v>
      </c>
      <c r="AD280" s="68">
        <f t="shared" si="18"/>
        <v>101130.77</v>
      </c>
    </row>
    <row r="281" spans="1:31" x14ac:dyDescent="0.25">
      <c r="A281" s="299">
        <v>277</v>
      </c>
      <c r="B281" s="229" t="s">
        <v>194</v>
      </c>
      <c r="H281" s="308"/>
      <c r="J281" s="308"/>
      <c r="L281" s="308"/>
      <c r="N281" s="308"/>
      <c r="P281" s="308"/>
      <c r="R281" s="308"/>
      <c r="S281" s="307"/>
      <c r="T281" s="308"/>
      <c r="U281" s="307"/>
      <c r="V281" s="308"/>
      <c r="AD281" s="68">
        <f t="shared" si="18"/>
        <v>0</v>
      </c>
    </row>
    <row r="282" spans="1:31" x14ac:dyDescent="0.25">
      <c r="A282" s="299">
        <v>278</v>
      </c>
      <c r="B282" s="229" t="s">
        <v>172</v>
      </c>
      <c r="G282" s="307"/>
      <c r="H282" s="308"/>
      <c r="I282" s="307"/>
      <c r="J282" s="308"/>
      <c r="K282" s="307"/>
      <c r="L282" s="308"/>
      <c r="M282" s="307"/>
      <c r="N282" s="308"/>
      <c r="O282" s="307"/>
      <c r="P282" s="308"/>
      <c r="Q282" s="307"/>
      <c r="R282" s="308"/>
      <c r="T282" s="308"/>
      <c r="U282" s="307"/>
      <c r="V282" s="308"/>
      <c r="Y282" s="307"/>
      <c r="Z282" s="308"/>
      <c r="AA282" s="307"/>
      <c r="AB282" s="308"/>
      <c r="AC282" s="307"/>
      <c r="AD282" s="68">
        <f t="shared" si="18"/>
        <v>0</v>
      </c>
    </row>
    <row r="283" spans="1:31" x14ac:dyDescent="0.25">
      <c r="A283" s="299">
        <v>279</v>
      </c>
      <c r="B283" s="229" t="s">
        <v>20</v>
      </c>
      <c r="G283" s="307">
        <v>534.12</v>
      </c>
      <c r="H283" s="308"/>
      <c r="I283" s="307">
        <v>571.29</v>
      </c>
      <c r="J283" s="308"/>
      <c r="K283" s="307">
        <v>517.95000000000005</v>
      </c>
      <c r="L283" s="308"/>
      <c r="M283" s="307">
        <v>578.11</v>
      </c>
      <c r="N283" s="308"/>
      <c r="O283" s="307">
        <v>536.52</v>
      </c>
      <c r="P283" s="308"/>
      <c r="Q283" s="307">
        <v>368.32</v>
      </c>
      <c r="R283" s="308"/>
      <c r="S283" s="307">
        <v>530.72</v>
      </c>
      <c r="T283" s="308"/>
      <c r="U283" s="307">
        <v>476.17</v>
      </c>
      <c r="V283" s="308"/>
      <c r="W283" s="269">
        <v>462.12</v>
      </c>
      <c r="Y283" s="307">
        <v>499.78</v>
      </c>
      <c r="Z283" s="308"/>
      <c r="AA283" s="307">
        <v>552.04999999999995</v>
      </c>
      <c r="AB283" s="308"/>
      <c r="AC283" s="307">
        <v>536.85</v>
      </c>
      <c r="AD283" s="68">
        <f t="shared" si="18"/>
        <v>6164</v>
      </c>
    </row>
    <row r="284" spans="1:31" x14ac:dyDescent="0.25">
      <c r="A284" s="299">
        <v>280</v>
      </c>
      <c r="B284" s="229" t="s">
        <v>29</v>
      </c>
      <c r="G284" s="307"/>
      <c r="H284" s="308"/>
      <c r="I284" s="307"/>
      <c r="J284" s="308"/>
      <c r="K284" s="307"/>
      <c r="L284" s="308"/>
      <c r="M284" s="307"/>
      <c r="N284" s="308"/>
      <c r="O284" s="307"/>
      <c r="P284" s="308"/>
      <c r="Q284" s="307"/>
      <c r="R284" s="308"/>
      <c r="S284" s="307"/>
      <c r="T284" s="308"/>
      <c r="U284" s="307"/>
      <c r="V284" s="308"/>
      <c r="AD284" s="68">
        <f t="shared" si="18"/>
        <v>0</v>
      </c>
    </row>
    <row r="285" spans="1:31" x14ac:dyDescent="0.25">
      <c r="A285" s="299">
        <v>281</v>
      </c>
      <c r="B285" s="229" t="s">
        <v>30</v>
      </c>
      <c r="G285" s="307">
        <f>SUM(G277:G284)</f>
        <v>12588.28</v>
      </c>
      <c r="H285" s="307"/>
      <c r="I285" s="307">
        <f>SUM(I277:I284)</f>
        <v>13464.21</v>
      </c>
      <c r="J285" s="307"/>
      <c r="K285" s="307">
        <f>SUM(K277:K284)</f>
        <v>12207.130000000001</v>
      </c>
      <c r="L285" s="307"/>
      <c r="M285" s="307">
        <f>SUM(M277:M284)</f>
        <v>13624.98</v>
      </c>
      <c r="N285" s="307"/>
      <c r="O285" s="307">
        <f>SUM(O277:O284)</f>
        <v>12644.95</v>
      </c>
      <c r="P285" s="307"/>
      <c r="Q285" s="307">
        <f>SUM(Q277:Q284)</f>
        <v>8680.59</v>
      </c>
      <c r="R285" s="307"/>
      <c r="S285" s="307">
        <f>SUM(S277:S284)</f>
        <v>12508.199999999999</v>
      </c>
      <c r="T285" s="307"/>
      <c r="U285" s="307">
        <f>SUM(U277:U284)</f>
        <v>11222.57</v>
      </c>
      <c r="V285" s="307"/>
      <c r="W285" s="307">
        <f>SUM(W277:W284)</f>
        <v>10891.410000000002</v>
      </c>
      <c r="X285" s="307"/>
      <c r="Y285" s="307">
        <f>SUM(Y277:Y284)</f>
        <v>11778.94</v>
      </c>
      <c r="Z285" s="307"/>
      <c r="AA285" s="307">
        <f>SUM(AA277:AA284)</f>
        <v>13010.91</v>
      </c>
      <c r="AB285" s="307"/>
      <c r="AC285" s="307">
        <f>SUM(AC277:AC284)</f>
        <v>12652.539999999999</v>
      </c>
      <c r="AD285" s="68">
        <f t="shared" si="18"/>
        <v>145274.71</v>
      </c>
    </row>
    <row r="286" spans="1:31" x14ac:dyDescent="0.25">
      <c r="A286" s="299">
        <v>282</v>
      </c>
      <c r="B286" s="229" t="s">
        <v>31</v>
      </c>
      <c r="F286" s="294"/>
      <c r="G286" s="308">
        <v>765472</v>
      </c>
      <c r="H286" s="308"/>
      <c r="I286" s="308">
        <v>835418</v>
      </c>
      <c r="J286" s="308"/>
      <c r="K286" s="308">
        <v>735036</v>
      </c>
      <c r="L286" s="308"/>
      <c r="M286" s="308">
        <v>848257</v>
      </c>
      <c r="N286" s="308"/>
      <c r="O286" s="308">
        <v>769998</v>
      </c>
      <c r="P286" s="308"/>
      <c r="Q286" s="308">
        <v>453427</v>
      </c>
      <c r="R286" s="311"/>
      <c r="S286" s="308">
        <v>759078</v>
      </c>
      <c r="T286" s="311"/>
      <c r="U286" s="308">
        <v>656415</v>
      </c>
      <c r="V286" s="311"/>
      <c r="W286" s="291">
        <v>629970</v>
      </c>
      <c r="X286" s="294"/>
      <c r="Y286" s="308">
        <v>700843</v>
      </c>
      <c r="Z286" s="311"/>
      <c r="AA286" s="308">
        <v>787046</v>
      </c>
      <c r="AB286" s="311"/>
      <c r="AC286" s="308">
        <v>758864</v>
      </c>
      <c r="AD286" s="47">
        <f t="shared" si="18"/>
        <v>8699824</v>
      </c>
    </row>
    <row r="287" spans="1:31" x14ac:dyDescent="0.25">
      <c r="A287" s="299">
        <v>283</v>
      </c>
      <c r="B287" s="229" t="s">
        <v>32</v>
      </c>
      <c r="F287" s="294"/>
      <c r="G287" s="291"/>
      <c r="I287" s="291"/>
      <c r="K287" s="291"/>
      <c r="M287" s="291"/>
      <c r="O287" s="291"/>
      <c r="Q287" s="291"/>
      <c r="R287" s="294"/>
      <c r="S287" s="308"/>
      <c r="T287" s="311"/>
      <c r="U287" s="308"/>
      <c r="V287" s="311"/>
      <c r="W287" s="291"/>
      <c r="X287" s="294"/>
      <c r="Y287" s="308"/>
      <c r="Z287" s="311"/>
      <c r="AA287" s="308"/>
      <c r="AB287" s="311"/>
      <c r="AC287" s="308"/>
      <c r="AD287" s="47">
        <f t="shared" si="18"/>
        <v>0</v>
      </c>
    </row>
    <row r="288" spans="1:31" x14ac:dyDescent="0.25">
      <c r="A288" s="299">
        <v>284</v>
      </c>
      <c r="B288" s="229" t="s">
        <v>33</v>
      </c>
      <c r="F288" s="294"/>
      <c r="G288" s="308">
        <f>SUM(G286:G287)</f>
        <v>765472</v>
      </c>
      <c r="H288" s="308"/>
      <c r="I288" s="308">
        <f>SUM(I286:I287)</f>
        <v>835418</v>
      </c>
      <c r="J288" s="308"/>
      <c r="K288" s="308">
        <f>SUM(K286:K287)</f>
        <v>735036</v>
      </c>
      <c r="L288" s="308"/>
      <c r="M288" s="308">
        <f>SUM(M286:M287)</f>
        <v>848257</v>
      </c>
      <c r="N288" s="308"/>
      <c r="O288" s="308">
        <f>SUM(O286:O287)</f>
        <v>769998</v>
      </c>
      <c r="P288" s="308"/>
      <c r="Q288" s="308">
        <f>SUM(Q286:Q287)</f>
        <v>453427</v>
      </c>
      <c r="R288" s="311"/>
      <c r="S288" s="308">
        <f>SUM(S286:S287)</f>
        <v>759078</v>
      </c>
      <c r="T288" s="311"/>
      <c r="U288" s="308">
        <f>SUM(U286:U287)</f>
        <v>656415</v>
      </c>
      <c r="V288" s="311"/>
      <c r="W288" s="308">
        <f>SUM(W286:W287)</f>
        <v>629970</v>
      </c>
      <c r="X288" s="311"/>
      <c r="Y288" s="308">
        <f>SUM(Y286:Y287)</f>
        <v>700843</v>
      </c>
      <c r="Z288" s="311"/>
      <c r="AA288" s="308">
        <f>SUM(AA286:AA287)</f>
        <v>787046</v>
      </c>
      <c r="AB288" s="311"/>
      <c r="AC288" s="308">
        <f>SUM(AC286:AC287)</f>
        <v>758864</v>
      </c>
      <c r="AD288" s="47">
        <f t="shared" si="18"/>
        <v>8699824</v>
      </c>
    </row>
    <row r="289" spans="1:31" x14ac:dyDescent="0.25">
      <c r="A289" s="299">
        <v>285</v>
      </c>
      <c r="B289" s="226"/>
    </row>
    <row r="290" spans="1:31" x14ac:dyDescent="0.25">
      <c r="A290" s="299">
        <v>286</v>
      </c>
      <c r="B290" s="313" t="s">
        <v>137</v>
      </c>
    </row>
    <row r="291" spans="1:31" x14ac:dyDescent="0.25">
      <c r="A291" s="299">
        <v>287</v>
      </c>
      <c r="B291" s="229" t="s">
        <v>25</v>
      </c>
      <c r="G291" s="307">
        <v>625</v>
      </c>
      <c r="H291" s="308"/>
      <c r="I291" s="307">
        <v>625</v>
      </c>
      <c r="J291" s="308"/>
      <c r="K291" s="307">
        <v>625</v>
      </c>
      <c r="L291" s="308"/>
      <c r="M291" s="307">
        <v>625</v>
      </c>
      <c r="N291" s="308"/>
      <c r="O291" s="307">
        <v>625</v>
      </c>
      <c r="P291" s="308"/>
      <c r="Q291" s="307">
        <v>625</v>
      </c>
      <c r="R291" s="308"/>
      <c r="S291" s="307">
        <v>625</v>
      </c>
      <c r="T291" s="308"/>
      <c r="U291" s="307">
        <v>625</v>
      </c>
      <c r="V291" s="308"/>
      <c r="W291" s="269">
        <v>625</v>
      </c>
      <c r="Y291" s="307">
        <v>625</v>
      </c>
      <c r="Z291" s="308"/>
      <c r="AA291" s="329">
        <v>625</v>
      </c>
      <c r="AB291" s="308"/>
      <c r="AC291" s="307">
        <v>625</v>
      </c>
      <c r="AD291" s="68">
        <f t="shared" ref="AD291:AD302" si="19">SUM(G291:AC291)</f>
        <v>7500</v>
      </c>
    </row>
    <row r="292" spans="1:31" x14ac:dyDescent="0.25">
      <c r="A292" s="299">
        <v>288</v>
      </c>
      <c r="B292" s="229" t="s">
        <v>185</v>
      </c>
      <c r="G292" s="307">
        <v>3950</v>
      </c>
      <c r="H292" s="308"/>
      <c r="I292" s="307">
        <v>3950</v>
      </c>
      <c r="J292" s="308"/>
      <c r="K292" s="307">
        <v>3950</v>
      </c>
      <c r="L292" s="308"/>
      <c r="M292" s="307">
        <v>3950</v>
      </c>
      <c r="N292" s="308"/>
      <c r="O292" s="307">
        <v>3950</v>
      </c>
      <c r="P292" s="308"/>
      <c r="Q292" s="307">
        <v>3950</v>
      </c>
      <c r="R292" s="308"/>
      <c r="S292" s="307">
        <v>3950</v>
      </c>
      <c r="T292" s="308"/>
      <c r="U292" s="307">
        <v>3950</v>
      </c>
      <c r="V292" s="308"/>
      <c r="W292" s="269">
        <v>3950</v>
      </c>
      <c r="Y292" s="307">
        <v>3950</v>
      </c>
      <c r="Z292" s="308"/>
      <c r="AA292" s="329">
        <v>3950</v>
      </c>
      <c r="AB292" s="308"/>
      <c r="AC292" s="307">
        <v>3950</v>
      </c>
      <c r="AD292" s="68">
        <f t="shared" si="19"/>
        <v>47400</v>
      </c>
    </row>
    <row r="293" spans="1:31" x14ac:dyDescent="0.25">
      <c r="A293" s="299">
        <v>289</v>
      </c>
      <c r="B293" s="229" t="s">
        <v>158</v>
      </c>
      <c r="G293" s="307">
        <v>200.97</v>
      </c>
      <c r="H293" s="308"/>
      <c r="I293" s="307">
        <v>225.62</v>
      </c>
      <c r="J293" s="308"/>
      <c r="K293" s="307">
        <v>215.56</v>
      </c>
      <c r="L293" s="308"/>
      <c r="M293" s="307">
        <v>215.3</v>
      </c>
      <c r="N293" s="308"/>
      <c r="O293" s="307">
        <v>158.93</v>
      </c>
      <c r="P293" s="308"/>
      <c r="Q293" s="307">
        <v>156.27000000000001</v>
      </c>
      <c r="R293" s="308"/>
      <c r="S293" s="307">
        <v>131.12</v>
      </c>
      <c r="T293" s="308"/>
      <c r="U293" s="307">
        <v>135.83000000000001</v>
      </c>
      <c r="V293" s="308"/>
      <c r="W293" s="269">
        <v>111.37</v>
      </c>
      <c r="Y293" s="307">
        <v>127.3</v>
      </c>
      <c r="Z293" s="308"/>
      <c r="AA293" s="329">
        <v>139.5</v>
      </c>
      <c r="AB293" s="308"/>
      <c r="AC293" s="307">
        <v>130.18</v>
      </c>
      <c r="AD293" s="68">
        <f t="shared" si="19"/>
        <v>1947.9499999999998</v>
      </c>
    </row>
    <row r="294" spans="1:31" x14ac:dyDescent="0.25">
      <c r="A294" s="299">
        <v>290</v>
      </c>
      <c r="B294" s="229" t="s">
        <v>157</v>
      </c>
      <c r="H294" s="308"/>
      <c r="J294" s="308"/>
      <c r="L294" s="308"/>
      <c r="N294" s="308"/>
      <c r="P294" s="308"/>
      <c r="R294" s="308"/>
      <c r="S294" s="307"/>
      <c r="T294" s="308"/>
      <c r="U294" s="307"/>
      <c r="V294" s="308"/>
      <c r="AA294" s="300"/>
      <c r="AD294" s="68">
        <f t="shared" si="19"/>
        <v>0</v>
      </c>
    </row>
    <row r="295" spans="1:31" x14ac:dyDescent="0.25">
      <c r="A295" s="299">
        <v>291</v>
      </c>
      <c r="B295" s="229" t="s">
        <v>194</v>
      </c>
      <c r="H295" s="308"/>
      <c r="J295" s="308"/>
      <c r="L295" s="308"/>
      <c r="N295" s="308"/>
      <c r="P295" s="308"/>
      <c r="R295" s="308"/>
      <c r="S295" s="307"/>
      <c r="T295" s="308"/>
      <c r="U295" s="307"/>
      <c r="V295" s="308"/>
      <c r="AA295" s="300"/>
      <c r="AD295" s="68">
        <f t="shared" si="19"/>
        <v>0</v>
      </c>
    </row>
    <row r="296" spans="1:31" x14ac:dyDescent="0.25">
      <c r="A296" s="299">
        <v>292</v>
      </c>
      <c r="B296" s="229" t="s">
        <v>172</v>
      </c>
      <c r="G296" s="307">
        <v>8905.0300000000007</v>
      </c>
      <c r="H296" s="308"/>
      <c r="I296" s="307">
        <v>9997.23</v>
      </c>
      <c r="J296" s="308"/>
      <c r="K296" s="307">
        <v>9551.64</v>
      </c>
      <c r="L296" s="308"/>
      <c r="M296" s="307">
        <v>9540.23</v>
      </c>
      <c r="N296" s="308"/>
      <c r="O296" s="307">
        <v>7042.2</v>
      </c>
      <c r="P296" s="308"/>
      <c r="Q296" s="307">
        <v>6924.62</v>
      </c>
      <c r="R296" s="308"/>
      <c r="S296" s="307">
        <v>5809.81</v>
      </c>
      <c r="T296" s="308"/>
      <c r="U296" s="307">
        <v>6018.62</v>
      </c>
      <c r="V296" s="308"/>
      <c r="W296" s="269">
        <v>4935.1000000000004</v>
      </c>
      <c r="Y296" s="307">
        <v>5640.76</v>
      </c>
      <c r="Z296" s="308"/>
      <c r="AA296" s="329">
        <v>6280.06</v>
      </c>
      <c r="AB296" s="308"/>
      <c r="AC296" s="307">
        <v>5860.56</v>
      </c>
      <c r="AD296" s="68">
        <f t="shared" si="19"/>
        <v>86505.86</v>
      </c>
    </row>
    <row r="297" spans="1:31" x14ac:dyDescent="0.25">
      <c r="A297" s="299">
        <v>293</v>
      </c>
      <c r="B297" s="229" t="s">
        <v>29</v>
      </c>
      <c r="H297" s="308"/>
      <c r="J297" s="308"/>
      <c r="L297" s="308"/>
      <c r="N297" s="308"/>
      <c r="P297" s="308"/>
      <c r="R297" s="308"/>
      <c r="T297" s="308"/>
      <c r="U297" s="307"/>
      <c r="V297" s="308"/>
      <c r="AA297" s="300"/>
      <c r="AD297" s="68">
        <f t="shared" si="19"/>
        <v>0</v>
      </c>
    </row>
    <row r="298" spans="1:31" x14ac:dyDescent="0.25">
      <c r="A298" s="299">
        <v>294</v>
      </c>
      <c r="B298" s="229" t="s">
        <v>20</v>
      </c>
      <c r="G298" s="307">
        <v>606.21</v>
      </c>
      <c r="H298" s="308"/>
      <c r="I298" s="307">
        <v>655.69</v>
      </c>
      <c r="J298" s="308"/>
      <c r="K298" s="307">
        <v>635.5</v>
      </c>
      <c r="L298" s="308"/>
      <c r="M298" s="307">
        <v>634.99</v>
      </c>
      <c r="N298" s="308"/>
      <c r="O298" s="307">
        <v>521.79999999999995</v>
      </c>
      <c r="P298" s="308"/>
      <c r="Q298" s="307">
        <v>516.47</v>
      </c>
      <c r="R298" s="308"/>
      <c r="S298" s="307">
        <v>465.96</v>
      </c>
      <c r="T298" s="308"/>
      <c r="U298" s="307">
        <v>475.42</v>
      </c>
      <c r="V298" s="308"/>
      <c r="W298" s="269">
        <v>426.33</v>
      </c>
      <c r="Y298" s="307">
        <v>458.3</v>
      </c>
      <c r="Z298" s="308"/>
      <c r="AA298" s="329">
        <v>487.17</v>
      </c>
      <c r="AB298" s="308"/>
      <c r="AC298" s="307">
        <v>468.17</v>
      </c>
      <c r="AD298" s="68">
        <f t="shared" si="19"/>
        <v>6352.0100000000011</v>
      </c>
    </row>
    <row r="299" spans="1:31" x14ac:dyDescent="0.25">
      <c r="A299" s="299">
        <v>295</v>
      </c>
      <c r="B299" s="229" t="s">
        <v>30</v>
      </c>
      <c r="G299" s="307">
        <f>SUM(G291:G298)</f>
        <v>14287.21</v>
      </c>
      <c r="H299" s="307"/>
      <c r="I299" s="307">
        <f>SUM(I291:I298)</f>
        <v>15453.539999999999</v>
      </c>
      <c r="J299" s="307"/>
      <c r="K299" s="307">
        <f>SUM(K291:K298)</f>
        <v>14977.7</v>
      </c>
      <c r="L299" s="307"/>
      <c r="M299" s="307">
        <f>SUM(M291:M298)</f>
        <v>14965.519999999999</v>
      </c>
      <c r="N299" s="307"/>
      <c r="O299" s="307">
        <f>SUM(O291:O298)</f>
        <v>12297.93</v>
      </c>
      <c r="P299" s="307"/>
      <c r="Q299" s="307">
        <f>SUM(Q291:Q298)</f>
        <v>12172.359999999999</v>
      </c>
      <c r="R299" s="307"/>
      <c r="S299" s="307">
        <f>SUM(S291:S298)</f>
        <v>10981.89</v>
      </c>
      <c r="T299" s="307"/>
      <c r="U299" s="307">
        <f>SUM(U291:U298)</f>
        <v>11204.87</v>
      </c>
      <c r="V299" s="307"/>
      <c r="W299" s="307">
        <f>SUM(W291:W298)</f>
        <v>10047.800000000001</v>
      </c>
      <c r="X299" s="307"/>
      <c r="Y299" s="307">
        <f>SUM(Y291:Y298)</f>
        <v>10801.36</v>
      </c>
      <c r="Z299" s="307"/>
      <c r="AA299" s="329">
        <f>SUM(AA291:AA298)</f>
        <v>11481.730000000001</v>
      </c>
      <c r="AB299" s="307"/>
      <c r="AC299" s="307">
        <f>SUM(AC291:AC298)</f>
        <v>11033.910000000002</v>
      </c>
      <c r="AD299" s="68">
        <f t="shared" si="19"/>
        <v>149705.82</v>
      </c>
    </row>
    <row r="300" spans="1:31" x14ac:dyDescent="0.25">
      <c r="A300" s="299">
        <v>296</v>
      </c>
      <c r="B300" s="229" t="s">
        <v>31</v>
      </c>
      <c r="F300" s="294"/>
      <c r="G300" s="308">
        <v>502419</v>
      </c>
      <c r="H300" s="308"/>
      <c r="I300" s="308">
        <v>564041</v>
      </c>
      <c r="J300" s="308"/>
      <c r="K300" s="308">
        <v>538901</v>
      </c>
      <c r="L300" s="308"/>
      <c r="M300" s="308">
        <v>538257</v>
      </c>
      <c r="N300" s="308"/>
      <c r="O300" s="308">
        <v>397319</v>
      </c>
      <c r="P300" s="308"/>
      <c r="Q300" s="308">
        <v>390685</v>
      </c>
      <c r="R300" s="308"/>
      <c r="S300" s="308">
        <v>327788</v>
      </c>
      <c r="T300" s="308"/>
      <c r="U300" s="308">
        <v>339569</v>
      </c>
      <c r="V300" s="311"/>
      <c r="W300" s="291">
        <v>278437</v>
      </c>
      <c r="X300" s="294"/>
      <c r="Y300" s="308">
        <v>318250</v>
      </c>
      <c r="Z300" s="311"/>
      <c r="AA300" s="330">
        <v>348739</v>
      </c>
      <c r="AB300" s="311"/>
      <c r="AC300" s="308">
        <v>325444</v>
      </c>
      <c r="AD300" s="47">
        <f t="shared" si="19"/>
        <v>4869849</v>
      </c>
      <c r="AE300" s="47"/>
    </row>
    <row r="301" spans="1:31" x14ac:dyDescent="0.25">
      <c r="A301" s="299">
        <v>297</v>
      </c>
      <c r="B301" s="229" t="s">
        <v>32</v>
      </c>
      <c r="F301" s="294"/>
      <c r="G301" s="291"/>
      <c r="I301" s="291"/>
      <c r="K301" s="291"/>
      <c r="M301" s="291"/>
      <c r="O301" s="291"/>
      <c r="Q301" s="291"/>
      <c r="S301" s="308"/>
      <c r="T301" s="308"/>
      <c r="U301" s="308"/>
      <c r="V301" s="311"/>
      <c r="W301" s="291"/>
      <c r="X301" s="294"/>
      <c r="Y301" s="308"/>
      <c r="Z301" s="311"/>
      <c r="AA301" s="330"/>
      <c r="AB301" s="311"/>
      <c r="AC301" s="308"/>
      <c r="AD301" s="47">
        <f t="shared" si="19"/>
        <v>0</v>
      </c>
      <c r="AE301" s="47"/>
    </row>
    <row r="302" spans="1:31" x14ac:dyDescent="0.25">
      <c r="A302" s="299">
        <v>298</v>
      </c>
      <c r="B302" s="229" t="s">
        <v>33</v>
      </c>
      <c r="F302" s="294"/>
      <c r="G302" s="308">
        <f>SUM(G300:G301)</f>
        <v>502419</v>
      </c>
      <c r="H302" s="308"/>
      <c r="I302" s="308">
        <f>SUM(I300:I301)</f>
        <v>564041</v>
      </c>
      <c r="J302" s="308"/>
      <c r="K302" s="308">
        <f>SUM(K300:K301)</f>
        <v>538901</v>
      </c>
      <c r="L302" s="308"/>
      <c r="M302" s="308">
        <f>SUM(M300:M301)</f>
        <v>538257</v>
      </c>
      <c r="N302" s="308"/>
      <c r="O302" s="308">
        <f>SUM(O300:O301)</f>
        <v>397319</v>
      </c>
      <c r="P302" s="308"/>
      <c r="Q302" s="308">
        <f>SUM(Q300:Q301)</f>
        <v>390685</v>
      </c>
      <c r="R302" s="308"/>
      <c r="S302" s="308">
        <f>SUM(S300:S301)</f>
        <v>327788</v>
      </c>
      <c r="T302" s="308"/>
      <c r="U302" s="308">
        <f>SUM(U300:U301)</f>
        <v>339569</v>
      </c>
      <c r="V302" s="311"/>
      <c r="W302" s="308">
        <f>SUM(W300:W301)</f>
        <v>278437</v>
      </c>
      <c r="X302" s="311"/>
      <c r="Y302" s="308">
        <f>SUM(Y300:Y301)</f>
        <v>318250</v>
      </c>
      <c r="Z302" s="311"/>
      <c r="AA302" s="331">
        <f>SUM(AA300:AA301)</f>
        <v>348739</v>
      </c>
      <c r="AB302" s="311"/>
      <c r="AC302" s="308">
        <f>SUM(AC300:AC301)</f>
        <v>325444</v>
      </c>
      <c r="AD302" s="47">
        <f t="shared" si="19"/>
        <v>4869849</v>
      </c>
      <c r="AE302" s="47"/>
    </row>
    <row r="303" spans="1:31" x14ac:dyDescent="0.25">
      <c r="A303" s="299">
        <v>299</v>
      </c>
      <c r="B303" s="226"/>
      <c r="G303" s="298"/>
      <c r="I303" s="298"/>
      <c r="K303" s="298"/>
      <c r="M303" s="298"/>
      <c r="O303" s="298"/>
      <c r="Q303" s="298"/>
      <c r="S303" s="298"/>
    </row>
    <row r="304" spans="1:31" x14ac:dyDescent="0.25">
      <c r="A304" s="299">
        <v>300</v>
      </c>
      <c r="B304" s="313" t="s">
        <v>139</v>
      </c>
      <c r="G304" s="298"/>
      <c r="I304" s="298"/>
      <c r="K304" s="298"/>
      <c r="M304" s="298"/>
      <c r="O304" s="298"/>
      <c r="Q304" s="298"/>
      <c r="S304" s="298"/>
    </row>
    <row r="305" spans="1:30" x14ac:dyDescent="0.25">
      <c r="A305" s="299">
        <v>301</v>
      </c>
      <c r="B305" s="229" t="s">
        <v>25</v>
      </c>
      <c r="G305" s="307">
        <v>625</v>
      </c>
      <c r="H305" s="308"/>
      <c r="I305" s="307">
        <v>625</v>
      </c>
      <c r="J305" s="308"/>
      <c r="K305" s="307">
        <v>625</v>
      </c>
      <c r="L305" s="308"/>
      <c r="M305" s="307">
        <v>625</v>
      </c>
      <c r="N305" s="308"/>
      <c r="O305" s="307">
        <v>625</v>
      </c>
      <c r="P305" s="308"/>
      <c r="Q305" s="307">
        <v>625</v>
      </c>
      <c r="R305" s="308"/>
      <c r="S305" s="307">
        <v>625</v>
      </c>
      <c r="T305" s="308"/>
      <c r="U305" s="307">
        <v>625</v>
      </c>
      <c r="V305" s="308"/>
      <c r="W305" s="316">
        <v>625</v>
      </c>
      <c r="X305" s="317"/>
      <c r="Y305" s="307">
        <v>625</v>
      </c>
      <c r="Z305" s="308"/>
      <c r="AA305" s="307">
        <v>625</v>
      </c>
      <c r="AB305" s="308"/>
      <c r="AC305" s="307">
        <v>625</v>
      </c>
      <c r="AD305" s="68">
        <f t="shared" ref="AD305:AD316" si="20">SUM(G305:AC305)</f>
        <v>7500</v>
      </c>
    </row>
    <row r="306" spans="1:30" x14ac:dyDescent="0.25">
      <c r="A306" s="299">
        <v>302</v>
      </c>
      <c r="B306" s="229" t="s">
        <v>185</v>
      </c>
      <c r="G306" s="307">
        <v>6725</v>
      </c>
      <c r="H306" s="308"/>
      <c r="I306" s="307">
        <v>6725</v>
      </c>
      <c r="J306" s="308"/>
      <c r="K306" s="307">
        <v>6725</v>
      </c>
      <c r="L306" s="308"/>
      <c r="M306" s="307">
        <v>6725</v>
      </c>
      <c r="N306" s="308"/>
      <c r="O306" s="307">
        <v>6725</v>
      </c>
      <c r="P306" s="308"/>
      <c r="Q306" s="307">
        <v>6725</v>
      </c>
      <c r="R306" s="308"/>
      <c r="S306" s="307">
        <v>6725</v>
      </c>
      <c r="T306" s="308"/>
      <c r="U306" s="307">
        <v>6725</v>
      </c>
      <c r="V306" s="308"/>
      <c r="W306" s="316">
        <v>6725</v>
      </c>
      <c r="X306" s="317"/>
      <c r="Y306" s="307">
        <v>6725</v>
      </c>
      <c r="Z306" s="308"/>
      <c r="AA306" s="307">
        <v>6725</v>
      </c>
      <c r="AB306" s="308"/>
      <c r="AC306" s="307">
        <v>6725</v>
      </c>
      <c r="AD306" s="68">
        <f t="shared" si="20"/>
        <v>80700</v>
      </c>
    </row>
    <row r="307" spans="1:30" x14ac:dyDescent="0.25">
      <c r="A307" s="299">
        <v>303</v>
      </c>
      <c r="B307" s="229" t="s">
        <v>158</v>
      </c>
      <c r="G307" s="307">
        <v>477.05</v>
      </c>
      <c r="H307" s="308"/>
      <c r="I307" s="307">
        <v>488.28</v>
      </c>
      <c r="J307" s="308"/>
      <c r="K307" s="307">
        <v>431.3</v>
      </c>
      <c r="L307" s="308"/>
      <c r="M307" s="307">
        <v>461.84</v>
      </c>
      <c r="N307" s="308"/>
      <c r="O307" s="307">
        <v>424.58</v>
      </c>
      <c r="P307" s="308"/>
      <c r="Q307" s="307">
        <v>409.84</v>
      </c>
      <c r="R307" s="308"/>
      <c r="S307" s="307">
        <v>374.87</v>
      </c>
      <c r="T307" s="308"/>
      <c r="U307" s="307">
        <v>383.85</v>
      </c>
      <c r="V307" s="308"/>
      <c r="W307" s="316">
        <v>391.81</v>
      </c>
      <c r="X307" s="317"/>
      <c r="Y307" s="307">
        <v>352.05</v>
      </c>
      <c r="Z307" s="308"/>
      <c r="AA307" s="307">
        <v>394.31</v>
      </c>
      <c r="AB307" s="308"/>
      <c r="AC307" s="307">
        <v>397.82</v>
      </c>
      <c r="AD307" s="68">
        <f t="shared" si="20"/>
        <v>4987.5999999999995</v>
      </c>
    </row>
    <row r="308" spans="1:30" x14ac:dyDescent="0.25">
      <c r="A308" s="299">
        <v>304</v>
      </c>
      <c r="B308" s="229" t="s">
        <v>157</v>
      </c>
      <c r="H308" s="308"/>
      <c r="J308" s="308"/>
      <c r="L308" s="308"/>
      <c r="N308" s="308"/>
      <c r="P308" s="308"/>
      <c r="R308" s="308"/>
      <c r="S308" s="307"/>
      <c r="T308" s="308"/>
      <c r="U308" s="307"/>
      <c r="V308" s="308"/>
      <c r="W308" s="316"/>
      <c r="X308" s="317"/>
      <c r="AD308" s="68">
        <f t="shared" si="20"/>
        <v>0</v>
      </c>
    </row>
    <row r="309" spans="1:30" x14ac:dyDescent="0.25">
      <c r="A309" s="299">
        <v>305</v>
      </c>
      <c r="B309" s="229" t="s">
        <v>194</v>
      </c>
      <c r="H309" s="308"/>
      <c r="J309" s="308"/>
      <c r="L309" s="308"/>
      <c r="N309" s="308"/>
      <c r="P309" s="308"/>
      <c r="R309" s="308"/>
      <c r="S309" s="307"/>
      <c r="T309" s="308"/>
      <c r="U309" s="307"/>
      <c r="V309" s="308"/>
      <c r="W309" s="316"/>
      <c r="X309" s="317"/>
      <c r="AD309" s="68">
        <f t="shared" si="20"/>
        <v>0</v>
      </c>
    </row>
    <row r="310" spans="1:30" x14ac:dyDescent="0.25">
      <c r="A310" s="299">
        <v>306</v>
      </c>
      <c r="B310" s="229" t="s">
        <v>172</v>
      </c>
      <c r="G310" s="307">
        <v>12929.28</v>
      </c>
      <c r="H310" s="308"/>
      <c r="I310" s="307">
        <v>13233.72</v>
      </c>
      <c r="J310" s="308"/>
      <c r="K310" s="307">
        <v>11689.36</v>
      </c>
      <c r="L310" s="308"/>
      <c r="M310" s="307">
        <v>12517.23</v>
      </c>
      <c r="N310" s="308"/>
      <c r="O310" s="307">
        <v>11507.29</v>
      </c>
      <c r="P310" s="308"/>
      <c r="Q310" s="307">
        <v>11107.73</v>
      </c>
      <c r="R310" s="308"/>
      <c r="S310" s="307">
        <v>10160.02</v>
      </c>
      <c r="T310" s="308"/>
      <c r="U310" s="307">
        <v>10403.299999999999</v>
      </c>
      <c r="V310" s="308"/>
      <c r="W310" s="316">
        <v>10619.15</v>
      </c>
      <c r="X310" s="317"/>
      <c r="Y310" s="307">
        <v>9541.57</v>
      </c>
      <c r="Z310" s="308"/>
      <c r="AA310" s="307">
        <v>10858.01</v>
      </c>
      <c r="AB310" s="308"/>
      <c r="AC310" s="307">
        <v>10954.7</v>
      </c>
      <c r="AD310" s="68">
        <f t="shared" si="20"/>
        <v>135521.35999999999</v>
      </c>
    </row>
    <row r="311" spans="1:30" x14ac:dyDescent="0.25">
      <c r="A311" s="299">
        <v>307</v>
      </c>
      <c r="B311" s="229" t="s">
        <v>20</v>
      </c>
      <c r="G311" s="307">
        <v>919.71</v>
      </c>
      <c r="H311" s="308"/>
      <c r="I311" s="307">
        <v>933.7</v>
      </c>
      <c r="J311" s="308"/>
      <c r="K311" s="307">
        <v>862.74</v>
      </c>
      <c r="L311" s="308"/>
      <c r="M311" s="307">
        <v>900.78</v>
      </c>
      <c r="N311" s="308"/>
      <c r="O311" s="307">
        <v>854.38</v>
      </c>
      <c r="P311" s="308"/>
      <c r="Q311" s="307">
        <v>836.02</v>
      </c>
      <c r="R311" s="308"/>
      <c r="S311" s="307">
        <v>792.48</v>
      </c>
      <c r="T311" s="308"/>
      <c r="U311" s="307">
        <v>803.66</v>
      </c>
      <c r="V311" s="308"/>
      <c r="W311" s="316">
        <v>813.57</v>
      </c>
      <c r="X311" s="317"/>
      <c r="Y311" s="307">
        <v>764.06</v>
      </c>
      <c r="Z311" s="308"/>
      <c r="AA311" s="307">
        <v>824.27</v>
      </c>
      <c r="AB311" s="308"/>
      <c r="AC311" s="307">
        <v>828.71</v>
      </c>
      <c r="AD311" s="68">
        <f t="shared" si="20"/>
        <v>10134.079999999998</v>
      </c>
    </row>
    <row r="312" spans="1:30" x14ac:dyDescent="0.25">
      <c r="A312" s="299">
        <v>308</v>
      </c>
      <c r="B312" s="229" t="s">
        <v>29</v>
      </c>
      <c r="G312" s="307"/>
      <c r="H312" s="308"/>
      <c r="I312" s="307"/>
      <c r="J312" s="308"/>
      <c r="K312" s="307"/>
      <c r="L312" s="308"/>
      <c r="M312" s="307"/>
      <c r="N312" s="308"/>
      <c r="O312" s="307"/>
      <c r="P312" s="308"/>
      <c r="Q312" s="307"/>
      <c r="R312" s="308"/>
      <c r="S312" s="307"/>
      <c r="T312" s="308"/>
      <c r="U312" s="307"/>
      <c r="V312" s="308"/>
      <c r="W312" s="316"/>
      <c r="X312" s="317"/>
      <c r="AD312" s="68">
        <f t="shared" si="20"/>
        <v>0</v>
      </c>
    </row>
    <row r="313" spans="1:30" x14ac:dyDescent="0.25">
      <c r="A313" s="299">
        <v>309</v>
      </c>
      <c r="B313" s="229" t="s">
        <v>30</v>
      </c>
      <c r="G313" s="307">
        <f>SUM(G305:G312)</f>
        <v>21676.04</v>
      </c>
      <c r="H313" s="307"/>
      <c r="I313" s="307">
        <f>SUM(I305:I312)</f>
        <v>22005.7</v>
      </c>
      <c r="J313" s="307"/>
      <c r="K313" s="307">
        <f>SUM(K305:K312)</f>
        <v>20333.400000000001</v>
      </c>
      <c r="L313" s="307"/>
      <c r="M313" s="307">
        <f>SUM(M305:M312)</f>
        <v>21229.85</v>
      </c>
      <c r="N313" s="307"/>
      <c r="O313" s="307">
        <f>SUM(O305:O312)</f>
        <v>20136.250000000004</v>
      </c>
      <c r="P313" s="307"/>
      <c r="Q313" s="307">
        <f>SUM(Q305:Q312)</f>
        <v>19703.59</v>
      </c>
      <c r="R313" s="307"/>
      <c r="S313" s="307">
        <f>SUM(S305:S312)</f>
        <v>18677.37</v>
      </c>
      <c r="T313" s="307"/>
      <c r="U313" s="307">
        <f>SUM(U305:U312)</f>
        <v>18940.810000000001</v>
      </c>
      <c r="V313" s="307"/>
      <c r="W313" s="307">
        <f>SUM(W305:W312)</f>
        <v>19174.53</v>
      </c>
      <c r="X313" s="307"/>
      <c r="Y313" s="307">
        <f>SUM(Y305:Y312)</f>
        <v>18007.68</v>
      </c>
      <c r="Z313" s="307"/>
      <c r="AA313" s="307">
        <f>SUM(AA305:AA312)</f>
        <v>19426.59</v>
      </c>
      <c r="AB313" s="307"/>
      <c r="AC313" s="307">
        <f>SUM(AC305:AC312)</f>
        <v>19531.23</v>
      </c>
      <c r="AD313" s="68">
        <f t="shared" si="20"/>
        <v>238843.04</v>
      </c>
    </row>
    <row r="314" spans="1:30" x14ac:dyDescent="0.25">
      <c r="A314" s="299">
        <v>310</v>
      </c>
      <c r="B314" s="229" t="s">
        <v>31</v>
      </c>
      <c r="F314" s="294"/>
      <c r="G314" s="308">
        <v>1192617</v>
      </c>
      <c r="H314" s="308"/>
      <c r="I314" s="308">
        <v>1220699</v>
      </c>
      <c r="J314" s="308"/>
      <c r="K314" s="308">
        <v>1078245</v>
      </c>
      <c r="L314" s="308"/>
      <c r="M314" s="308">
        <v>1154609</v>
      </c>
      <c r="N314" s="308"/>
      <c r="O314" s="308">
        <v>1061450</v>
      </c>
      <c r="P314" s="308"/>
      <c r="Q314" s="308">
        <v>1024594</v>
      </c>
      <c r="R314" s="308"/>
      <c r="S314" s="308">
        <v>937176</v>
      </c>
      <c r="T314" s="311"/>
      <c r="U314" s="308">
        <v>959617</v>
      </c>
      <c r="V314" s="311"/>
      <c r="W314" s="291">
        <v>979527</v>
      </c>
      <c r="X314" s="294"/>
      <c r="Y314" s="308">
        <v>880129</v>
      </c>
      <c r="Z314" s="311"/>
      <c r="AA314" s="308">
        <v>985783</v>
      </c>
      <c r="AB314" s="311"/>
      <c r="AC314" s="308">
        <v>994562</v>
      </c>
      <c r="AD314" s="47">
        <f t="shared" si="20"/>
        <v>12469008</v>
      </c>
    </row>
    <row r="315" spans="1:30" x14ac:dyDescent="0.25">
      <c r="A315" s="299">
        <v>311</v>
      </c>
      <c r="B315" s="229" t="s">
        <v>32</v>
      </c>
      <c r="F315" s="294"/>
      <c r="G315" s="291"/>
      <c r="I315" s="291"/>
      <c r="K315" s="291"/>
      <c r="M315" s="291"/>
      <c r="O315" s="291"/>
      <c r="Q315" s="291"/>
      <c r="S315" s="308"/>
      <c r="T315" s="311"/>
      <c r="U315" s="308"/>
      <c r="V315" s="311"/>
      <c r="W315" s="294"/>
      <c r="X315" s="294"/>
      <c r="Y315" s="308"/>
      <c r="Z315" s="311"/>
      <c r="AA315" s="308"/>
      <c r="AB315" s="311"/>
      <c r="AC315" s="308"/>
      <c r="AD315" s="47">
        <f t="shared" si="20"/>
        <v>0</v>
      </c>
    </row>
    <row r="316" spans="1:30" x14ac:dyDescent="0.25">
      <c r="A316" s="299">
        <v>312</v>
      </c>
      <c r="B316" s="229" t="s">
        <v>33</v>
      </c>
      <c r="F316" s="294"/>
      <c r="G316" s="308">
        <f>SUM(G314:G315)</f>
        <v>1192617</v>
      </c>
      <c r="H316" s="308"/>
      <c r="I316" s="308">
        <f>SUM(I314:I315)</f>
        <v>1220699</v>
      </c>
      <c r="J316" s="308"/>
      <c r="K316" s="308">
        <f>SUM(K314:K315)</f>
        <v>1078245</v>
      </c>
      <c r="L316" s="308"/>
      <c r="M316" s="308">
        <f>SUM(M314:M315)</f>
        <v>1154609</v>
      </c>
      <c r="N316" s="308"/>
      <c r="O316" s="308">
        <f>SUM(O314:O315)</f>
        <v>1061450</v>
      </c>
      <c r="P316" s="308"/>
      <c r="Q316" s="308">
        <f>SUM(Q314:Q315)</f>
        <v>1024594</v>
      </c>
      <c r="R316" s="308"/>
      <c r="S316" s="308">
        <f>SUM(S314:S315)</f>
        <v>937176</v>
      </c>
      <c r="T316" s="311"/>
      <c r="U316" s="308">
        <f>SUM(U314:U315)</f>
        <v>959617</v>
      </c>
      <c r="V316" s="311"/>
      <c r="W316" s="308">
        <f>SUM(W314:W315)</f>
        <v>979527</v>
      </c>
      <c r="X316" s="311"/>
      <c r="Y316" s="308">
        <f>SUM(Y314:Y315)</f>
        <v>880129</v>
      </c>
      <c r="Z316" s="311"/>
      <c r="AA316" s="308">
        <f>SUM(AA314:AA315)</f>
        <v>985783</v>
      </c>
      <c r="AB316" s="311"/>
      <c r="AC316" s="308">
        <f>SUM(AC314:AC315)</f>
        <v>994562</v>
      </c>
      <c r="AD316" s="47">
        <f t="shared" si="20"/>
        <v>12469008</v>
      </c>
    </row>
    <row r="317" spans="1:30" x14ac:dyDescent="0.25">
      <c r="A317" s="299">
        <v>313</v>
      </c>
      <c r="B317" s="229"/>
      <c r="F317" s="294"/>
      <c r="G317" s="311"/>
      <c r="H317" s="311"/>
      <c r="I317" s="311"/>
      <c r="J317" s="311"/>
      <c r="K317" s="311"/>
      <c r="L317" s="311"/>
      <c r="M317" s="311"/>
      <c r="N317" s="311"/>
      <c r="O317" s="311"/>
      <c r="P317" s="311"/>
      <c r="Q317" s="311"/>
      <c r="R317" s="311"/>
      <c r="S317" s="311"/>
      <c r="T317" s="311"/>
      <c r="U317" s="311"/>
      <c r="V317" s="311"/>
      <c r="W317" s="294"/>
      <c r="X317" s="294"/>
      <c r="Y317" s="311"/>
      <c r="Z317" s="311"/>
      <c r="AA317" s="311"/>
      <c r="AB317" s="311"/>
      <c r="AC317" s="311"/>
      <c r="AD317" s="47"/>
    </row>
    <row r="318" spans="1:30" x14ac:dyDescent="0.25">
      <c r="A318" s="299">
        <v>314</v>
      </c>
      <c r="B318" s="313" t="s">
        <v>192</v>
      </c>
      <c r="G318" s="307"/>
      <c r="H318" s="308"/>
      <c r="I318" s="307"/>
      <c r="J318" s="308"/>
      <c r="K318" s="307"/>
      <c r="L318" s="308"/>
      <c r="M318" s="307"/>
      <c r="N318" s="308"/>
      <c r="O318" s="307"/>
      <c r="P318" s="308"/>
      <c r="Q318" s="307"/>
      <c r="R318" s="308"/>
      <c r="S318" s="307"/>
      <c r="T318" s="308"/>
      <c r="U318" s="307"/>
      <c r="V318" s="308"/>
      <c r="Y318" s="307"/>
      <c r="Z318" s="308"/>
      <c r="AA318" s="307"/>
      <c r="AB318" s="308"/>
      <c r="AC318" s="307"/>
    </row>
    <row r="319" spans="1:30" x14ac:dyDescent="0.25">
      <c r="A319" s="299">
        <v>315</v>
      </c>
      <c r="B319" s="318" t="s">
        <v>9</v>
      </c>
      <c r="C319" s="295">
        <v>625</v>
      </c>
      <c r="D319" s="295"/>
      <c r="E319" s="295"/>
      <c r="F319" s="291">
        <f>G319/$C$319</f>
        <v>2</v>
      </c>
      <c r="G319" s="307">
        <v>1250</v>
      </c>
      <c r="H319" s="291">
        <f>I319/$C$319</f>
        <v>2</v>
      </c>
      <c r="I319" s="307">
        <v>1250</v>
      </c>
      <c r="J319" s="291">
        <f>K319/$C$319</f>
        <v>2</v>
      </c>
      <c r="K319" s="307">
        <v>1250</v>
      </c>
      <c r="L319" s="291">
        <f>M319/$C$319</f>
        <v>2</v>
      </c>
      <c r="M319" s="307">
        <v>1250</v>
      </c>
      <c r="N319" s="291">
        <f>O319/$C$319</f>
        <v>2</v>
      </c>
      <c r="O319" s="307">
        <v>1250</v>
      </c>
      <c r="P319" s="291">
        <f>Q319/$C$319</f>
        <v>2</v>
      </c>
      <c r="Q319" s="307">
        <v>1250</v>
      </c>
      <c r="R319" s="291">
        <f>S319/$C$319</f>
        <v>2</v>
      </c>
      <c r="S319" s="307">
        <v>1250</v>
      </c>
      <c r="T319" s="291">
        <f>U319/$C$319</f>
        <v>2</v>
      </c>
      <c r="U319" s="307">
        <v>1250</v>
      </c>
      <c r="V319" s="291">
        <f>W319/$C$319</f>
        <v>2</v>
      </c>
      <c r="W319" s="269">
        <v>1250</v>
      </c>
      <c r="X319" s="291">
        <f>Y319/$C$319</f>
        <v>2</v>
      </c>
      <c r="Y319" s="307">
        <v>1250</v>
      </c>
      <c r="Z319" s="291">
        <f>AA319/$C$319</f>
        <v>2</v>
      </c>
      <c r="AA319" s="307">
        <v>1250</v>
      </c>
      <c r="AB319" s="667">
        <f>AC319/$C$319</f>
        <v>2</v>
      </c>
      <c r="AC319" s="307">
        <v>1250</v>
      </c>
      <c r="AD319" s="68">
        <f t="shared" ref="AD319:AD325" si="21">SUM(G319,I319,K319,M319,O319,Q319,S319,U319,W319,Y319,AA319,AC319)</f>
        <v>15000</v>
      </c>
    </row>
    <row r="320" spans="1:30" x14ac:dyDescent="0.25">
      <c r="A320" s="299">
        <v>316</v>
      </c>
      <c r="B320" s="332" t="s">
        <v>157</v>
      </c>
      <c r="C320" s="299">
        <v>0.2</v>
      </c>
      <c r="E320" s="328"/>
      <c r="F320" s="291">
        <f>G320/$C$320</f>
        <v>520000</v>
      </c>
      <c r="G320" s="307">
        <v>104000</v>
      </c>
      <c r="H320" s="291">
        <f>I320/$C$320</f>
        <v>520000</v>
      </c>
      <c r="I320" s="307">
        <v>104000</v>
      </c>
      <c r="J320" s="291">
        <f>K320/$C$320</f>
        <v>520000</v>
      </c>
      <c r="K320" s="307">
        <v>104000</v>
      </c>
      <c r="L320" s="291">
        <f>M320/$C$320</f>
        <v>520000</v>
      </c>
      <c r="M320" s="307">
        <v>104000</v>
      </c>
      <c r="N320" s="291">
        <f>O320/$C$320</f>
        <v>520000</v>
      </c>
      <c r="O320" s="307">
        <v>104000</v>
      </c>
      <c r="P320" s="291">
        <f>Q320/$C$320</f>
        <v>520000</v>
      </c>
      <c r="Q320" s="307">
        <v>104000</v>
      </c>
      <c r="R320" s="291">
        <f>S320/$C$320</f>
        <v>520000</v>
      </c>
      <c r="S320" s="307">
        <v>104000</v>
      </c>
      <c r="T320" s="291">
        <f>U320/$C$320</f>
        <v>520000</v>
      </c>
      <c r="U320" s="307">
        <v>104000</v>
      </c>
      <c r="V320" s="291">
        <f>W320/$C$320</f>
        <v>520000</v>
      </c>
      <c r="W320" s="269">
        <v>104000</v>
      </c>
      <c r="X320" s="291">
        <f>Y320/$C$320</f>
        <v>520000</v>
      </c>
      <c r="Y320" s="307">
        <v>104000</v>
      </c>
      <c r="Z320" s="291">
        <f>AA320/$C$320</f>
        <v>520000</v>
      </c>
      <c r="AA320" s="307">
        <v>104000</v>
      </c>
      <c r="AB320" s="291">
        <f>AC320/$C$320</f>
        <v>520000</v>
      </c>
      <c r="AC320" s="307">
        <v>104000</v>
      </c>
      <c r="AD320" s="68">
        <f t="shared" si="21"/>
        <v>1248000</v>
      </c>
    </row>
    <row r="321" spans="1:30" x14ac:dyDescent="0.25">
      <c r="A321" s="299">
        <v>317</v>
      </c>
      <c r="B321" s="332" t="s">
        <v>158</v>
      </c>
      <c r="C321" s="299">
        <v>4.0000000000000002E-4</v>
      </c>
      <c r="F321" s="291">
        <f>G321/$C$321</f>
        <v>14382574.999999998</v>
      </c>
      <c r="G321" s="307">
        <v>5753.03</v>
      </c>
      <c r="H321" s="291">
        <f>I321/$C$321</f>
        <v>14944500</v>
      </c>
      <c r="I321" s="307">
        <v>5977.8</v>
      </c>
      <c r="J321" s="291">
        <f>K321/$C$321</f>
        <v>7408850</v>
      </c>
      <c r="K321" s="307">
        <v>2963.54</v>
      </c>
      <c r="L321" s="291">
        <f>M321/$C$321</f>
        <v>9817650</v>
      </c>
      <c r="M321" s="307">
        <v>3927.06</v>
      </c>
      <c r="N321" s="291">
        <f>O321/$C$321</f>
        <v>7594199.9999999991</v>
      </c>
      <c r="O321" s="307">
        <v>3037.68</v>
      </c>
      <c r="P321" s="291">
        <f>Q321/$C$321</f>
        <v>5340650</v>
      </c>
      <c r="Q321" s="307">
        <v>2136.2600000000002</v>
      </c>
      <c r="R321" s="291">
        <f>S321/$C$321</f>
        <v>7824550</v>
      </c>
      <c r="S321" s="307">
        <v>3129.82</v>
      </c>
      <c r="T321" s="291">
        <f>U321/$C$321</f>
        <v>14501175</v>
      </c>
      <c r="U321" s="307">
        <v>5800.47</v>
      </c>
      <c r="V321" s="291">
        <f>W321/$C$321</f>
        <v>16164674.999999998</v>
      </c>
      <c r="W321" s="269">
        <v>6465.87</v>
      </c>
      <c r="X321" s="291">
        <f>Y321/$C$321</f>
        <v>15653550</v>
      </c>
      <c r="Y321" s="307">
        <v>6261.42</v>
      </c>
      <c r="Z321" s="291">
        <f>AA321/$C$321</f>
        <v>11066775</v>
      </c>
      <c r="AA321" s="307">
        <v>4426.71</v>
      </c>
      <c r="AB321" s="291">
        <f>AC321/$C$321</f>
        <v>12699050</v>
      </c>
      <c r="AC321" s="307">
        <v>5079.62</v>
      </c>
      <c r="AD321" s="68">
        <f t="shared" si="21"/>
        <v>54959.280000000006</v>
      </c>
    </row>
    <row r="322" spans="1:30" x14ac:dyDescent="0.25">
      <c r="A322" s="299">
        <v>318</v>
      </c>
      <c r="B322" s="332" t="s">
        <v>159</v>
      </c>
      <c r="C322" s="299">
        <v>5.3310000000000003E-2</v>
      </c>
      <c r="F322" s="291">
        <f>G322/$C$322</f>
        <v>100000</v>
      </c>
      <c r="G322" s="307">
        <v>5331</v>
      </c>
      <c r="H322" s="291">
        <f>I322/$C$322</f>
        <v>100000</v>
      </c>
      <c r="I322" s="307">
        <v>5331</v>
      </c>
      <c r="J322" s="291">
        <f>K322/$C$322</f>
        <v>100000</v>
      </c>
      <c r="K322" s="307">
        <v>5331</v>
      </c>
      <c r="L322" s="291">
        <f>M322/$C$322</f>
        <v>100000</v>
      </c>
      <c r="M322" s="307">
        <v>5331</v>
      </c>
      <c r="N322" s="291">
        <f>O322/$C$322</f>
        <v>100000</v>
      </c>
      <c r="O322" s="307">
        <v>5331</v>
      </c>
      <c r="P322" s="291">
        <f>Q322/$C$322</f>
        <v>100000</v>
      </c>
      <c r="Q322" s="307">
        <v>5331</v>
      </c>
      <c r="R322" s="291">
        <f>S322/$C$322</f>
        <v>100000</v>
      </c>
      <c r="S322" s="307">
        <v>5331</v>
      </c>
      <c r="T322" s="291">
        <f>U322/$C$322</f>
        <v>100000</v>
      </c>
      <c r="U322" s="307">
        <v>5331</v>
      </c>
      <c r="V322" s="291">
        <f>W322/$C$322</f>
        <v>100000</v>
      </c>
      <c r="W322" s="269">
        <v>5331</v>
      </c>
      <c r="X322" s="291">
        <f>Y322/$C$322</f>
        <v>100000</v>
      </c>
      <c r="Y322" s="307">
        <v>5331</v>
      </c>
      <c r="Z322" s="291">
        <f>AA322/$C$322</f>
        <v>100000</v>
      </c>
      <c r="AA322" s="307">
        <v>5331</v>
      </c>
      <c r="AB322" s="291">
        <f>AC322/$C$322</f>
        <v>100000</v>
      </c>
      <c r="AC322" s="307">
        <v>5331</v>
      </c>
      <c r="AD322" s="68">
        <f t="shared" si="21"/>
        <v>63972</v>
      </c>
    </row>
    <row r="323" spans="1:30" x14ac:dyDescent="0.25">
      <c r="A323" s="299">
        <v>319</v>
      </c>
      <c r="B323" s="332" t="s">
        <v>127</v>
      </c>
      <c r="C323" s="299">
        <v>1.9449999999999999E-2</v>
      </c>
      <c r="F323" s="291">
        <f>G323/$C$323</f>
        <v>200000.00000000003</v>
      </c>
      <c r="G323" s="307">
        <v>3890</v>
      </c>
      <c r="H323" s="291">
        <f>I323/$C$323</f>
        <v>200000.00000000003</v>
      </c>
      <c r="I323" s="307">
        <v>3890</v>
      </c>
      <c r="J323" s="291">
        <f>K323/$C$323</f>
        <v>200000.00000000003</v>
      </c>
      <c r="K323" s="307">
        <v>3890</v>
      </c>
      <c r="L323" s="291">
        <f>M323/$C$323</f>
        <v>200000.00000000003</v>
      </c>
      <c r="M323" s="307">
        <v>3890</v>
      </c>
      <c r="N323" s="291">
        <f>O323/$C$323</f>
        <v>200000.00000000003</v>
      </c>
      <c r="O323" s="307">
        <v>3890</v>
      </c>
      <c r="P323" s="291">
        <f>Q323/$C$323</f>
        <v>200000.00000000003</v>
      </c>
      <c r="Q323" s="307">
        <v>3890</v>
      </c>
      <c r="R323" s="291">
        <f>S323/$C$323</f>
        <v>321542.41645244218</v>
      </c>
      <c r="S323" s="307">
        <v>6254</v>
      </c>
      <c r="T323" s="291">
        <f>U323/$C$323</f>
        <v>200000.00000000003</v>
      </c>
      <c r="U323" s="307">
        <v>3890</v>
      </c>
      <c r="V323" s="291">
        <f>W323/$C$323</f>
        <v>200000.00000000003</v>
      </c>
      <c r="W323" s="269">
        <v>3890</v>
      </c>
      <c r="X323" s="291">
        <f>Y323/$C$323</f>
        <v>200000.00000000003</v>
      </c>
      <c r="Y323" s="307">
        <v>3890</v>
      </c>
      <c r="Z323" s="291">
        <f>AA323/$C$323</f>
        <v>200000.00000000003</v>
      </c>
      <c r="AA323" s="307">
        <v>3890</v>
      </c>
      <c r="AB323" s="291">
        <f>AC323/$C$323</f>
        <v>200000.00000000003</v>
      </c>
      <c r="AC323" s="269">
        <v>3890</v>
      </c>
      <c r="AD323" s="68">
        <f t="shared" si="21"/>
        <v>49044</v>
      </c>
    </row>
    <row r="324" spans="1:30" x14ac:dyDescent="0.25">
      <c r="A324" s="299">
        <v>320</v>
      </c>
      <c r="B324" s="332" t="s">
        <v>127</v>
      </c>
      <c r="C324" s="299">
        <v>1.1820000000000001E-2</v>
      </c>
      <c r="F324" s="291">
        <f>G324/$C$324</f>
        <v>200000</v>
      </c>
      <c r="G324" s="307">
        <v>2364</v>
      </c>
      <c r="H324" s="291">
        <f>I324/$C$324</f>
        <v>200000</v>
      </c>
      <c r="I324" s="307">
        <v>2364</v>
      </c>
      <c r="J324" s="291">
        <f>K324/$C$324</f>
        <v>200000</v>
      </c>
      <c r="K324" s="307">
        <v>2364</v>
      </c>
      <c r="L324" s="291">
        <f>M324/$C$324</f>
        <v>200000</v>
      </c>
      <c r="M324" s="307">
        <v>2364</v>
      </c>
      <c r="N324" s="291">
        <f>O324/$C$324</f>
        <v>200000</v>
      </c>
      <c r="O324" s="307">
        <v>2364</v>
      </c>
      <c r="P324" s="291">
        <f>Q324/$C$324</f>
        <v>200000</v>
      </c>
      <c r="Q324" s="307">
        <v>2364</v>
      </c>
      <c r="R324" s="291">
        <f>S324/$C$324</f>
        <v>0</v>
      </c>
      <c r="S324" s="307"/>
      <c r="T324" s="291">
        <f>U324/$C$324</f>
        <v>200000</v>
      </c>
      <c r="U324" s="307">
        <v>2364</v>
      </c>
      <c r="V324" s="291">
        <f>W324/$C$324</f>
        <v>200000</v>
      </c>
      <c r="W324" s="269">
        <v>2364</v>
      </c>
      <c r="X324" s="291">
        <f>Y324/$C$324</f>
        <v>200000</v>
      </c>
      <c r="Y324" s="307">
        <v>2364</v>
      </c>
      <c r="Z324" s="291">
        <f>AA324/$C$324</f>
        <v>200000</v>
      </c>
      <c r="AA324" s="307">
        <v>2364</v>
      </c>
      <c r="AB324" s="291">
        <f>AC324/$C$324</f>
        <v>200000</v>
      </c>
      <c r="AC324" s="269">
        <v>2364</v>
      </c>
      <c r="AD324" s="68">
        <f t="shared" si="21"/>
        <v>26004</v>
      </c>
    </row>
    <row r="325" spans="1:30" x14ac:dyDescent="0.25">
      <c r="A325" s="299">
        <v>321</v>
      </c>
      <c r="B325" s="332" t="s">
        <v>128</v>
      </c>
      <c r="C325" s="299">
        <v>5.62E-3</v>
      </c>
      <c r="F325" s="291">
        <f>G325/$C$325</f>
        <v>13882578.291814946</v>
      </c>
      <c r="G325" s="307">
        <v>78020.09</v>
      </c>
      <c r="H325" s="291">
        <f>I325/$C$325</f>
        <v>14444498.22064057</v>
      </c>
      <c r="I325" s="307">
        <v>81178.080000000002</v>
      </c>
      <c r="J325" s="291">
        <f>K325/$C$325</f>
        <v>6908861.2099644132</v>
      </c>
      <c r="K325" s="307">
        <v>38827.800000000003</v>
      </c>
      <c r="L325" s="291">
        <f>M325/$C$325</f>
        <v>9317658.3629893232</v>
      </c>
      <c r="M325" s="307">
        <v>52365.24</v>
      </c>
      <c r="N325" s="291">
        <f>O325/$C$325</f>
        <v>7094206.4056939511</v>
      </c>
      <c r="O325" s="307">
        <v>39869.440000000002</v>
      </c>
      <c r="P325" s="291">
        <f>Q325/$C$325</f>
        <v>4840649.466192171</v>
      </c>
      <c r="Q325" s="307">
        <v>27204.45</v>
      </c>
      <c r="R325" s="291">
        <f>S325/$C$325</f>
        <v>7324546.263345195</v>
      </c>
      <c r="S325" s="307">
        <v>41163.949999999997</v>
      </c>
      <c r="T325" s="291">
        <f>U325/$C$325</f>
        <v>14001183.274021352</v>
      </c>
      <c r="U325" s="307">
        <v>78686.649999999994</v>
      </c>
      <c r="V325" s="291">
        <f>W325/$C$325</f>
        <v>15664686.832740212</v>
      </c>
      <c r="W325" s="269">
        <v>88035.54</v>
      </c>
      <c r="X325" s="291">
        <f>Y325/$C$325</f>
        <v>15153555.160142347</v>
      </c>
      <c r="Y325" s="307">
        <v>85162.98</v>
      </c>
      <c r="Z325" s="291">
        <f>AA325/$C$325</f>
        <v>10566763.345195729</v>
      </c>
      <c r="AA325" s="307">
        <v>59385.21</v>
      </c>
      <c r="AB325" s="291">
        <f>AC325/$C$325</f>
        <v>12199044.483985767</v>
      </c>
      <c r="AC325" s="269">
        <v>68558.63</v>
      </c>
      <c r="AD325" s="68">
        <f t="shared" si="21"/>
        <v>738458.05999999994</v>
      </c>
    </row>
    <row r="326" spans="1:30" x14ac:dyDescent="0.25">
      <c r="A326" s="299">
        <v>322</v>
      </c>
      <c r="B326" s="332" t="s">
        <v>181</v>
      </c>
      <c r="G326" s="307">
        <v>-9061.02</v>
      </c>
      <c r="H326" s="308"/>
      <c r="I326" s="307">
        <v>-9415.0300000000007</v>
      </c>
      <c r="J326" s="308"/>
      <c r="K326" s="307">
        <v>-4667.58</v>
      </c>
      <c r="L326" s="308"/>
      <c r="M326" s="307">
        <v>-6185.13</v>
      </c>
      <c r="N326" s="308"/>
      <c r="O326" s="307">
        <v>-4784.3500000000004</v>
      </c>
      <c r="P326" s="308"/>
      <c r="Q326" s="307">
        <v>-3364.61</v>
      </c>
      <c r="R326" s="308"/>
      <c r="S326" s="307">
        <v>-4929.46</v>
      </c>
      <c r="T326" s="308"/>
      <c r="U326" s="307">
        <v>-9135.75</v>
      </c>
      <c r="V326" s="308"/>
      <c r="W326" s="269">
        <v>-10183.75</v>
      </c>
      <c r="Y326" s="307">
        <v>-9861.74</v>
      </c>
      <c r="Z326" s="308"/>
      <c r="AA326" s="307">
        <v>-6972.06</v>
      </c>
      <c r="AB326" s="308"/>
      <c r="AC326" s="307">
        <v>-9016.32</v>
      </c>
      <c r="AD326" s="68">
        <f t="shared" ref="AD326:AD336" si="22">SUM(G326:AC326)</f>
        <v>-87576.800000000017</v>
      </c>
    </row>
    <row r="327" spans="1:30" x14ac:dyDescent="0.25">
      <c r="A327" s="299">
        <v>323</v>
      </c>
      <c r="B327" s="332" t="s">
        <v>182</v>
      </c>
      <c r="G327" s="307">
        <v>-4170.95</v>
      </c>
      <c r="H327" s="308"/>
      <c r="I327" s="307">
        <v>-4333.8999999999996</v>
      </c>
      <c r="J327" s="308"/>
      <c r="K327" s="307">
        <v>-2148.5700000000002</v>
      </c>
      <c r="L327" s="308"/>
      <c r="M327" s="307">
        <v>-2847.12</v>
      </c>
      <c r="N327" s="308"/>
      <c r="O327" s="307">
        <v>-2202.3200000000002</v>
      </c>
      <c r="P327" s="308"/>
      <c r="Q327" s="307">
        <v>-1548.79</v>
      </c>
      <c r="R327" s="308"/>
      <c r="S327" s="307">
        <v>-2269.12</v>
      </c>
      <c r="T327" s="308"/>
      <c r="U327" s="307">
        <v>-4205.34</v>
      </c>
      <c r="V327" s="308"/>
      <c r="W327" s="269">
        <v>-4687.76</v>
      </c>
      <c r="Y327" s="307">
        <v>-4539.53</v>
      </c>
      <c r="Z327" s="308"/>
      <c r="AA327" s="307">
        <v>-3209.36</v>
      </c>
      <c r="AB327" s="308"/>
      <c r="AC327" s="307">
        <v>-3314.45</v>
      </c>
      <c r="AD327" s="68">
        <f t="shared" si="22"/>
        <v>-39477.209999999992</v>
      </c>
    </row>
    <row r="328" spans="1:30" x14ac:dyDescent="0.25">
      <c r="A328" s="299">
        <v>324</v>
      </c>
      <c r="B328" s="332" t="s">
        <v>183</v>
      </c>
      <c r="G328" s="307">
        <v>-7766.59</v>
      </c>
      <c r="H328" s="308"/>
      <c r="I328" s="307">
        <v>-8070.03</v>
      </c>
      <c r="J328" s="308"/>
      <c r="K328" s="307">
        <v>-4000.78</v>
      </c>
      <c r="L328" s="308"/>
      <c r="M328" s="307">
        <v>-5301.54</v>
      </c>
      <c r="N328" s="308"/>
      <c r="O328" s="307">
        <v>-4100.87</v>
      </c>
      <c r="P328" s="308"/>
      <c r="Q328" s="307">
        <v>-2883.95</v>
      </c>
      <c r="R328" s="308"/>
      <c r="S328" s="307">
        <v>-4225.25</v>
      </c>
      <c r="T328" s="308"/>
      <c r="U328" s="307">
        <v>-7830.64</v>
      </c>
      <c r="V328" s="308"/>
      <c r="W328" s="269">
        <v>-8728.93</v>
      </c>
      <c r="Y328" s="307">
        <v>-8452.92</v>
      </c>
      <c r="Z328" s="308"/>
      <c r="AA328" s="307">
        <v>-5976.05</v>
      </c>
      <c r="AB328" s="308"/>
      <c r="AC328" s="307"/>
      <c r="AD328" s="68">
        <f t="shared" si="22"/>
        <v>-67337.549999999988</v>
      </c>
    </row>
    <row r="329" spans="1:30" x14ac:dyDescent="0.25">
      <c r="A329" s="299">
        <v>325</v>
      </c>
      <c r="B329" s="332" t="s">
        <v>115</v>
      </c>
      <c r="G329" s="307">
        <v>4458.6000000000004</v>
      </c>
      <c r="H329" s="308"/>
      <c r="I329" s="307">
        <v>4632.79</v>
      </c>
      <c r="J329" s="308"/>
      <c r="K329" s="307">
        <v>2296.75</v>
      </c>
      <c r="L329" s="308"/>
      <c r="M329" s="307">
        <v>3043.47</v>
      </c>
      <c r="N329" s="308"/>
      <c r="O329" s="307">
        <v>2354.2000000000003</v>
      </c>
      <c r="P329" s="308"/>
      <c r="Q329" s="307">
        <v>1655.6</v>
      </c>
      <c r="R329" s="308"/>
      <c r="S329" s="307">
        <v>2425.61</v>
      </c>
      <c r="T329" s="308"/>
      <c r="U329" s="307">
        <v>4495.37</v>
      </c>
      <c r="V329" s="308"/>
      <c r="W329" s="269">
        <v>5011.05</v>
      </c>
      <c r="Y329" s="307">
        <v>4852.6000000000004</v>
      </c>
      <c r="Z329" s="308"/>
      <c r="AA329" s="307">
        <v>3430.7</v>
      </c>
      <c r="AB329" s="308"/>
      <c r="AC329" s="307">
        <v>3809.71</v>
      </c>
      <c r="AD329" s="68">
        <f t="shared" si="22"/>
        <v>42466.44999999999</v>
      </c>
    </row>
    <row r="330" spans="1:30" x14ac:dyDescent="0.25">
      <c r="A330" s="299">
        <v>326</v>
      </c>
      <c r="B330" s="332" t="s">
        <v>116</v>
      </c>
      <c r="G330" s="307">
        <v>24594.21</v>
      </c>
      <c r="H330" s="308"/>
      <c r="I330" s="307">
        <v>25555.09</v>
      </c>
      <c r="J330" s="308"/>
      <c r="K330" s="307">
        <v>12669.15</v>
      </c>
      <c r="L330" s="308"/>
      <c r="M330" s="307">
        <v>16788.2</v>
      </c>
      <c r="N330" s="308"/>
      <c r="O330" s="307">
        <v>12986.09</v>
      </c>
      <c r="P330" s="308"/>
      <c r="Q330" s="307">
        <v>9132.51</v>
      </c>
      <c r="R330" s="308"/>
      <c r="S330" s="307">
        <v>13379.97</v>
      </c>
      <c r="T330" s="308"/>
      <c r="U330" s="307">
        <v>24797.02</v>
      </c>
      <c r="V330" s="308"/>
      <c r="W330" s="269">
        <v>27641.61</v>
      </c>
      <c r="Y330" s="307">
        <v>26767.58</v>
      </c>
      <c r="Z330" s="308"/>
      <c r="AA330" s="307">
        <v>18924.16</v>
      </c>
      <c r="AB330" s="308"/>
      <c r="AC330" s="307">
        <v>22096.34</v>
      </c>
      <c r="AD330" s="68">
        <f t="shared" si="22"/>
        <v>235331.93</v>
      </c>
    </row>
    <row r="331" spans="1:30" x14ac:dyDescent="0.25">
      <c r="A331" s="299">
        <v>327</v>
      </c>
      <c r="B331" s="318" t="s">
        <v>20</v>
      </c>
      <c r="G331" s="307">
        <v>8888.94</v>
      </c>
      <c r="H331" s="308"/>
      <c r="I331" s="307">
        <v>9038.83</v>
      </c>
      <c r="J331" s="308"/>
      <c r="K331" s="307">
        <v>7028.73</v>
      </c>
      <c r="L331" s="308"/>
      <c r="M331" s="307">
        <v>7671.27</v>
      </c>
      <c r="N331" s="308"/>
      <c r="O331" s="307">
        <v>7078.17</v>
      </c>
      <c r="P331" s="308"/>
      <c r="Q331" s="307">
        <v>6477.04</v>
      </c>
      <c r="R331" s="308"/>
      <c r="S331" s="307">
        <v>7139.61</v>
      </c>
      <c r="T331" s="308"/>
      <c r="U331" s="307">
        <v>8920.58</v>
      </c>
      <c r="V331" s="308"/>
      <c r="W331" s="269">
        <v>9364.3100000000013</v>
      </c>
      <c r="Y331" s="307">
        <v>9227.9700000000012</v>
      </c>
      <c r="Z331" s="308"/>
      <c r="AA331" s="307">
        <v>8004.46</v>
      </c>
      <c r="AB331" s="308"/>
      <c r="AC331" s="307">
        <v>8439.8700000000008</v>
      </c>
      <c r="AD331" s="68">
        <f t="shared" si="22"/>
        <v>97279.780000000013</v>
      </c>
    </row>
    <row r="332" spans="1:30" x14ac:dyDescent="0.25">
      <c r="A332" s="299">
        <v>328</v>
      </c>
      <c r="B332" s="325" t="s">
        <v>126</v>
      </c>
      <c r="G332" s="307">
        <v>60</v>
      </c>
      <c r="H332" s="308"/>
      <c r="I332" s="307">
        <v>60</v>
      </c>
      <c r="J332" s="308"/>
      <c r="K332" s="307">
        <v>60</v>
      </c>
      <c r="L332" s="308"/>
      <c r="M332" s="307">
        <v>60</v>
      </c>
      <c r="N332" s="308"/>
      <c r="O332" s="307">
        <v>60</v>
      </c>
      <c r="P332" s="308"/>
      <c r="Q332" s="307">
        <v>60</v>
      </c>
      <c r="R332" s="308"/>
      <c r="S332" s="307">
        <v>60</v>
      </c>
      <c r="T332" s="308"/>
      <c r="U332" s="307">
        <v>60</v>
      </c>
      <c r="V332" s="308"/>
      <c r="W332" s="269">
        <v>60</v>
      </c>
      <c r="Y332" s="307">
        <v>60</v>
      </c>
      <c r="Z332" s="308"/>
      <c r="AA332" s="307">
        <v>60</v>
      </c>
      <c r="AB332" s="308"/>
      <c r="AC332" s="307">
        <v>60</v>
      </c>
      <c r="AD332" s="68">
        <f t="shared" si="22"/>
        <v>720</v>
      </c>
    </row>
    <row r="333" spans="1:30" x14ac:dyDescent="0.25">
      <c r="A333" s="299">
        <v>329</v>
      </c>
      <c r="B333" s="229" t="s">
        <v>30</v>
      </c>
      <c r="G333" s="307">
        <f>SUM(G319:G332)</f>
        <v>217611.31</v>
      </c>
      <c r="H333" s="307"/>
      <c r="I333" s="307">
        <f>SUM(I319:I332)</f>
        <v>221458.63</v>
      </c>
      <c r="J333" s="307"/>
      <c r="K333" s="307">
        <f>SUM(K319:K332)</f>
        <v>169864.04</v>
      </c>
      <c r="L333" s="307"/>
      <c r="M333" s="307">
        <f>SUM(M319:M332)</f>
        <v>186356.44999999998</v>
      </c>
      <c r="N333" s="307"/>
      <c r="O333" s="307">
        <f>SUM(O319:O332)</f>
        <v>171133.04</v>
      </c>
      <c r="P333" s="307"/>
      <c r="Q333" s="307">
        <f>SUM(Q319:Q332)</f>
        <v>155703.51</v>
      </c>
      <c r="R333" s="307"/>
      <c r="S333" s="307">
        <f>SUM(S319:S332)</f>
        <v>172710.13</v>
      </c>
      <c r="T333" s="307"/>
      <c r="U333" s="307">
        <f>SUM(U319:U332)</f>
        <v>218423.35999999996</v>
      </c>
      <c r="V333" s="307"/>
      <c r="W333" s="307">
        <f>SUM(W319:W332)</f>
        <v>229812.93999999994</v>
      </c>
      <c r="X333" s="307"/>
      <c r="Y333" s="307">
        <f>SUM(Y319:Y332)</f>
        <v>226313.36000000002</v>
      </c>
      <c r="Z333" s="307"/>
      <c r="AA333" s="307">
        <f>SUM(AA319:AA332)</f>
        <v>194908.77000000005</v>
      </c>
      <c r="AB333" s="307"/>
      <c r="AC333" s="307">
        <f>SUM(AC319:AC332)</f>
        <v>212548.39999999997</v>
      </c>
      <c r="AD333" s="68">
        <f t="shared" si="22"/>
        <v>2376843.94</v>
      </c>
    </row>
    <row r="334" spans="1:30" x14ac:dyDescent="0.25">
      <c r="A334" s="299">
        <v>330</v>
      </c>
      <c r="B334" s="229" t="s">
        <v>31</v>
      </c>
      <c r="G334" s="308">
        <v>14382579</v>
      </c>
      <c r="H334" s="308"/>
      <c r="I334" s="308">
        <v>14944499</v>
      </c>
      <c r="J334" s="308"/>
      <c r="K334" s="308">
        <v>7408861</v>
      </c>
      <c r="L334" s="308"/>
      <c r="M334" s="308">
        <v>9817659</v>
      </c>
      <c r="N334" s="308"/>
      <c r="O334" s="308">
        <v>7594206</v>
      </c>
      <c r="P334" s="311"/>
      <c r="Q334" s="308">
        <v>5340649</v>
      </c>
      <c r="R334" s="311"/>
      <c r="S334" s="308">
        <v>7824546</v>
      </c>
      <c r="T334" s="311"/>
      <c r="U334" s="308">
        <v>14501183</v>
      </c>
      <c r="V334" s="311"/>
      <c r="W334" s="291">
        <v>16164686</v>
      </c>
      <c r="X334" s="294"/>
      <c r="Y334" s="308">
        <v>15653555</v>
      </c>
      <c r="Z334" s="311"/>
      <c r="AA334" s="308">
        <v>11066763</v>
      </c>
      <c r="AB334" s="311"/>
      <c r="AC334" s="308">
        <v>12699045</v>
      </c>
      <c r="AD334" s="47">
        <f t="shared" si="22"/>
        <v>137398231</v>
      </c>
    </row>
    <row r="335" spans="1:30" x14ac:dyDescent="0.25">
      <c r="A335" s="299">
        <v>331</v>
      </c>
      <c r="B335" s="229" t="s">
        <v>32</v>
      </c>
      <c r="G335" s="308"/>
      <c r="H335" s="308"/>
      <c r="I335" s="308"/>
      <c r="J335" s="308"/>
      <c r="K335" s="308"/>
      <c r="L335" s="308"/>
      <c r="M335" s="308"/>
      <c r="N335" s="308"/>
      <c r="O335" s="308"/>
      <c r="P335" s="311"/>
      <c r="Q335" s="308"/>
      <c r="R335" s="311"/>
      <c r="S335" s="308"/>
      <c r="T335" s="311"/>
      <c r="U335" s="308"/>
      <c r="V335" s="311"/>
      <c r="W335" s="291"/>
      <c r="X335" s="294"/>
      <c r="Y335" s="308"/>
      <c r="Z335" s="311"/>
      <c r="AA335" s="291"/>
      <c r="AB335" s="294"/>
      <c r="AC335" s="308"/>
      <c r="AD335" s="47">
        <f t="shared" si="22"/>
        <v>0</v>
      </c>
    </row>
    <row r="336" spans="1:30" x14ac:dyDescent="0.25">
      <c r="A336" s="299">
        <v>332</v>
      </c>
      <c r="B336" s="229" t="s">
        <v>33</v>
      </c>
      <c r="G336" s="308">
        <f>SUM(G334:G335)</f>
        <v>14382579</v>
      </c>
      <c r="H336" s="308"/>
      <c r="I336" s="308">
        <f>SUM(I334:I335)</f>
        <v>14944499</v>
      </c>
      <c r="J336" s="308"/>
      <c r="K336" s="308">
        <f>SUM(K334:K335)</f>
        <v>7408861</v>
      </c>
      <c r="L336" s="308"/>
      <c r="M336" s="308">
        <f>SUM(M334:M335)</f>
        <v>9817659</v>
      </c>
      <c r="N336" s="308"/>
      <c r="O336" s="308">
        <f>SUM(O334:O335)</f>
        <v>7594206</v>
      </c>
      <c r="P336" s="311"/>
      <c r="Q336" s="308">
        <f>SUM(Q334:Q335)</f>
        <v>5340649</v>
      </c>
      <c r="R336" s="311"/>
      <c r="S336" s="308">
        <f>SUM(S334:S335)</f>
        <v>7824546</v>
      </c>
      <c r="T336" s="311"/>
      <c r="U336" s="308">
        <f>SUM(U334:U335)</f>
        <v>14501183</v>
      </c>
      <c r="V336" s="311"/>
      <c r="W336" s="308">
        <f>SUM(W334:W335)</f>
        <v>16164686</v>
      </c>
      <c r="X336" s="311"/>
      <c r="Y336" s="308">
        <f>SUM(Y334:Y335)</f>
        <v>15653555</v>
      </c>
      <c r="Z336" s="311"/>
      <c r="AA336" s="308">
        <f>SUM(AA334:AA335)</f>
        <v>11066763</v>
      </c>
      <c r="AB336" s="311"/>
      <c r="AC336" s="308">
        <f>SUM(AC334:AC335)</f>
        <v>12699045</v>
      </c>
      <c r="AD336" s="47">
        <f t="shared" si="22"/>
        <v>137398231</v>
      </c>
    </row>
    <row r="337" spans="1:30" x14ac:dyDescent="0.25">
      <c r="A337" s="299">
        <v>333</v>
      </c>
      <c r="B337" s="226"/>
    </row>
    <row r="338" spans="1:30" x14ac:dyDescent="0.25">
      <c r="A338" s="299">
        <v>334</v>
      </c>
      <c r="B338" s="313" t="s">
        <v>141</v>
      </c>
    </row>
    <row r="339" spans="1:30" x14ac:dyDescent="0.25">
      <c r="A339" s="299">
        <v>335</v>
      </c>
      <c r="B339" s="229" t="s">
        <v>9</v>
      </c>
      <c r="C339" s="295">
        <v>625</v>
      </c>
      <c r="D339" s="295"/>
      <c r="E339" s="295"/>
      <c r="F339" s="291">
        <f>G339/$C$339</f>
        <v>1</v>
      </c>
      <c r="G339" s="307">
        <v>625</v>
      </c>
      <c r="H339" s="291">
        <f>I339/$C$339</f>
        <v>1</v>
      </c>
      <c r="I339" s="307">
        <v>625</v>
      </c>
      <c r="J339" s="291">
        <f>K339/$C$339</f>
        <v>1</v>
      </c>
      <c r="K339" s="307">
        <v>625</v>
      </c>
      <c r="L339" s="291">
        <f>M339/$C$339</f>
        <v>1</v>
      </c>
      <c r="M339" s="307">
        <v>625</v>
      </c>
      <c r="N339" s="291">
        <f>O339/$C$339</f>
        <v>1</v>
      </c>
      <c r="O339" s="307">
        <v>625</v>
      </c>
      <c r="P339" s="291">
        <f>Q339/$C$339</f>
        <v>1</v>
      </c>
      <c r="Q339" s="307">
        <v>625</v>
      </c>
      <c r="R339" s="291">
        <f>S339/$C$339</f>
        <v>1</v>
      </c>
      <c r="S339" s="307">
        <v>625</v>
      </c>
      <c r="T339" s="291">
        <f>U339/$C$339</f>
        <v>1</v>
      </c>
      <c r="U339" s="307">
        <v>625</v>
      </c>
      <c r="V339" s="291">
        <f>W339/$C$339</f>
        <v>1</v>
      </c>
      <c r="W339" s="316">
        <v>625</v>
      </c>
      <c r="X339" s="291">
        <f>Y339/$C$339</f>
        <v>1</v>
      </c>
      <c r="Y339" s="307">
        <v>625</v>
      </c>
      <c r="Z339" s="291">
        <f>AA339/$C$339</f>
        <v>1</v>
      </c>
      <c r="AA339" s="307">
        <v>625</v>
      </c>
      <c r="AB339" s="667">
        <f>AC339/$C$339</f>
        <v>1</v>
      </c>
      <c r="AC339" s="307">
        <v>625</v>
      </c>
      <c r="AD339" s="68">
        <f t="shared" ref="AD339:AD344" si="23">SUM(G339,I339,K339,M339,O339,Q339,S339,U339,W339,Y339,AA339,AC339)</f>
        <v>7500</v>
      </c>
    </row>
    <row r="340" spans="1:30" x14ac:dyDescent="0.25">
      <c r="A340" s="299">
        <v>336</v>
      </c>
      <c r="B340" s="229" t="s">
        <v>157</v>
      </c>
      <c r="C340" s="299">
        <v>0.2</v>
      </c>
      <c r="F340" s="291">
        <f>G340/$C$340</f>
        <v>520000</v>
      </c>
      <c r="G340" s="307">
        <v>104000</v>
      </c>
      <c r="H340" s="291">
        <f>I340/$C$340</f>
        <v>520000</v>
      </c>
      <c r="I340" s="307">
        <v>104000</v>
      </c>
      <c r="J340" s="291">
        <f>K340/$C$340</f>
        <v>520000</v>
      </c>
      <c r="K340" s="307">
        <v>104000</v>
      </c>
      <c r="L340" s="291">
        <f>M340/$C$340</f>
        <v>520000</v>
      </c>
      <c r="M340" s="307">
        <v>104000</v>
      </c>
      <c r="N340" s="291">
        <f>O340/$C$340</f>
        <v>520000</v>
      </c>
      <c r="O340" s="307">
        <v>104000</v>
      </c>
      <c r="P340" s="291">
        <f>Q340/$C$340</f>
        <v>520000</v>
      </c>
      <c r="Q340" s="307">
        <v>104000</v>
      </c>
      <c r="R340" s="291">
        <f>S340/$C$340</f>
        <v>520000</v>
      </c>
      <c r="S340" s="307">
        <v>104000</v>
      </c>
      <c r="T340" s="291">
        <f>U340/$C$340</f>
        <v>520000</v>
      </c>
      <c r="U340" s="307">
        <v>104000</v>
      </c>
      <c r="V340" s="291">
        <f>W340/$C$340</f>
        <v>520000</v>
      </c>
      <c r="W340" s="316">
        <v>104000</v>
      </c>
      <c r="X340" s="291">
        <f>Y340/$C$340</f>
        <v>520000</v>
      </c>
      <c r="Y340" s="307">
        <v>104000</v>
      </c>
      <c r="Z340" s="291">
        <f>AA340/$C$340</f>
        <v>520000</v>
      </c>
      <c r="AA340" s="307">
        <v>104000</v>
      </c>
      <c r="AB340" s="291">
        <f>AC340/$C$340</f>
        <v>520000</v>
      </c>
      <c r="AC340" s="307">
        <v>104000</v>
      </c>
      <c r="AD340" s="68">
        <f t="shared" si="23"/>
        <v>1248000</v>
      </c>
    </row>
    <row r="341" spans="1:30" x14ac:dyDescent="0.25">
      <c r="A341" s="299">
        <v>337</v>
      </c>
      <c r="B341" s="229" t="s">
        <v>158</v>
      </c>
      <c r="C341" s="299">
        <v>4.0000000000000002E-4</v>
      </c>
      <c r="F341" s="291">
        <f>G341/$C$341</f>
        <v>4450625</v>
      </c>
      <c r="G341" s="307">
        <v>1780.25</v>
      </c>
      <c r="H341" s="291">
        <f>I341/$C$341</f>
        <v>4088100</v>
      </c>
      <c r="I341" s="307">
        <v>1635.24</v>
      </c>
      <c r="J341" s="291">
        <f>K341/$C$341</f>
        <v>5846725</v>
      </c>
      <c r="K341" s="307">
        <v>2338.69</v>
      </c>
      <c r="L341" s="291">
        <f>M341/$C$341</f>
        <v>3088150</v>
      </c>
      <c r="M341" s="307">
        <v>1235.26</v>
      </c>
      <c r="N341" s="291">
        <f>O341/$C$341</f>
        <v>2551100</v>
      </c>
      <c r="O341" s="307">
        <v>1020.44</v>
      </c>
      <c r="P341" s="291">
        <f>Q341/$C$341</f>
        <v>381974.99999999994</v>
      </c>
      <c r="Q341" s="307">
        <v>152.79</v>
      </c>
      <c r="R341" s="291">
        <f>S341/$C$341</f>
        <v>6776825</v>
      </c>
      <c r="S341" s="307">
        <v>2710.73</v>
      </c>
      <c r="T341" s="291">
        <f>U341/$C$341</f>
        <v>14122850</v>
      </c>
      <c r="U341" s="307">
        <v>5649.14</v>
      </c>
      <c r="V341" s="291">
        <f>W341/$C$341</f>
        <v>15605299.999999998</v>
      </c>
      <c r="W341" s="316">
        <v>6242.12</v>
      </c>
      <c r="X341" s="291">
        <f>Y341/$C$341</f>
        <v>14512825</v>
      </c>
      <c r="Y341" s="307">
        <v>5805.13</v>
      </c>
      <c r="Z341" s="291">
        <f>AA341/$C$341</f>
        <v>667150</v>
      </c>
      <c r="AA341" s="307">
        <v>266.86</v>
      </c>
      <c r="AB341" s="291">
        <f>AC341/$C$341</f>
        <v>5956000</v>
      </c>
      <c r="AC341" s="307">
        <v>2382.4</v>
      </c>
      <c r="AD341" s="68">
        <f t="shared" si="23"/>
        <v>31219.050000000003</v>
      </c>
    </row>
    <row r="342" spans="1:30" x14ac:dyDescent="0.25">
      <c r="A342" s="299">
        <v>338</v>
      </c>
      <c r="B342" s="229" t="s">
        <v>159</v>
      </c>
      <c r="C342" s="299">
        <v>5.3310000000000003E-2</v>
      </c>
      <c r="F342" s="291">
        <f>G342/$C$342</f>
        <v>100000</v>
      </c>
      <c r="G342" s="307">
        <v>5331</v>
      </c>
      <c r="H342" s="291">
        <f>I342/$C$342</f>
        <v>100000</v>
      </c>
      <c r="I342" s="307">
        <v>5331</v>
      </c>
      <c r="J342" s="291">
        <f>K342/$C$342</f>
        <v>100000</v>
      </c>
      <c r="K342" s="307">
        <v>5331</v>
      </c>
      <c r="L342" s="291">
        <f>M342/$C$342</f>
        <v>100000</v>
      </c>
      <c r="M342" s="307">
        <v>5331</v>
      </c>
      <c r="N342" s="291">
        <f>O342/$C$342</f>
        <v>100000</v>
      </c>
      <c r="O342" s="307">
        <v>5331</v>
      </c>
      <c r="P342" s="291">
        <f>Q342/$C$342</f>
        <v>100000</v>
      </c>
      <c r="Q342" s="307">
        <v>5331</v>
      </c>
      <c r="R342" s="291">
        <f>S342/$C$342</f>
        <v>100000</v>
      </c>
      <c r="S342" s="307">
        <v>5331</v>
      </c>
      <c r="T342" s="291">
        <f>U342/$C$342</f>
        <v>100000</v>
      </c>
      <c r="U342" s="307">
        <v>5331</v>
      </c>
      <c r="V342" s="291">
        <f>W342/$C$342</f>
        <v>100000</v>
      </c>
      <c r="W342" s="316">
        <v>5331</v>
      </c>
      <c r="X342" s="291">
        <f>Y342/$C$342</f>
        <v>100000</v>
      </c>
      <c r="Y342" s="307">
        <v>5331</v>
      </c>
      <c r="Z342" s="291">
        <f>AA342/$C$342</f>
        <v>100000</v>
      </c>
      <c r="AA342" s="307">
        <v>5331</v>
      </c>
      <c r="AB342" s="291">
        <f>AC342/$C$342</f>
        <v>100000</v>
      </c>
      <c r="AC342" s="307">
        <v>5331</v>
      </c>
      <c r="AD342" s="68">
        <f t="shared" si="23"/>
        <v>63972</v>
      </c>
    </row>
    <row r="343" spans="1:30" x14ac:dyDescent="0.25">
      <c r="A343" s="299">
        <v>339</v>
      </c>
      <c r="B343" s="229" t="s">
        <v>127</v>
      </c>
      <c r="C343" s="299">
        <v>1.9449999999999999E-2</v>
      </c>
      <c r="F343" s="291">
        <f>G343/$C$343</f>
        <v>200000.00000000003</v>
      </c>
      <c r="G343" s="307">
        <v>3890</v>
      </c>
      <c r="H343" s="291">
        <f>I343/$C$343</f>
        <v>200000.00000000003</v>
      </c>
      <c r="I343" s="269">
        <v>3890</v>
      </c>
      <c r="J343" s="291">
        <f>K343/$C$343</f>
        <v>200000.00000000003</v>
      </c>
      <c r="K343" s="307">
        <v>3890</v>
      </c>
      <c r="L343" s="291">
        <f>M343/$C$343</f>
        <v>200000.00000000003</v>
      </c>
      <c r="M343" s="307">
        <v>3890</v>
      </c>
      <c r="N343" s="291">
        <f>O343/$C$343</f>
        <v>200000.00000000003</v>
      </c>
      <c r="O343" s="307">
        <v>3890</v>
      </c>
      <c r="P343" s="291">
        <f>Q343/$C$343</f>
        <v>200000.00000000003</v>
      </c>
      <c r="Q343" s="307">
        <v>3890</v>
      </c>
      <c r="R343" s="291">
        <f>S343/$C$343</f>
        <v>200000.00000000003</v>
      </c>
      <c r="S343" s="307">
        <v>3890</v>
      </c>
      <c r="T343" s="291">
        <f>U343/$C$343</f>
        <v>200000.00000000003</v>
      </c>
      <c r="U343" s="307">
        <v>3890</v>
      </c>
      <c r="V343" s="291">
        <f>W343/$C$343</f>
        <v>200000.00000000003</v>
      </c>
      <c r="W343" s="316">
        <v>3890</v>
      </c>
      <c r="X343" s="291">
        <f>Y343/$C$343</f>
        <v>200000.00000000003</v>
      </c>
      <c r="Y343" s="307">
        <v>3890</v>
      </c>
      <c r="Z343" s="291">
        <f>AA343/$C$343</f>
        <v>200000.00000000003</v>
      </c>
      <c r="AA343" s="307">
        <v>3890</v>
      </c>
      <c r="AB343" s="291">
        <f>AC343/$C$343</f>
        <v>200000.00000000003</v>
      </c>
      <c r="AC343" s="269">
        <v>3890</v>
      </c>
      <c r="AD343" s="68">
        <f t="shared" si="23"/>
        <v>46680</v>
      </c>
    </row>
    <row r="344" spans="1:30" x14ac:dyDescent="0.25">
      <c r="A344" s="299">
        <v>340</v>
      </c>
      <c r="B344" s="229" t="s">
        <v>127</v>
      </c>
      <c r="C344" s="299">
        <v>1.1820000000000001E-2</v>
      </c>
      <c r="F344" s="291">
        <f>G344/$C$344</f>
        <v>200000</v>
      </c>
      <c r="G344" s="307">
        <v>2364</v>
      </c>
      <c r="H344" s="291">
        <f>I344/$C$344</f>
        <v>200000</v>
      </c>
      <c r="I344" s="269">
        <v>2364</v>
      </c>
      <c r="J344" s="291">
        <f>K344/$C$344</f>
        <v>200000</v>
      </c>
      <c r="K344" s="307">
        <v>2364</v>
      </c>
      <c r="L344" s="291">
        <f>M344/$C$344</f>
        <v>200000</v>
      </c>
      <c r="M344" s="307">
        <v>2364</v>
      </c>
      <c r="N344" s="291">
        <f>O344/$C$344</f>
        <v>200000</v>
      </c>
      <c r="O344" s="307">
        <v>2364</v>
      </c>
      <c r="P344" s="291">
        <f>Q344/$C$344</f>
        <v>81981.387478849399</v>
      </c>
      <c r="Q344" s="307">
        <v>969.02</v>
      </c>
      <c r="R344" s="291">
        <f>S344/$C$344</f>
        <v>200000</v>
      </c>
      <c r="S344" s="307">
        <v>2364</v>
      </c>
      <c r="T344" s="291">
        <f>U344/$C$344</f>
        <v>200000</v>
      </c>
      <c r="U344" s="307">
        <v>2364</v>
      </c>
      <c r="V344" s="291">
        <f>W344/$C$344</f>
        <v>200000</v>
      </c>
      <c r="W344" s="316">
        <v>2364</v>
      </c>
      <c r="X344" s="291">
        <f>Y344/$C$344</f>
        <v>200000</v>
      </c>
      <c r="Y344" s="307">
        <v>2364</v>
      </c>
      <c r="Z344" s="291">
        <f>AA344/$C$344</f>
        <v>200000</v>
      </c>
      <c r="AA344" s="307">
        <v>2364</v>
      </c>
      <c r="AB344" s="291">
        <f>AC344/$C$344</f>
        <v>200000</v>
      </c>
      <c r="AC344" s="269">
        <v>2364</v>
      </c>
      <c r="AD344" s="68">
        <f t="shared" si="23"/>
        <v>26973.02</v>
      </c>
    </row>
    <row r="345" spans="1:30" x14ac:dyDescent="0.25">
      <c r="A345" s="299">
        <v>341</v>
      </c>
      <c r="B345" s="229" t="s">
        <v>128</v>
      </c>
      <c r="C345" s="299">
        <v>5.62E-3</v>
      </c>
      <c r="F345" s="291">
        <f>G345/$C$345</f>
        <v>3950624.555160142</v>
      </c>
      <c r="G345" s="307">
        <v>22202.51</v>
      </c>
      <c r="H345" s="291">
        <f>I345/$C$345</f>
        <v>3588087.1886120997</v>
      </c>
      <c r="I345" s="307">
        <v>20165.05</v>
      </c>
      <c r="J345" s="291">
        <f>K345/$C$345</f>
        <v>5346715.3024911033</v>
      </c>
      <c r="K345" s="307">
        <v>30048.54</v>
      </c>
      <c r="L345" s="291">
        <f>M345/$C$345</f>
        <v>2588142.3487544484</v>
      </c>
      <c r="M345" s="307">
        <v>14545.36</v>
      </c>
      <c r="N345" s="291">
        <f>O345/$C$345</f>
        <v>2051096.0854092527</v>
      </c>
      <c r="O345" s="307">
        <v>11527.16</v>
      </c>
      <c r="P345" s="291">
        <f>Q346/$C$345</f>
        <v>-42820.284697508898</v>
      </c>
      <c r="R345" s="291">
        <f>S345/$C$345</f>
        <v>6276820.2846975094</v>
      </c>
      <c r="S345" s="269">
        <v>35275.730000000003</v>
      </c>
      <c r="T345" s="291">
        <f>U345/$C$345</f>
        <v>13622838.078291817</v>
      </c>
      <c r="U345" s="307">
        <v>76560.350000000006</v>
      </c>
      <c r="V345" s="291">
        <f>W345/$C$345</f>
        <v>15105297.153024912</v>
      </c>
      <c r="W345" s="316">
        <v>84891.77</v>
      </c>
      <c r="X345" s="291">
        <f>Y345/$C$345</f>
        <v>14012834.519572955</v>
      </c>
      <c r="Y345" s="307">
        <v>78752.13</v>
      </c>
      <c r="Z345" s="291">
        <f>AA345/$C$345</f>
        <v>167138.79003558721</v>
      </c>
      <c r="AA345" s="307">
        <v>939.32</v>
      </c>
      <c r="AB345" s="291">
        <f>AC345/$C$345</f>
        <v>5456005.3380782921</v>
      </c>
      <c r="AC345" s="269">
        <v>30662.75</v>
      </c>
      <c r="AD345" s="68">
        <f>SUM(G345,I345,K345,M345,O345,Q345,S345,U345,W345,Y345,AA345,AC345)</f>
        <v>405570.67000000004</v>
      </c>
    </row>
    <row r="346" spans="1:30" x14ac:dyDescent="0.25">
      <c r="A346" s="299">
        <v>342</v>
      </c>
      <c r="B346" s="321" t="s">
        <v>181</v>
      </c>
      <c r="G346" s="307">
        <v>-2803.89</v>
      </c>
      <c r="H346" s="308"/>
      <c r="I346" s="307">
        <v>-2575.5</v>
      </c>
      <c r="J346" s="308"/>
      <c r="K346" s="307">
        <v>-3683.43</v>
      </c>
      <c r="L346" s="308"/>
      <c r="M346" s="307">
        <v>-1945.53</v>
      </c>
      <c r="N346" s="308"/>
      <c r="O346" s="307">
        <v>-1607.19</v>
      </c>
      <c r="P346" s="308"/>
      <c r="Q346" s="307">
        <v>-240.65</v>
      </c>
      <c r="R346" s="308"/>
      <c r="S346" s="269">
        <v>-4269.3999999999996</v>
      </c>
      <c r="U346" s="307">
        <v>-8897.39</v>
      </c>
      <c r="V346" s="308"/>
      <c r="W346" s="316">
        <v>-9831.34</v>
      </c>
      <c r="X346" s="317"/>
      <c r="Y346" s="307">
        <v>-9143.09</v>
      </c>
      <c r="Z346" s="308"/>
      <c r="AA346" s="307">
        <v>-420.3</v>
      </c>
      <c r="AB346" s="308"/>
      <c r="AC346" s="307">
        <v>-4228.76</v>
      </c>
      <c r="AD346" s="68">
        <f t="shared" ref="AD346:AD355" si="24">SUM(G346:AC346)</f>
        <v>-49646.470000000008</v>
      </c>
    </row>
    <row r="347" spans="1:30" x14ac:dyDescent="0.25">
      <c r="A347" s="299">
        <v>343</v>
      </c>
      <c r="B347" s="321" t="s">
        <v>182</v>
      </c>
      <c r="G347" s="307">
        <v>-1290.68</v>
      </c>
      <c r="H347" s="308"/>
      <c r="I347" s="307">
        <v>-1185.55</v>
      </c>
      <c r="J347" s="308"/>
      <c r="K347" s="307">
        <v>-1695.55</v>
      </c>
      <c r="L347" s="308"/>
      <c r="M347" s="307">
        <v>-895.56</v>
      </c>
      <c r="N347" s="308"/>
      <c r="O347" s="307">
        <v>-739.82</v>
      </c>
      <c r="P347" s="308"/>
      <c r="Q347" s="307">
        <v>-110.77</v>
      </c>
      <c r="R347" s="308"/>
      <c r="S347" s="269">
        <v>-1965.28</v>
      </c>
      <c r="U347" s="307">
        <v>-4095.62</v>
      </c>
      <c r="V347" s="308"/>
      <c r="W347" s="316">
        <v>-4525.54</v>
      </c>
      <c r="X347" s="317"/>
      <c r="Y347" s="307">
        <v>-4208.72</v>
      </c>
      <c r="Z347" s="308"/>
      <c r="AA347" s="307">
        <v>-193.47</v>
      </c>
      <c r="AB347" s="308"/>
      <c r="AC347" s="307">
        <v>-1554.52</v>
      </c>
      <c r="AD347" s="68">
        <f t="shared" si="24"/>
        <v>-22461.08</v>
      </c>
    </row>
    <row r="348" spans="1:30" x14ac:dyDescent="0.25">
      <c r="A348" s="299">
        <v>344</v>
      </c>
      <c r="B348" s="321" t="s">
        <v>183</v>
      </c>
      <c r="G348" s="307">
        <v>-2403.34</v>
      </c>
      <c r="H348" s="308"/>
      <c r="I348" s="307">
        <v>-2207.5700000000002</v>
      </c>
      <c r="J348" s="308"/>
      <c r="K348" s="307">
        <v>-3157.23</v>
      </c>
      <c r="L348" s="308"/>
      <c r="M348" s="307">
        <v>-1667.6</v>
      </c>
      <c r="N348" s="308"/>
      <c r="O348" s="307">
        <v>-1377.59</v>
      </c>
      <c r="P348" s="308"/>
      <c r="Q348" s="307">
        <v>-206.27</v>
      </c>
      <c r="R348" s="308"/>
      <c r="S348" s="269">
        <v>-3659.48</v>
      </c>
      <c r="U348" s="307">
        <v>-7626.33</v>
      </c>
      <c r="V348" s="308"/>
      <c r="W348" s="316">
        <v>-8426.86</v>
      </c>
      <c r="X348" s="317"/>
      <c r="Y348" s="307">
        <v>-7836.93</v>
      </c>
      <c r="Z348" s="308"/>
      <c r="AA348" s="307">
        <v>-360.25</v>
      </c>
      <c r="AB348" s="308"/>
      <c r="AC348" s="307"/>
      <c r="AD348" s="68">
        <f t="shared" si="24"/>
        <v>-38929.449999999997</v>
      </c>
    </row>
    <row r="349" spans="1:30" x14ac:dyDescent="0.25">
      <c r="A349" s="299">
        <v>345</v>
      </c>
      <c r="B349" s="229" t="s">
        <v>115</v>
      </c>
      <c r="G349" s="307">
        <v>1379.69</v>
      </c>
      <c r="H349" s="308"/>
      <c r="I349" s="307">
        <v>1267.31</v>
      </c>
      <c r="J349" s="308"/>
      <c r="K349" s="307">
        <v>1812.48</v>
      </c>
      <c r="L349" s="308"/>
      <c r="M349" s="307">
        <v>957.32</v>
      </c>
      <c r="N349" s="308"/>
      <c r="O349" s="307">
        <v>790.84</v>
      </c>
      <c r="P349" s="308"/>
      <c r="Q349" s="307">
        <v>118.41</v>
      </c>
      <c r="R349" s="308"/>
      <c r="S349" s="307">
        <v>2100.81</v>
      </c>
      <c r="T349" s="308"/>
      <c r="U349" s="307">
        <v>4378.08</v>
      </c>
      <c r="V349" s="308"/>
      <c r="W349" s="316">
        <v>4837.6400000000003</v>
      </c>
      <c r="X349" s="317"/>
      <c r="Y349" s="307">
        <v>4498.9799999999996</v>
      </c>
      <c r="Z349" s="308"/>
      <c r="AA349" s="307">
        <v>206.81</v>
      </c>
      <c r="AB349" s="308"/>
      <c r="AC349" s="307">
        <v>1786.8</v>
      </c>
      <c r="AD349" s="68">
        <f t="shared" si="24"/>
        <v>24135.17</v>
      </c>
    </row>
    <row r="350" spans="1:30" x14ac:dyDescent="0.25">
      <c r="A350" s="299">
        <v>346</v>
      </c>
      <c r="B350" s="229" t="s">
        <v>116</v>
      </c>
      <c r="G350" s="307">
        <v>7610.57</v>
      </c>
      <c r="H350" s="308"/>
      <c r="I350" s="307">
        <v>6990.63</v>
      </c>
      <c r="J350" s="308"/>
      <c r="K350" s="307">
        <v>9997.880000000001</v>
      </c>
      <c r="L350" s="308"/>
      <c r="M350" s="307">
        <v>5280.72</v>
      </c>
      <c r="N350" s="308"/>
      <c r="O350" s="307">
        <v>4362.37</v>
      </c>
      <c r="P350" s="308"/>
      <c r="Q350" s="307">
        <v>653.19000000000005</v>
      </c>
      <c r="R350" s="308"/>
      <c r="S350" s="307">
        <v>11588.36</v>
      </c>
      <c r="T350" s="308"/>
      <c r="U350" s="307">
        <v>24150.05</v>
      </c>
      <c r="V350" s="308"/>
      <c r="W350" s="316">
        <v>26685.06</v>
      </c>
      <c r="X350" s="317"/>
      <c r="Y350" s="307">
        <v>24816.95</v>
      </c>
      <c r="Z350" s="308"/>
      <c r="AA350" s="307">
        <v>1140.81</v>
      </c>
      <c r="AB350" s="308"/>
      <c r="AC350" s="307">
        <v>10363.450000000001</v>
      </c>
      <c r="AD350" s="68">
        <f t="shared" si="24"/>
        <v>133640.04</v>
      </c>
    </row>
    <row r="351" spans="1:30" x14ac:dyDescent="0.25">
      <c r="A351" s="299">
        <v>347</v>
      </c>
      <c r="B351" s="226" t="s">
        <v>20</v>
      </c>
      <c r="G351" s="307">
        <v>6211.94</v>
      </c>
      <c r="H351" s="308"/>
      <c r="I351" s="307">
        <v>6115.24</v>
      </c>
      <c r="J351" s="308"/>
      <c r="K351" s="307">
        <v>6584.34</v>
      </c>
      <c r="L351" s="308"/>
      <c r="M351" s="307">
        <v>5848.5</v>
      </c>
      <c r="N351" s="308"/>
      <c r="O351" s="307">
        <v>5705.25</v>
      </c>
      <c r="P351" s="308"/>
      <c r="Q351" s="307">
        <v>5094.22</v>
      </c>
      <c r="R351" s="308"/>
      <c r="S351" s="307">
        <v>6832.45</v>
      </c>
      <c r="T351" s="308"/>
      <c r="U351" s="307">
        <v>8791.9699999999993</v>
      </c>
      <c r="V351" s="308"/>
      <c r="W351" s="269">
        <v>9187.41</v>
      </c>
      <c r="Y351" s="307">
        <v>8896</v>
      </c>
      <c r="Z351" s="308"/>
      <c r="AA351" s="307">
        <v>5202.71</v>
      </c>
      <c r="AB351" s="308"/>
      <c r="AC351" s="307">
        <v>6613.5</v>
      </c>
      <c r="AD351" s="68">
        <f t="shared" si="24"/>
        <v>81083.53</v>
      </c>
    </row>
    <row r="352" spans="1:30" x14ac:dyDescent="0.25">
      <c r="A352" s="299">
        <v>348</v>
      </c>
      <c r="B352" s="229" t="s">
        <v>30</v>
      </c>
      <c r="G352" s="307">
        <f>SUM(G339:G351)</f>
        <v>148897.05000000002</v>
      </c>
      <c r="H352" s="307"/>
      <c r="I352" s="307">
        <f>SUM(I339:I351)</f>
        <v>146414.85</v>
      </c>
      <c r="J352" s="307"/>
      <c r="K352" s="307">
        <f>SUM(K339:K351)</f>
        <v>158455.72000000003</v>
      </c>
      <c r="L352" s="307"/>
      <c r="M352" s="307">
        <f>SUM(M339:M351)</f>
        <v>139568.47</v>
      </c>
      <c r="N352" s="307"/>
      <c r="O352" s="307">
        <f>SUM(O339:O351)</f>
        <v>135891.46</v>
      </c>
      <c r="P352" s="307"/>
      <c r="Q352" s="307">
        <f>SUM(Q339:Q351)</f>
        <v>120275.94</v>
      </c>
      <c r="R352" s="307"/>
      <c r="S352" s="307">
        <f>SUM(S339:S351)</f>
        <v>164823.91999999998</v>
      </c>
      <c r="T352" s="307"/>
      <c r="U352" s="307">
        <f>SUM(U339:U351)</f>
        <v>215120.24999999997</v>
      </c>
      <c r="V352" s="307"/>
      <c r="W352" s="307">
        <f>SUM(W339:W351)</f>
        <v>225270.26000000004</v>
      </c>
      <c r="X352" s="307"/>
      <c r="Y352" s="307">
        <f>SUM(Y339:Y351)</f>
        <v>217790.45000000004</v>
      </c>
      <c r="Z352" s="307"/>
      <c r="AA352" s="307">
        <f>SUM(AA339:AA351)</f>
        <v>122992.49</v>
      </c>
      <c r="AB352" s="307"/>
      <c r="AC352" s="307">
        <f>SUM(AC339:AC351)</f>
        <v>162235.62</v>
      </c>
      <c r="AD352" s="68">
        <f t="shared" si="24"/>
        <v>1957736.48</v>
      </c>
    </row>
    <row r="353" spans="1:30" x14ac:dyDescent="0.25">
      <c r="A353" s="299">
        <v>349</v>
      </c>
      <c r="B353" s="229" t="s">
        <v>31</v>
      </c>
      <c r="F353" s="294"/>
      <c r="G353" s="308">
        <v>4450625</v>
      </c>
      <c r="H353" s="308"/>
      <c r="I353" s="308">
        <v>4088088</v>
      </c>
      <c r="J353" s="308"/>
      <c r="K353" s="308">
        <v>5846716</v>
      </c>
      <c r="L353" s="308"/>
      <c r="M353" s="308">
        <v>3088142</v>
      </c>
      <c r="N353" s="308"/>
      <c r="O353" s="308">
        <v>2551096</v>
      </c>
      <c r="P353" s="308"/>
      <c r="Q353" s="308">
        <v>381981</v>
      </c>
      <c r="R353" s="311"/>
      <c r="S353" s="308">
        <v>6776820</v>
      </c>
      <c r="T353" s="311"/>
      <c r="U353" s="311">
        <v>14122838</v>
      </c>
      <c r="V353" s="311"/>
      <c r="W353" s="296">
        <v>15605297</v>
      </c>
      <c r="X353" s="312"/>
      <c r="Y353" s="308">
        <v>14512835</v>
      </c>
      <c r="Z353" s="311"/>
      <c r="AA353" s="308">
        <v>667138</v>
      </c>
      <c r="AB353" s="311"/>
      <c r="AC353" s="308">
        <v>5956005</v>
      </c>
      <c r="AD353" s="47">
        <f t="shared" si="24"/>
        <v>78047581</v>
      </c>
    </row>
    <row r="354" spans="1:30" x14ac:dyDescent="0.25">
      <c r="A354" s="299">
        <v>350</v>
      </c>
      <c r="B354" s="229" t="s">
        <v>32</v>
      </c>
      <c r="F354" s="294"/>
      <c r="G354" s="291"/>
      <c r="I354" s="291"/>
      <c r="K354" s="291"/>
      <c r="M354" s="291"/>
      <c r="O354" s="291"/>
      <c r="Q354" s="291"/>
      <c r="R354" s="294"/>
      <c r="S354" s="308"/>
      <c r="T354" s="311"/>
      <c r="U354" s="311"/>
      <c r="V354" s="311"/>
      <c r="W354" s="291"/>
      <c r="X354" s="294"/>
      <c r="Y354" s="308"/>
      <c r="Z354" s="311"/>
      <c r="AA354" s="308"/>
      <c r="AB354" s="311"/>
      <c r="AC354" s="308"/>
      <c r="AD354" s="47">
        <f t="shared" si="24"/>
        <v>0</v>
      </c>
    </row>
    <row r="355" spans="1:30" x14ac:dyDescent="0.25">
      <c r="A355" s="299">
        <v>351</v>
      </c>
      <c r="B355" s="229" t="s">
        <v>33</v>
      </c>
      <c r="F355" s="294"/>
      <c r="G355" s="308">
        <f>SUM(G353:G354)</f>
        <v>4450625</v>
      </c>
      <c r="H355" s="308"/>
      <c r="I355" s="308">
        <f>SUM(I353:I354)</f>
        <v>4088088</v>
      </c>
      <c r="J355" s="308"/>
      <c r="K355" s="308">
        <f>SUM(K353:K354)</f>
        <v>5846716</v>
      </c>
      <c r="L355" s="308"/>
      <c r="M355" s="308">
        <f>SUM(M353:M354)</f>
        <v>3088142</v>
      </c>
      <c r="N355" s="308"/>
      <c r="O355" s="308">
        <f>SUM(O353:O354)</f>
        <v>2551096</v>
      </c>
      <c r="P355" s="308"/>
      <c r="Q355" s="308">
        <f>SUM(Q353:Q354)</f>
        <v>381981</v>
      </c>
      <c r="R355" s="311"/>
      <c r="S355" s="308">
        <f>SUM(S353:S354)</f>
        <v>6776820</v>
      </c>
      <c r="T355" s="311"/>
      <c r="U355" s="311">
        <f>SUM(U353:U354)</f>
        <v>14122838</v>
      </c>
      <c r="V355" s="311"/>
      <c r="W355" s="308">
        <f>SUM(W353:W354)</f>
        <v>15605297</v>
      </c>
      <c r="X355" s="311"/>
      <c r="Y355" s="308">
        <f>SUM(Y353:Y354)</f>
        <v>14512835</v>
      </c>
      <c r="Z355" s="311"/>
      <c r="AA355" s="308">
        <f>SUM(AA353:AA354)</f>
        <v>667138</v>
      </c>
      <c r="AB355" s="311"/>
      <c r="AC355" s="308">
        <f>SUM(AC353:AC354)</f>
        <v>5956005</v>
      </c>
      <c r="AD355" s="47">
        <f t="shared" si="24"/>
        <v>78047581</v>
      </c>
    </row>
    <row r="356" spans="1:30" x14ac:dyDescent="0.25">
      <c r="A356" s="299">
        <v>352</v>
      </c>
      <c r="B356" s="226"/>
    </row>
    <row r="357" spans="1:30" x14ac:dyDescent="0.25">
      <c r="A357" s="299">
        <v>353</v>
      </c>
      <c r="B357" s="313" t="s">
        <v>142</v>
      </c>
    </row>
    <row r="358" spans="1:30" x14ac:dyDescent="0.25">
      <c r="A358" s="299">
        <v>354</v>
      </c>
      <c r="B358" s="229" t="s">
        <v>9</v>
      </c>
      <c r="C358" s="295">
        <v>625</v>
      </c>
      <c r="D358" s="295"/>
      <c r="E358" s="295"/>
      <c r="F358" s="291">
        <f>G358/$C$358</f>
        <v>1</v>
      </c>
      <c r="G358" s="307">
        <v>625</v>
      </c>
      <c r="H358" s="291">
        <f>I358/$C$358</f>
        <v>1</v>
      </c>
      <c r="I358" s="307">
        <v>625</v>
      </c>
      <c r="J358" s="291">
        <f>K358/$C$358</f>
        <v>1</v>
      </c>
      <c r="K358" s="307">
        <v>625</v>
      </c>
      <c r="L358" s="291">
        <f>M358/$C$358</f>
        <v>1</v>
      </c>
      <c r="M358" s="307">
        <v>625</v>
      </c>
      <c r="N358" s="291">
        <f>O358/$C$358</f>
        <v>1</v>
      </c>
      <c r="O358" s="307">
        <v>625</v>
      </c>
      <c r="P358" s="291">
        <f>Q358/$C$358</f>
        <v>1</v>
      </c>
      <c r="Q358" s="307">
        <v>625</v>
      </c>
      <c r="R358" s="291">
        <f>S358/$C$358</f>
        <v>1</v>
      </c>
      <c r="S358" s="307">
        <v>625</v>
      </c>
      <c r="T358" s="291">
        <f>U358/$C$358</f>
        <v>1</v>
      </c>
      <c r="U358" s="307">
        <v>625</v>
      </c>
      <c r="V358" s="291">
        <f>W358/$C$358</f>
        <v>1</v>
      </c>
      <c r="W358" s="269">
        <v>625</v>
      </c>
      <c r="X358" s="291">
        <f>Y358/$C$358</f>
        <v>1</v>
      </c>
      <c r="Y358" s="307">
        <v>625</v>
      </c>
      <c r="Z358" s="291">
        <f>AA358/$C$358</f>
        <v>1</v>
      </c>
      <c r="AA358" s="307">
        <v>625</v>
      </c>
      <c r="AB358" s="667">
        <f>AC358/$C$358</f>
        <v>1</v>
      </c>
      <c r="AC358" s="307">
        <v>625</v>
      </c>
      <c r="AD358" s="68">
        <f t="shared" ref="AD358:AD363" si="25">SUM(G358,I358,K358,M358,O358,Q358,S358,U358,W358,Y358,AA358,AC358)</f>
        <v>7500</v>
      </c>
    </row>
    <row r="359" spans="1:30" x14ac:dyDescent="0.25">
      <c r="A359" s="299">
        <v>355</v>
      </c>
      <c r="B359" s="229" t="s">
        <v>158</v>
      </c>
      <c r="C359" s="299">
        <v>4.0000000000000002E-4</v>
      </c>
      <c r="F359" s="291">
        <f>G359/C359</f>
        <v>57474.999999999993</v>
      </c>
      <c r="G359" s="307">
        <v>22.99</v>
      </c>
      <c r="H359" s="291" t="e">
        <f>I359/E359</f>
        <v>#DIV/0!</v>
      </c>
      <c r="I359" s="307">
        <v>42.43</v>
      </c>
      <c r="J359" s="291">
        <f>K359/G359</f>
        <v>3.9791213571117883</v>
      </c>
      <c r="K359" s="307">
        <v>91.48</v>
      </c>
      <c r="L359" s="291">
        <f>M359/I359</f>
        <v>0</v>
      </c>
      <c r="N359" s="291">
        <f>O359/K359</f>
        <v>0.10614341932662878</v>
      </c>
      <c r="O359" s="307">
        <v>9.7100000000000009</v>
      </c>
      <c r="P359" s="291" t="e">
        <f>Q359/M359</f>
        <v>#DIV/0!</v>
      </c>
      <c r="Q359" s="307">
        <v>93.62</v>
      </c>
      <c r="R359" s="291">
        <f>S359/O359</f>
        <v>45.845520082389285</v>
      </c>
      <c r="S359" s="307">
        <v>445.16</v>
      </c>
      <c r="T359" s="291">
        <f>U359/Q359</f>
        <v>21.578722495193333</v>
      </c>
      <c r="U359" s="307">
        <v>2020.2</v>
      </c>
      <c r="V359" s="291">
        <f>W359/S359</f>
        <v>8.5371102524934859</v>
      </c>
      <c r="W359" s="269">
        <v>3800.38</v>
      </c>
      <c r="X359" s="291">
        <f>Y359/U359</f>
        <v>0.96081081081081077</v>
      </c>
      <c r="Y359" s="307">
        <v>1941.03</v>
      </c>
      <c r="Z359" s="291">
        <f>AA359/W359</f>
        <v>9.4453712523484487E-2</v>
      </c>
      <c r="AA359" s="307">
        <v>358.96</v>
      </c>
      <c r="AB359" s="291">
        <f>AC359/Y359</f>
        <v>4.3538739741271391E-2</v>
      </c>
      <c r="AC359" s="307">
        <v>84.51</v>
      </c>
      <c r="AD359" s="68">
        <f t="shared" si="25"/>
        <v>8910.4699999999993</v>
      </c>
    </row>
    <row r="360" spans="1:30" x14ac:dyDescent="0.25">
      <c r="A360" s="299">
        <v>356</v>
      </c>
      <c r="B360" s="229" t="s">
        <v>159</v>
      </c>
      <c r="C360" s="299">
        <v>5.3310000000000003E-2</v>
      </c>
      <c r="F360" s="291">
        <f>G360/$C$360</f>
        <v>57483.023822922529</v>
      </c>
      <c r="G360" s="307">
        <v>3064.42</v>
      </c>
      <c r="H360" s="291">
        <f>I360/$C$360</f>
        <v>100000</v>
      </c>
      <c r="I360" s="307">
        <v>5331</v>
      </c>
      <c r="J360" s="291">
        <f>K360/$C$360</f>
        <v>100000</v>
      </c>
      <c r="K360" s="307">
        <v>5331</v>
      </c>
      <c r="L360" s="291">
        <f>M360/$C$360</f>
        <v>0</v>
      </c>
      <c r="N360" s="291">
        <f>O360/$C$360</f>
        <v>24269.930594635149</v>
      </c>
      <c r="O360" s="307">
        <v>1293.83</v>
      </c>
      <c r="P360" s="291">
        <f>Q360/$C$360</f>
        <v>100000</v>
      </c>
      <c r="Q360" s="307">
        <v>5331</v>
      </c>
      <c r="R360" s="291">
        <f>S360/$C$360</f>
        <v>100000</v>
      </c>
      <c r="S360" s="307">
        <v>5331</v>
      </c>
      <c r="T360" s="291">
        <f>U360/$C$360</f>
        <v>100000</v>
      </c>
      <c r="U360" s="307">
        <v>5331</v>
      </c>
      <c r="V360" s="291">
        <f>W360/$C$360</f>
        <v>100000</v>
      </c>
      <c r="W360" s="269">
        <v>5331</v>
      </c>
      <c r="X360" s="291">
        <f>Y360/$C$360</f>
        <v>100000</v>
      </c>
      <c r="Y360" s="307">
        <v>5331</v>
      </c>
      <c r="Z360" s="291">
        <f>AA360/$C$360</f>
        <v>100000</v>
      </c>
      <c r="AA360" s="307">
        <v>5331</v>
      </c>
      <c r="AB360" s="291">
        <f>AC360/$C$360</f>
        <v>100000</v>
      </c>
      <c r="AC360" s="307">
        <v>5331</v>
      </c>
      <c r="AD360" s="68">
        <f t="shared" si="25"/>
        <v>52337.25</v>
      </c>
    </row>
    <row r="361" spans="1:30" x14ac:dyDescent="0.25">
      <c r="A361" s="299">
        <v>357</v>
      </c>
      <c r="B361" s="229" t="s">
        <v>127</v>
      </c>
      <c r="C361" s="299">
        <v>1.9449999999999999E-2</v>
      </c>
      <c r="F361" s="291">
        <f>G361/$C$361</f>
        <v>0</v>
      </c>
      <c r="H361" s="291">
        <f>I361/$C$361</f>
        <v>6085.8611825192811</v>
      </c>
      <c r="I361" s="307">
        <v>118.37</v>
      </c>
      <c r="J361" s="291">
        <f>K361/$C$361</f>
        <v>128696.1439588689</v>
      </c>
      <c r="K361" s="307">
        <v>2503.14</v>
      </c>
      <c r="L361" s="291">
        <f>M361/$C$361</f>
        <v>0</v>
      </c>
      <c r="N361" s="291">
        <f>O361/$C$361</f>
        <v>0</v>
      </c>
      <c r="P361" s="291">
        <f>Q361/$C$361</f>
        <v>134043.18766066839</v>
      </c>
      <c r="Q361" s="307">
        <v>2607.14</v>
      </c>
      <c r="R361" s="291">
        <f>S361/$C$361</f>
        <v>200000.00000000003</v>
      </c>
      <c r="S361" s="307">
        <v>3890</v>
      </c>
      <c r="T361" s="291">
        <f>U361/$C$361</f>
        <v>200000.00000000003</v>
      </c>
      <c r="U361" s="307">
        <v>3890</v>
      </c>
      <c r="V361" s="291">
        <f>W361/$C$361</f>
        <v>200000.00000000003</v>
      </c>
      <c r="W361" s="269">
        <v>3890</v>
      </c>
      <c r="X361" s="291">
        <f>Y361/$C$361</f>
        <v>200000.00000000003</v>
      </c>
      <c r="Y361" s="307">
        <v>3890</v>
      </c>
      <c r="Z361" s="291">
        <f>AA361/$C$361</f>
        <v>200000.00000000003</v>
      </c>
      <c r="AA361" s="307">
        <v>3890</v>
      </c>
      <c r="AB361" s="291">
        <f>AC361/$C$361</f>
        <v>111268.89460154242</v>
      </c>
      <c r="AC361" s="269">
        <v>2164.1799999999998</v>
      </c>
      <c r="AD361" s="68">
        <f t="shared" si="25"/>
        <v>26842.83</v>
      </c>
    </row>
    <row r="362" spans="1:30" x14ac:dyDescent="0.25">
      <c r="A362" s="299">
        <v>358</v>
      </c>
      <c r="B362" s="229" t="s">
        <v>127</v>
      </c>
      <c r="C362" s="299">
        <v>1.1820000000000001E-2</v>
      </c>
      <c r="F362" s="291">
        <f>G362/$C$362</f>
        <v>0</v>
      </c>
      <c r="H362" s="291">
        <f>I362/$C$362</f>
        <v>0</v>
      </c>
      <c r="J362" s="291">
        <f>K362/$C$362</f>
        <v>0</v>
      </c>
      <c r="L362" s="291">
        <f>M362/$C$362</f>
        <v>0</v>
      </c>
      <c r="N362" s="291">
        <f>O362/$C$362</f>
        <v>0</v>
      </c>
      <c r="P362" s="291">
        <f>Q362/$C$362</f>
        <v>0</v>
      </c>
      <c r="Q362" s="307"/>
      <c r="R362" s="291">
        <f>S362/$C$362</f>
        <v>200000</v>
      </c>
      <c r="S362" s="307">
        <v>2364</v>
      </c>
      <c r="T362" s="291">
        <f>U362/$C$362</f>
        <v>200000</v>
      </c>
      <c r="U362" s="307">
        <v>2364</v>
      </c>
      <c r="V362" s="291">
        <f>W362/$C$362</f>
        <v>200000</v>
      </c>
      <c r="W362" s="269">
        <v>2364</v>
      </c>
      <c r="X362" s="291">
        <f>Y362/$C$362</f>
        <v>200000</v>
      </c>
      <c r="Y362" s="307">
        <v>2364</v>
      </c>
      <c r="Z362" s="291">
        <f>AA362/$C$362</f>
        <v>200000</v>
      </c>
      <c r="AA362" s="307">
        <v>2364</v>
      </c>
      <c r="AB362" s="291">
        <f>AC362/$C$362</f>
        <v>0</v>
      </c>
      <c r="AD362" s="68">
        <f t="shared" si="25"/>
        <v>11820</v>
      </c>
    </row>
    <row r="363" spans="1:30" x14ac:dyDescent="0.25">
      <c r="A363" s="299">
        <v>359</v>
      </c>
      <c r="B363" s="229" t="s">
        <v>179</v>
      </c>
      <c r="C363" s="299">
        <v>5.62E-3</v>
      </c>
      <c r="F363" s="291">
        <f>G363/$C$363</f>
        <v>0</v>
      </c>
      <c r="H363" s="291">
        <f>I363/$C$363</f>
        <v>0</v>
      </c>
      <c r="J363" s="291">
        <f>K363/$C$363</f>
        <v>0</v>
      </c>
      <c r="L363" s="291">
        <f>M363/$C$363</f>
        <v>0</v>
      </c>
      <c r="N363" s="291">
        <f>O363/$C$363</f>
        <v>0</v>
      </c>
      <c r="P363" s="291">
        <f>Q363/$C$363</f>
        <v>0</v>
      </c>
      <c r="R363" s="291">
        <f>S363/$C$363</f>
        <v>612893.23843416374</v>
      </c>
      <c r="S363" s="307">
        <v>3444.46</v>
      </c>
      <c r="T363" s="291">
        <f>U363/$C$363</f>
        <v>4550507.1174377222</v>
      </c>
      <c r="U363" s="307">
        <v>25573.85</v>
      </c>
      <c r="V363" s="291">
        <f>W363/$C$363</f>
        <v>9000953.736654805</v>
      </c>
      <c r="W363" s="269">
        <v>50585.36</v>
      </c>
      <c r="X363" s="291">
        <f>Y363/$C$363</f>
        <v>4352567.6156583633</v>
      </c>
      <c r="Y363" s="307">
        <v>24461.43</v>
      </c>
      <c r="Z363" s="291">
        <f>AA363/$C$363</f>
        <v>397403.91459074733</v>
      </c>
      <c r="AA363" s="307">
        <v>2233.41</v>
      </c>
      <c r="AB363" s="291">
        <f>AC363/$C$363</f>
        <v>0</v>
      </c>
      <c r="AD363" s="68">
        <f t="shared" si="25"/>
        <v>106298.51000000001</v>
      </c>
    </row>
    <row r="364" spans="1:30" x14ac:dyDescent="0.25">
      <c r="A364" s="299">
        <v>360</v>
      </c>
      <c r="B364" s="321" t="s">
        <v>181</v>
      </c>
      <c r="G364" s="307">
        <v>-36.21</v>
      </c>
      <c r="H364" s="308"/>
      <c r="I364" s="269">
        <v>-66.83</v>
      </c>
      <c r="K364" s="307">
        <v>-144.08000000000001</v>
      </c>
      <c r="L364" s="308"/>
      <c r="O364" s="307">
        <v>-15.29</v>
      </c>
      <c r="Q364" s="269">
        <v>-147.44999999999999</v>
      </c>
      <c r="S364" s="307">
        <v>-701.12</v>
      </c>
      <c r="T364" s="308"/>
      <c r="U364" s="307">
        <v>-3181.82</v>
      </c>
      <c r="V364" s="308"/>
      <c r="W364" s="269">
        <v>-5985.6</v>
      </c>
      <c r="Y364" s="307">
        <v>-3057.12</v>
      </c>
      <c r="Z364" s="308"/>
      <c r="AA364" s="307">
        <v>-565.36</v>
      </c>
      <c r="AB364" s="308"/>
      <c r="AC364" s="307">
        <v>-150</v>
      </c>
      <c r="AD364" s="68">
        <f>SUM(G364:AC364)</f>
        <v>-14050.880000000001</v>
      </c>
    </row>
    <row r="365" spans="1:30" x14ac:dyDescent="0.25">
      <c r="A365" s="299">
        <v>361</v>
      </c>
      <c r="B365" s="321" t="s">
        <v>182</v>
      </c>
      <c r="G365" s="307">
        <v>-16.670000000000002</v>
      </c>
      <c r="H365" s="308"/>
      <c r="I365" s="269">
        <v>-30.76</v>
      </c>
      <c r="K365" s="307">
        <v>-66.320000000000007</v>
      </c>
      <c r="L365" s="308"/>
      <c r="O365" s="269">
        <v>-7.04</v>
      </c>
      <c r="Q365" s="269">
        <v>-67.87</v>
      </c>
      <c r="S365" s="307">
        <v>-322.74</v>
      </c>
      <c r="T365" s="308"/>
      <c r="U365" s="307">
        <v>-1464.65</v>
      </c>
      <c r="V365" s="308"/>
      <c r="W365" s="269">
        <v>-2755.28</v>
      </c>
      <c r="Y365" s="307">
        <v>-1407.24</v>
      </c>
      <c r="Z365" s="308"/>
      <c r="AA365" s="307">
        <v>-260.25</v>
      </c>
      <c r="AB365" s="308"/>
      <c r="AC365" s="307">
        <v>-55.14</v>
      </c>
      <c r="AD365" s="68">
        <f>SUM(G365:AC365)</f>
        <v>-6453.96</v>
      </c>
    </row>
    <row r="366" spans="1:30" x14ac:dyDescent="0.25">
      <c r="A366" s="299">
        <v>362</v>
      </c>
      <c r="B366" s="321" t="s">
        <v>183</v>
      </c>
      <c r="G366" s="307">
        <v>-31.04</v>
      </c>
      <c r="H366" s="308"/>
      <c r="I366" s="269">
        <v>-57.29</v>
      </c>
      <c r="K366" s="307">
        <v>-123.5</v>
      </c>
      <c r="L366" s="308"/>
      <c r="O366" s="269">
        <v>-13.11</v>
      </c>
      <c r="Q366" s="269">
        <v>-126.38</v>
      </c>
      <c r="S366" s="307">
        <v>-600.96</v>
      </c>
      <c r="T366" s="308"/>
      <c r="U366" s="307">
        <v>-2727.27</v>
      </c>
      <c r="V366" s="308"/>
      <c r="W366" s="269">
        <v>-5130.5200000000004</v>
      </c>
      <c r="Y366" s="307">
        <v>-2620.39</v>
      </c>
      <c r="Z366" s="308"/>
      <c r="AA366" s="307">
        <v>-484.6</v>
      </c>
      <c r="AB366" s="308"/>
      <c r="AC366" s="307"/>
      <c r="AD366" s="68">
        <f t="shared" ref="AD366:AD382" si="26">SUM(G366:AC366)</f>
        <v>-11915.06</v>
      </c>
    </row>
    <row r="367" spans="1:30" x14ac:dyDescent="0.25">
      <c r="A367" s="299">
        <v>363</v>
      </c>
      <c r="B367" s="226" t="s">
        <v>115</v>
      </c>
      <c r="G367" s="307">
        <v>17.82</v>
      </c>
      <c r="H367" s="308"/>
      <c r="I367" s="269">
        <v>32.89</v>
      </c>
      <c r="J367" s="308"/>
      <c r="K367" s="307">
        <v>70.900000000000006</v>
      </c>
      <c r="L367" s="308"/>
      <c r="M367" s="307"/>
      <c r="N367" s="308"/>
      <c r="O367" s="269">
        <v>7.52</v>
      </c>
      <c r="P367" s="308"/>
      <c r="Q367" s="307">
        <v>72.55</v>
      </c>
      <c r="R367" s="308"/>
      <c r="S367" s="307">
        <v>345</v>
      </c>
      <c r="T367" s="308"/>
      <c r="U367" s="307">
        <v>1565.66</v>
      </c>
      <c r="V367" s="308"/>
      <c r="W367" s="269">
        <v>2945.3</v>
      </c>
      <c r="Y367" s="307">
        <v>1504.3</v>
      </c>
      <c r="Z367" s="308"/>
      <c r="AA367" s="307">
        <v>278.2</v>
      </c>
      <c r="AB367" s="308"/>
      <c r="AC367" s="307">
        <v>63.38</v>
      </c>
      <c r="AD367" s="68">
        <f t="shared" si="26"/>
        <v>6903.52</v>
      </c>
    </row>
    <row r="368" spans="1:30" x14ac:dyDescent="0.25">
      <c r="A368" s="299">
        <v>364</v>
      </c>
      <c r="B368" s="226" t="s">
        <v>116</v>
      </c>
      <c r="G368" s="307">
        <v>98.3</v>
      </c>
      <c r="H368" s="308"/>
      <c r="I368" s="269">
        <v>181.41</v>
      </c>
      <c r="J368" s="308"/>
      <c r="K368" s="307">
        <v>391.07</v>
      </c>
      <c r="L368" s="308"/>
      <c r="M368" s="307"/>
      <c r="N368" s="308"/>
      <c r="O368" s="269">
        <v>41.5</v>
      </c>
      <c r="P368" s="308"/>
      <c r="Q368" s="307">
        <v>400.21</v>
      </c>
      <c r="R368" s="308"/>
      <c r="S368" s="307">
        <v>1903.05</v>
      </c>
      <c r="T368" s="308"/>
      <c r="U368" s="307">
        <v>8636.3700000000008</v>
      </c>
      <c r="V368" s="308"/>
      <c r="W368" s="269">
        <v>16246.63</v>
      </c>
      <c r="Y368" s="307">
        <v>8297.89</v>
      </c>
      <c r="Z368" s="308"/>
      <c r="AA368" s="307">
        <v>1534.56</v>
      </c>
      <c r="AB368" s="308"/>
      <c r="AC368" s="307">
        <v>367.61</v>
      </c>
      <c r="AD368" s="68">
        <f t="shared" si="26"/>
        <v>38098.6</v>
      </c>
    </row>
    <row r="369" spans="1:31" x14ac:dyDescent="0.25">
      <c r="A369" s="299">
        <v>365</v>
      </c>
      <c r="B369" s="226" t="s">
        <v>151</v>
      </c>
      <c r="G369" s="307">
        <v>-2982.22</v>
      </c>
      <c r="H369" s="308"/>
      <c r="I369" s="307">
        <v>-5188</v>
      </c>
      <c r="J369" s="308"/>
      <c r="K369" s="307">
        <v>-5188</v>
      </c>
      <c r="L369" s="308"/>
      <c r="M369" s="307"/>
      <c r="N369" s="308"/>
      <c r="O369" s="307">
        <v>-1259.1300000000001</v>
      </c>
      <c r="P369" s="308"/>
      <c r="Q369" s="307">
        <v>-5188</v>
      </c>
      <c r="R369" s="308"/>
      <c r="S369" s="307">
        <v>-5188</v>
      </c>
      <c r="T369" s="308"/>
      <c r="U369" s="307">
        <v>-5188</v>
      </c>
      <c r="V369" s="308"/>
      <c r="W369" s="307">
        <v>-5188</v>
      </c>
      <c r="X369" s="308"/>
      <c r="Y369" s="307">
        <v>-5188</v>
      </c>
      <c r="Z369" s="308"/>
      <c r="AA369" s="307">
        <v>-5188</v>
      </c>
      <c r="AB369" s="308"/>
      <c r="AC369" s="307"/>
      <c r="AD369" s="68">
        <f t="shared" si="26"/>
        <v>-45745.35</v>
      </c>
      <c r="AE369" s="130"/>
    </row>
    <row r="370" spans="1:31" x14ac:dyDescent="0.25">
      <c r="A370" s="299">
        <v>366</v>
      </c>
      <c r="B370" s="226" t="s">
        <v>152</v>
      </c>
      <c r="H370" s="308"/>
      <c r="I370" s="307">
        <v>-106.32</v>
      </c>
      <c r="J370" s="308"/>
      <c r="K370" s="307">
        <v>-2248.3200000000002</v>
      </c>
      <c r="L370" s="308"/>
      <c r="M370" s="307"/>
      <c r="N370" s="308"/>
      <c r="P370" s="308"/>
      <c r="Q370" s="307">
        <v>-2341.73</v>
      </c>
      <c r="R370" s="308"/>
      <c r="S370" s="307">
        <v>-3494</v>
      </c>
      <c r="T370" s="308"/>
      <c r="U370" s="307">
        <v>-3494</v>
      </c>
      <c r="V370" s="308"/>
      <c r="W370" s="307">
        <v>-3494</v>
      </c>
      <c r="X370" s="308"/>
      <c r="Y370" s="307">
        <v>-3494</v>
      </c>
      <c r="Z370" s="308"/>
      <c r="AA370" s="307">
        <v>-3494</v>
      </c>
      <c r="AB370" s="308"/>
      <c r="AD370" s="68">
        <f t="shared" si="26"/>
        <v>-22166.370000000003</v>
      </c>
      <c r="AE370" s="130"/>
    </row>
    <row r="371" spans="1:31" x14ac:dyDescent="0.25">
      <c r="A371" s="299">
        <v>367</v>
      </c>
      <c r="B371" s="226" t="s">
        <v>152</v>
      </c>
      <c r="H371" s="308"/>
      <c r="L371" s="308"/>
      <c r="Q371" s="307"/>
      <c r="R371" s="308"/>
      <c r="S371" s="307">
        <v>-1682</v>
      </c>
      <c r="T371" s="308"/>
      <c r="U371" s="307">
        <v>-1682</v>
      </c>
      <c r="V371" s="308"/>
      <c r="W371" s="307">
        <v>-1682</v>
      </c>
      <c r="X371" s="308"/>
      <c r="Y371" s="307">
        <v>-1682</v>
      </c>
      <c r="Z371" s="308"/>
      <c r="AA371" s="307">
        <v>-1682</v>
      </c>
      <c r="AB371" s="308"/>
      <c r="AD371" s="68">
        <f t="shared" si="26"/>
        <v>-8410</v>
      </c>
      <c r="AE371" s="130"/>
    </row>
    <row r="372" spans="1:31" x14ac:dyDescent="0.25">
      <c r="A372" s="299">
        <v>368</v>
      </c>
      <c r="B372" s="226" t="s">
        <v>153</v>
      </c>
      <c r="H372" s="308"/>
      <c r="K372" s="307"/>
      <c r="L372" s="308"/>
      <c r="S372" s="307">
        <v>-825</v>
      </c>
      <c r="T372" s="308"/>
      <c r="U372" s="307">
        <v>-825</v>
      </c>
      <c r="V372" s="308"/>
      <c r="W372" s="307">
        <v>-825</v>
      </c>
      <c r="X372" s="308"/>
      <c r="Y372" s="307">
        <v>-825</v>
      </c>
      <c r="Z372" s="308"/>
      <c r="AA372" s="307">
        <v>-825</v>
      </c>
      <c r="AB372" s="308"/>
      <c r="AD372" s="68">
        <f t="shared" si="26"/>
        <v>-4125</v>
      </c>
      <c r="AE372" s="130"/>
    </row>
    <row r="373" spans="1:31" x14ac:dyDescent="0.25">
      <c r="A373" s="299">
        <v>369</v>
      </c>
      <c r="B373" s="226" t="s">
        <v>154</v>
      </c>
      <c r="G373" s="307"/>
      <c r="H373" s="308"/>
      <c r="K373" s="307"/>
      <c r="L373" s="308"/>
      <c r="S373" s="307">
        <v>-1935</v>
      </c>
      <c r="T373" s="308"/>
      <c r="U373" s="307">
        <v>-1935</v>
      </c>
      <c r="V373" s="308"/>
      <c r="W373" s="307">
        <v>-1935</v>
      </c>
      <c r="X373" s="308"/>
      <c r="Y373" s="307">
        <v>-1935</v>
      </c>
      <c r="Z373" s="308"/>
      <c r="AA373" s="307">
        <v>-1918.26</v>
      </c>
      <c r="AB373" s="308"/>
      <c r="AD373" s="68">
        <f t="shared" si="26"/>
        <v>-9658.26</v>
      </c>
      <c r="AE373" s="130"/>
    </row>
    <row r="374" spans="1:31" x14ac:dyDescent="0.25">
      <c r="A374" s="299">
        <v>370</v>
      </c>
      <c r="B374" s="226" t="s">
        <v>180</v>
      </c>
      <c r="G374" s="307"/>
      <c r="H374" s="308"/>
      <c r="K374" s="307"/>
      <c r="L374" s="308"/>
      <c r="S374" s="307">
        <v>-958.02</v>
      </c>
      <c r="T374" s="308"/>
      <c r="U374" s="307">
        <v>-1800</v>
      </c>
      <c r="V374" s="308"/>
      <c r="W374" s="307">
        <v>-1800</v>
      </c>
      <c r="X374" s="308"/>
      <c r="Y374" s="307">
        <v>-1800</v>
      </c>
      <c r="Z374" s="308"/>
      <c r="AA374" s="307"/>
      <c r="AB374" s="308"/>
      <c r="AD374" s="68">
        <f t="shared" si="26"/>
        <v>-6358.02</v>
      </c>
      <c r="AE374" s="130"/>
    </row>
    <row r="375" spans="1:31" x14ac:dyDescent="0.25">
      <c r="A375" s="299">
        <v>371</v>
      </c>
      <c r="B375" s="318" t="s">
        <v>184</v>
      </c>
      <c r="G375" s="307"/>
      <c r="H375" s="308"/>
      <c r="K375" s="307"/>
      <c r="L375" s="308"/>
      <c r="S375" s="307"/>
      <c r="T375" s="308"/>
      <c r="U375" s="307">
        <v>-11251.52</v>
      </c>
      <c r="V375" s="308"/>
      <c r="W375" s="269">
        <v>-24602.86</v>
      </c>
      <c r="Y375" s="307">
        <v>-10657.7</v>
      </c>
      <c r="Z375" s="308"/>
      <c r="AA375" s="307"/>
      <c r="AB375" s="308"/>
      <c r="AC375" s="269">
        <v>-7131.87</v>
      </c>
      <c r="AD375" s="68">
        <f t="shared" si="26"/>
        <v>-53643.950000000004</v>
      </c>
      <c r="AE375" s="130"/>
    </row>
    <row r="376" spans="1:31" x14ac:dyDescent="0.25">
      <c r="A376" s="299">
        <v>372</v>
      </c>
      <c r="B376" s="226" t="s">
        <v>155</v>
      </c>
      <c r="G376" s="307">
        <v>120485</v>
      </c>
      <c r="H376" s="308"/>
      <c r="I376" s="307">
        <v>120485</v>
      </c>
      <c r="J376" s="308"/>
      <c r="K376" s="307">
        <v>120485</v>
      </c>
      <c r="L376" s="308"/>
      <c r="M376" s="307">
        <v>120485</v>
      </c>
      <c r="N376" s="308"/>
      <c r="O376" s="307">
        <v>120485</v>
      </c>
      <c r="P376" s="308"/>
      <c r="Q376" s="307">
        <v>120485</v>
      </c>
      <c r="R376" s="308"/>
      <c r="S376" s="307">
        <v>120485</v>
      </c>
      <c r="T376" s="308"/>
      <c r="U376" s="307">
        <v>120485</v>
      </c>
      <c r="V376" s="308"/>
      <c r="W376" s="269">
        <v>120485</v>
      </c>
      <c r="Y376" s="307">
        <v>120485</v>
      </c>
      <c r="Z376" s="308"/>
      <c r="AA376" s="307">
        <v>120485</v>
      </c>
      <c r="AB376" s="308"/>
      <c r="AC376" s="307">
        <v>120485</v>
      </c>
      <c r="AD376" s="68">
        <f t="shared" si="26"/>
        <v>1445820</v>
      </c>
    </row>
    <row r="377" spans="1:31" x14ac:dyDescent="0.25">
      <c r="A377" s="299">
        <v>373</v>
      </c>
      <c r="B377" s="226" t="s">
        <v>156</v>
      </c>
      <c r="G377" s="307">
        <v>-347.12</v>
      </c>
      <c r="H377" s="308"/>
      <c r="I377" s="307">
        <v>-347.12</v>
      </c>
      <c r="J377" s="308"/>
      <c r="K377" s="307">
        <v>-347.12</v>
      </c>
      <c r="L377" s="308"/>
      <c r="M377" s="307">
        <v>-347.12</v>
      </c>
      <c r="N377" s="308"/>
      <c r="O377" s="307">
        <v>-347.12</v>
      </c>
      <c r="P377" s="308"/>
      <c r="Q377" s="307">
        <v>-347.12</v>
      </c>
      <c r="R377" s="308"/>
      <c r="S377" s="307">
        <v>-347.12</v>
      </c>
      <c r="T377" s="308"/>
      <c r="U377" s="307">
        <v>-2753.15</v>
      </c>
      <c r="V377" s="308"/>
      <c r="W377" s="307">
        <v>-2753.15</v>
      </c>
      <c r="X377" s="308"/>
      <c r="Y377" s="307">
        <v>-2753.15</v>
      </c>
      <c r="Z377" s="308"/>
      <c r="AA377" s="307">
        <v>-2753.15</v>
      </c>
      <c r="AB377" s="308"/>
      <c r="AC377" s="307">
        <v>-2753.15</v>
      </c>
      <c r="AD377" s="68">
        <f t="shared" si="26"/>
        <v>-16195.589999999998</v>
      </c>
    </row>
    <row r="378" spans="1:31" x14ac:dyDescent="0.25">
      <c r="A378" s="299">
        <v>374</v>
      </c>
      <c r="B378" s="226" t="s">
        <v>20</v>
      </c>
      <c r="G378" s="307">
        <v>5355.66</v>
      </c>
      <c r="H378" s="308"/>
      <c r="I378" s="269">
        <v>5359.75</v>
      </c>
      <c r="J378" s="308"/>
      <c r="K378" s="307">
        <v>5372.68</v>
      </c>
      <c r="L378" s="308"/>
      <c r="M378" s="307">
        <v>5351</v>
      </c>
      <c r="N378" s="308"/>
      <c r="O378" s="307">
        <v>5352.97</v>
      </c>
      <c r="P378" s="308"/>
      <c r="Q378" s="307">
        <v>5373.25</v>
      </c>
      <c r="R378" s="308"/>
      <c r="S378" s="307">
        <v>5412.71</v>
      </c>
      <c r="T378" s="308"/>
      <c r="U378" s="307">
        <v>5820.58</v>
      </c>
      <c r="V378" s="308"/>
      <c r="W378" s="269">
        <v>6416.12</v>
      </c>
      <c r="Y378" s="307">
        <v>5794.09</v>
      </c>
      <c r="Z378" s="308"/>
      <c r="AA378" s="307">
        <v>5291.81</v>
      </c>
      <c r="AB378" s="308"/>
      <c r="AC378" s="307">
        <v>5264.23</v>
      </c>
      <c r="AD378" s="68">
        <f t="shared" si="26"/>
        <v>66164.850000000006</v>
      </c>
    </row>
    <row r="379" spans="1:31" x14ac:dyDescent="0.25">
      <c r="A379" s="299">
        <v>375</v>
      </c>
      <c r="B379" s="229" t="s">
        <v>30</v>
      </c>
      <c r="G379" s="307">
        <f>SUM(G358:G378)</f>
        <v>126255.93000000001</v>
      </c>
      <c r="H379" s="307"/>
      <c r="I379" s="307">
        <f>SUM(I358:I378)</f>
        <v>126379.53</v>
      </c>
      <c r="J379" s="307"/>
      <c r="K379" s="307">
        <f>SUM(K358:K378)</f>
        <v>126752.93</v>
      </c>
      <c r="L379" s="307"/>
      <c r="M379" s="307">
        <f>SUM(M358:M378)</f>
        <v>126113.88</v>
      </c>
      <c r="N379" s="307"/>
      <c r="O379" s="307">
        <f>SUM(O358:O378)</f>
        <v>126173.84000000001</v>
      </c>
      <c r="P379" s="307"/>
      <c r="Q379" s="307">
        <f>SUM(Q358:Q378)</f>
        <v>126769.22</v>
      </c>
      <c r="R379" s="307"/>
      <c r="S379" s="307">
        <f>SUM(S358:S378)</f>
        <v>128191.42000000001</v>
      </c>
      <c r="T379" s="307"/>
      <c r="U379" s="307">
        <f>SUM(U358:U378)</f>
        <v>140009.25</v>
      </c>
      <c r="V379" s="307"/>
      <c r="W379" s="307">
        <f>SUM(W358:W378)</f>
        <v>156537.38000000003</v>
      </c>
      <c r="X379" s="307"/>
      <c r="Y379" s="307">
        <f>SUM(Y358:Y378)</f>
        <v>139274.14000000001</v>
      </c>
      <c r="Z379" s="307"/>
      <c r="AA379" s="307">
        <f>SUM(AA358:AA378)</f>
        <v>125221.32</v>
      </c>
      <c r="AB379" s="307"/>
      <c r="AC379" s="307">
        <f>SUM(AC358:AC378)</f>
        <v>124294.75</v>
      </c>
      <c r="AD379" s="68">
        <f t="shared" si="26"/>
        <v>1571973.59</v>
      </c>
    </row>
    <row r="380" spans="1:31" x14ac:dyDescent="0.25">
      <c r="A380" s="299">
        <v>376</v>
      </c>
      <c r="B380" s="229" t="s">
        <v>31</v>
      </c>
      <c r="F380" s="294"/>
      <c r="G380" s="323">
        <v>57483</v>
      </c>
      <c r="H380" s="311"/>
      <c r="I380" s="308">
        <v>106086</v>
      </c>
      <c r="J380" s="308"/>
      <c r="K380" s="308">
        <v>228696</v>
      </c>
      <c r="L380" s="308"/>
      <c r="M380" s="311">
        <v>0</v>
      </c>
      <c r="N380" s="311"/>
      <c r="O380" s="308">
        <v>24270</v>
      </c>
      <c r="P380" s="311"/>
      <c r="Q380" s="308">
        <v>234043</v>
      </c>
      <c r="R380" s="311"/>
      <c r="S380" s="308">
        <v>1112893</v>
      </c>
      <c r="T380" s="311"/>
      <c r="U380" s="308">
        <v>5050508</v>
      </c>
      <c r="V380" s="311"/>
      <c r="W380" s="291">
        <v>9500954</v>
      </c>
      <c r="X380" s="294"/>
      <c r="Y380" s="308">
        <v>4852567</v>
      </c>
      <c r="Z380" s="311"/>
      <c r="AA380" s="308">
        <v>897404</v>
      </c>
      <c r="AB380" s="311"/>
      <c r="AC380" s="308">
        <v>211269</v>
      </c>
      <c r="AD380" s="47">
        <f t="shared" si="26"/>
        <v>22276173</v>
      </c>
    </row>
    <row r="381" spans="1:31" x14ac:dyDescent="0.25">
      <c r="A381" s="299">
        <v>377</v>
      </c>
      <c r="B381" s="229" t="s">
        <v>32</v>
      </c>
      <c r="F381" s="294"/>
      <c r="G381" s="294"/>
      <c r="H381" s="294"/>
      <c r="I381" s="291"/>
      <c r="K381" s="291"/>
      <c r="M381" s="294"/>
      <c r="N381" s="294"/>
      <c r="O381" s="291"/>
      <c r="P381" s="294"/>
      <c r="Q381" s="291"/>
      <c r="R381" s="294"/>
      <c r="S381" s="291"/>
      <c r="T381" s="294"/>
      <c r="U381" s="291"/>
      <c r="V381" s="294"/>
      <c r="W381" s="291"/>
      <c r="X381" s="294"/>
      <c r="Y381" s="291"/>
      <c r="Z381" s="294"/>
      <c r="AA381" s="291"/>
      <c r="AB381" s="294"/>
      <c r="AC381" s="291"/>
      <c r="AD381" s="47">
        <f t="shared" si="26"/>
        <v>0</v>
      </c>
    </row>
    <row r="382" spans="1:31" x14ac:dyDescent="0.25">
      <c r="A382" s="299">
        <v>378</v>
      </c>
      <c r="B382" s="229" t="s">
        <v>33</v>
      </c>
      <c r="F382" s="294"/>
      <c r="G382" s="311">
        <f>SUM(G380:G381)</f>
        <v>57483</v>
      </c>
      <c r="H382" s="311"/>
      <c r="I382" s="308">
        <f>SUM(I380:I381)</f>
        <v>106086</v>
      </c>
      <c r="J382" s="308"/>
      <c r="K382" s="308">
        <f>SUM(K380:K381)</f>
        <v>228696</v>
      </c>
      <c r="L382" s="308"/>
      <c r="M382" s="311">
        <f>SUM(M380:M381)</f>
        <v>0</v>
      </c>
      <c r="N382" s="311"/>
      <c r="O382" s="308">
        <f>SUM(O380:O381)</f>
        <v>24270</v>
      </c>
      <c r="P382" s="311"/>
      <c r="Q382" s="308">
        <f>SUM(Q380:Q381)</f>
        <v>234043</v>
      </c>
      <c r="R382" s="311"/>
      <c r="S382" s="308">
        <f>SUM(S380:S381)</f>
        <v>1112893</v>
      </c>
      <c r="T382" s="311"/>
      <c r="U382" s="308">
        <f>SUM(U380:U381)</f>
        <v>5050508</v>
      </c>
      <c r="V382" s="311"/>
      <c r="W382" s="308">
        <f>SUM(W380:W381)</f>
        <v>9500954</v>
      </c>
      <c r="X382" s="311"/>
      <c r="Y382" s="308">
        <f>SUM(Y380:Y381)</f>
        <v>4852567</v>
      </c>
      <c r="Z382" s="311"/>
      <c r="AA382" s="308">
        <f>SUM(AA380:AA381)</f>
        <v>897404</v>
      </c>
      <c r="AB382" s="311"/>
      <c r="AC382" s="308">
        <f>SUM(AC380:AC381)</f>
        <v>211269</v>
      </c>
      <c r="AD382" s="47">
        <f t="shared" si="26"/>
        <v>22276173</v>
      </c>
    </row>
    <row r="383" spans="1:31" x14ac:dyDescent="0.25">
      <c r="A383" s="299">
        <v>379</v>
      </c>
      <c r="B383" s="229"/>
      <c r="F383" s="294"/>
      <c r="G383" s="294"/>
      <c r="H383" s="294"/>
      <c r="I383" s="294"/>
      <c r="J383" s="294"/>
      <c r="K383" s="294"/>
      <c r="L383" s="294"/>
      <c r="M383" s="294"/>
      <c r="N383" s="294"/>
      <c r="O383" s="294"/>
      <c r="P383" s="294"/>
      <c r="Q383" s="294"/>
      <c r="R383" s="294"/>
      <c r="S383" s="294"/>
      <c r="T383" s="294"/>
      <c r="U383" s="294"/>
      <c r="V383" s="294"/>
      <c r="W383" s="294"/>
      <c r="X383" s="294"/>
      <c r="Y383" s="294"/>
      <c r="Z383" s="294"/>
      <c r="AA383" s="294"/>
      <c r="AB383" s="294"/>
      <c r="AC383" s="294"/>
      <c r="AD383" s="47"/>
    </row>
    <row r="384" spans="1:31" x14ac:dyDescent="0.25">
      <c r="A384" s="299">
        <v>380</v>
      </c>
      <c r="B384" s="313" t="s">
        <v>144</v>
      </c>
    </row>
    <row r="385" spans="1:31" x14ac:dyDescent="0.25">
      <c r="A385" s="299">
        <v>381</v>
      </c>
      <c r="B385" s="333" t="s">
        <v>25</v>
      </c>
      <c r="G385" s="307">
        <v>625</v>
      </c>
      <c r="H385" s="308"/>
      <c r="I385" s="307">
        <v>625</v>
      </c>
      <c r="J385" s="308"/>
      <c r="K385" s="307">
        <v>625</v>
      </c>
      <c r="L385" s="308"/>
      <c r="M385" s="307">
        <v>625</v>
      </c>
      <c r="N385" s="308"/>
      <c r="O385" s="307">
        <v>625</v>
      </c>
      <c r="P385" s="308"/>
      <c r="Q385" s="307">
        <v>625</v>
      </c>
      <c r="R385" s="308"/>
      <c r="S385" s="307">
        <v>625</v>
      </c>
      <c r="T385" s="308"/>
      <c r="U385" s="307">
        <v>625</v>
      </c>
      <c r="V385" s="308"/>
      <c r="W385" s="269">
        <v>625</v>
      </c>
      <c r="Y385" s="307">
        <v>625</v>
      </c>
      <c r="Z385" s="308"/>
      <c r="AA385" s="307">
        <v>625</v>
      </c>
      <c r="AB385" s="308"/>
      <c r="AC385" s="307">
        <v>625</v>
      </c>
      <c r="AD385" s="68">
        <f t="shared" ref="AD385:AD396" si="27">SUM(G385:AC385)</f>
        <v>7500</v>
      </c>
    </row>
    <row r="386" spans="1:31" x14ac:dyDescent="0.25">
      <c r="A386" s="299">
        <v>382</v>
      </c>
      <c r="B386" s="333" t="s">
        <v>186</v>
      </c>
      <c r="G386" s="307">
        <v>20468.36</v>
      </c>
      <c r="H386" s="308"/>
      <c r="I386" s="307">
        <v>20468.36</v>
      </c>
      <c r="J386" s="308"/>
      <c r="K386" s="307">
        <v>20468.36</v>
      </c>
      <c r="L386" s="308"/>
      <c r="M386" s="307">
        <v>20468.36</v>
      </c>
      <c r="N386" s="308"/>
      <c r="O386" s="307">
        <v>20468.36</v>
      </c>
      <c r="P386" s="308"/>
      <c r="Q386" s="307">
        <v>20468.36</v>
      </c>
      <c r="R386" s="308"/>
      <c r="S386" s="307">
        <v>20468.36</v>
      </c>
      <c r="T386" s="308"/>
      <c r="U386" s="307">
        <v>20468.36</v>
      </c>
      <c r="V386" s="308"/>
      <c r="W386" s="269">
        <v>20673.04</v>
      </c>
      <c r="Y386" s="307">
        <v>20673.04</v>
      </c>
      <c r="Z386" s="308"/>
      <c r="AA386" s="307">
        <v>20673.04</v>
      </c>
      <c r="AB386" s="308"/>
      <c r="AC386" s="307">
        <v>20673.04</v>
      </c>
      <c r="AD386" s="68">
        <f t="shared" si="27"/>
        <v>246439.04000000004</v>
      </c>
    </row>
    <row r="387" spans="1:31" x14ac:dyDescent="0.25">
      <c r="A387" s="299">
        <v>383</v>
      </c>
      <c r="B387" s="333" t="s">
        <v>157</v>
      </c>
      <c r="H387" s="308"/>
      <c r="J387" s="308"/>
      <c r="L387" s="308"/>
      <c r="N387" s="308"/>
      <c r="P387" s="308"/>
      <c r="R387" s="308"/>
      <c r="S387" s="307"/>
      <c r="T387" s="308"/>
      <c r="U387" s="307"/>
      <c r="V387" s="308"/>
      <c r="AD387" s="68">
        <f t="shared" si="27"/>
        <v>0</v>
      </c>
    </row>
    <row r="388" spans="1:31" x14ac:dyDescent="0.25">
      <c r="A388" s="299">
        <v>384</v>
      </c>
      <c r="B388" s="333" t="s">
        <v>25</v>
      </c>
      <c r="H388" s="308"/>
      <c r="J388" s="308"/>
      <c r="L388" s="308"/>
      <c r="N388" s="308"/>
      <c r="P388" s="308"/>
      <c r="R388" s="308"/>
      <c r="S388" s="307"/>
      <c r="T388" s="308"/>
      <c r="U388" s="307"/>
      <c r="V388" s="308"/>
      <c r="AD388" s="68">
        <f t="shared" si="27"/>
        <v>0</v>
      </c>
    </row>
    <row r="389" spans="1:31" x14ac:dyDescent="0.25">
      <c r="A389" s="299">
        <v>385</v>
      </c>
      <c r="B389" s="333" t="s">
        <v>158</v>
      </c>
      <c r="G389" s="307">
        <v>3129.93</v>
      </c>
      <c r="H389" s="308"/>
      <c r="I389" s="307">
        <v>3071.81</v>
      </c>
      <c r="J389" s="308"/>
      <c r="K389" s="307">
        <v>3074.62</v>
      </c>
      <c r="L389" s="308"/>
      <c r="M389" s="307">
        <v>3725.17</v>
      </c>
      <c r="N389" s="308"/>
      <c r="O389" s="307">
        <v>3348.75</v>
      </c>
      <c r="P389" s="308"/>
      <c r="Q389" s="307">
        <v>2160.4899999999998</v>
      </c>
      <c r="R389" s="308"/>
      <c r="S389" s="307">
        <v>2269.48</v>
      </c>
      <c r="T389" s="308"/>
      <c r="U389" s="307">
        <v>2474.5</v>
      </c>
      <c r="V389" s="308"/>
      <c r="W389" s="269">
        <v>2630.26</v>
      </c>
      <c r="Y389" s="307">
        <v>2617.41</v>
      </c>
      <c r="Z389" s="308"/>
      <c r="AA389" s="307">
        <v>3194.37</v>
      </c>
      <c r="AB389" s="308"/>
      <c r="AC389" s="307">
        <v>2940.79</v>
      </c>
      <c r="AD389" s="68">
        <f t="shared" si="27"/>
        <v>34637.58</v>
      </c>
    </row>
    <row r="390" spans="1:31" x14ac:dyDescent="0.25">
      <c r="A390" s="299">
        <v>386</v>
      </c>
      <c r="B390" s="333" t="s">
        <v>172</v>
      </c>
      <c r="G390" s="307">
        <v>117451.47</v>
      </c>
      <c r="H390" s="308"/>
      <c r="I390" s="307">
        <v>115270.56</v>
      </c>
      <c r="J390" s="308"/>
      <c r="K390" s="307">
        <v>115375.96</v>
      </c>
      <c r="L390" s="308"/>
      <c r="M390" s="307">
        <v>139788</v>
      </c>
      <c r="N390" s="308"/>
      <c r="O390" s="307">
        <v>125662.82</v>
      </c>
      <c r="P390" s="308"/>
      <c r="Q390" s="307">
        <v>81073.11</v>
      </c>
      <c r="R390" s="308"/>
      <c r="S390" s="307">
        <v>85162.73</v>
      </c>
      <c r="T390" s="308"/>
      <c r="U390" s="307">
        <v>92856.320000000007</v>
      </c>
      <c r="V390" s="308"/>
      <c r="W390" s="269">
        <v>99688.29</v>
      </c>
      <c r="Y390" s="307">
        <v>99201.04</v>
      </c>
      <c r="Z390" s="308"/>
      <c r="AA390" s="307">
        <v>121068.28</v>
      </c>
      <c r="AB390" s="308"/>
      <c r="AC390" s="307">
        <v>111457.23</v>
      </c>
      <c r="AD390" s="68">
        <f t="shared" si="27"/>
        <v>1304055.81</v>
      </c>
    </row>
    <row r="391" spans="1:31" x14ac:dyDescent="0.25">
      <c r="A391" s="299">
        <v>387</v>
      </c>
      <c r="B391" s="333" t="s">
        <v>20</v>
      </c>
      <c r="G391" s="307">
        <v>6277.61</v>
      </c>
      <c r="H391" s="308"/>
      <c r="I391" s="307">
        <v>6178.4</v>
      </c>
      <c r="J391" s="308"/>
      <c r="K391" s="307">
        <v>6183.19</v>
      </c>
      <c r="L391" s="308"/>
      <c r="M391" s="307">
        <v>7293.72</v>
      </c>
      <c r="N391" s="308"/>
      <c r="O391" s="307">
        <v>6651.15</v>
      </c>
      <c r="P391" s="308"/>
      <c r="Q391" s="307">
        <v>4622.7299999999996</v>
      </c>
      <c r="R391" s="308"/>
      <c r="S391" s="307">
        <v>4808.7700000000004</v>
      </c>
      <c r="T391" s="308"/>
      <c r="U391" s="307">
        <v>5158.76</v>
      </c>
      <c r="V391" s="308"/>
      <c r="W391" s="269">
        <v>5477.45</v>
      </c>
      <c r="Y391" s="307">
        <v>5455.29</v>
      </c>
      <c r="Z391" s="308"/>
      <c r="AA391" s="307">
        <v>6449.79</v>
      </c>
      <c r="AB391" s="308"/>
      <c r="AC391" s="307">
        <v>6012.69</v>
      </c>
      <c r="AD391" s="68">
        <f t="shared" si="27"/>
        <v>70569.55</v>
      </c>
    </row>
    <row r="392" spans="1:31" x14ac:dyDescent="0.25">
      <c r="A392" s="299">
        <v>388</v>
      </c>
      <c r="B392" s="333" t="s">
        <v>29</v>
      </c>
      <c r="G392" s="307"/>
      <c r="H392" s="308"/>
      <c r="I392" s="307"/>
      <c r="J392" s="308"/>
      <c r="K392" s="307"/>
      <c r="L392" s="308"/>
      <c r="M392" s="307"/>
      <c r="N392" s="308"/>
      <c r="O392" s="307"/>
      <c r="P392" s="308"/>
      <c r="Q392" s="307"/>
      <c r="R392" s="308"/>
      <c r="S392" s="307"/>
      <c r="T392" s="308"/>
      <c r="U392" s="307"/>
      <c r="V392" s="308"/>
      <c r="AD392" s="68">
        <f t="shared" si="27"/>
        <v>0</v>
      </c>
    </row>
    <row r="393" spans="1:31" x14ac:dyDescent="0.25">
      <c r="A393" s="299">
        <v>389</v>
      </c>
      <c r="B393" s="229" t="s">
        <v>30</v>
      </c>
      <c r="G393" s="307">
        <f>SUM(G385:G392)</f>
        <v>147952.37</v>
      </c>
      <c r="H393" s="307"/>
      <c r="I393" s="307">
        <f>SUM(I385:I392)</f>
        <v>145614.13</v>
      </c>
      <c r="J393" s="307"/>
      <c r="K393" s="307">
        <f>SUM(K385:K392)</f>
        <v>145727.13</v>
      </c>
      <c r="L393" s="307"/>
      <c r="M393" s="307">
        <f>SUM(M385:M392)</f>
        <v>171900.25</v>
      </c>
      <c r="N393" s="307"/>
      <c r="O393" s="307">
        <f>SUM(O385:O392)</f>
        <v>156756.07999999999</v>
      </c>
      <c r="P393" s="307"/>
      <c r="Q393" s="307">
        <f>SUM(Q385:Q392)</f>
        <v>108949.68999999999</v>
      </c>
      <c r="R393" s="307"/>
      <c r="S393" s="307">
        <f>SUM(S385:S392)</f>
        <v>113334.34</v>
      </c>
      <c r="T393" s="307"/>
      <c r="U393" s="307">
        <f>SUM(U385:U392)</f>
        <v>121582.94</v>
      </c>
      <c r="V393" s="307"/>
      <c r="W393" s="307">
        <f>SUM(W385:W392)</f>
        <v>129094.04</v>
      </c>
      <c r="X393" s="307"/>
      <c r="Y393" s="307">
        <f>SUM(Y385:Y392)</f>
        <v>128571.77999999998</v>
      </c>
      <c r="Z393" s="307"/>
      <c r="AA393" s="307">
        <f>SUM(AA385:AA392)</f>
        <v>152010.48000000001</v>
      </c>
      <c r="AB393" s="307"/>
      <c r="AC393" s="307">
        <f>SUM(AC385:AC392)</f>
        <v>141708.75</v>
      </c>
      <c r="AD393" s="68">
        <f t="shared" si="27"/>
        <v>1663201.98</v>
      </c>
    </row>
    <row r="394" spans="1:31" x14ac:dyDescent="0.25">
      <c r="A394" s="299">
        <v>390</v>
      </c>
      <c r="B394" s="226" t="s">
        <v>31</v>
      </c>
      <c r="F394" s="294"/>
      <c r="G394" s="323">
        <v>7824829</v>
      </c>
      <c r="H394" s="311"/>
      <c r="I394" s="308">
        <v>7679533</v>
      </c>
      <c r="J394" s="308"/>
      <c r="K394" s="308">
        <v>7686555</v>
      </c>
      <c r="L394" s="308"/>
      <c r="M394" s="308">
        <v>9312929</v>
      </c>
      <c r="N394" s="308"/>
      <c r="O394" s="308">
        <v>8371884</v>
      </c>
      <c r="P394" s="308"/>
      <c r="Q394" s="308">
        <v>5401237</v>
      </c>
      <c r="R394" s="308"/>
      <c r="S394" s="308">
        <v>5673695</v>
      </c>
      <c r="T394" s="308"/>
      <c r="U394" s="308">
        <v>6186256</v>
      </c>
      <c r="V394" s="311"/>
      <c r="W394" s="291">
        <v>6575658</v>
      </c>
      <c r="X394" s="294"/>
      <c r="Y394" s="308">
        <v>6543518</v>
      </c>
      <c r="Z394" s="311"/>
      <c r="AA394" s="308">
        <v>7985929</v>
      </c>
      <c r="AB394" s="311"/>
      <c r="AC394" s="308">
        <v>7351963</v>
      </c>
      <c r="AD394" s="47">
        <f t="shared" si="27"/>
        <v>86593986</v>
      </c>
      <c r="AE394" s="47"/>
    </row>
    <row r="395" spans="1:31" x14ac:dyDescent="0.25">
      <c r="A395" s="299">
        <v>391</v>
      </c>
      <c r="B395" s="229" t="s">
        <v>32</v>
      </c>
      <c r="F395" s="294"/>
      <c r="G395" s="294"/>
      <c r="H395" s="294"/>
      <c r="I395" s="291"/>
      <c r="K395" s="291"/>
      <c r="M395" s="291"/>
      <c r="O395" s="291"/>
      <c r="Q395" s="291"/>
      <c r="S395" s="308"/>
      <c r="T395" s="308"/>
      <c r="U395" s="308"/>
      <c r="V395" s="311"/>
      <c r="W395" s="291"/>
      <c r="X395" s="294"/>
      <c r="Y395" s="308"/>
      <c r="Z395" s="311"/>
      <c r="AA395" s="308"/>
      <c r="AB395" s="311"/>
      <c r="AC395" s="308"/>
      <c r="AD395" s="47">
        <f t="shared" si="27"/>
        <v>0</v>
      </c>
      <c r="AE395" s="47"/>
    </row>
    <row r="396" spans="1:31" x14ac:dyDescent="0.25">
      <c r="A396" s="299">
        <v>392</v>
      </c>
      <c r="B396" s="229" t="s">
        <v>33</v>
      </c>
      <c r="F396" s="294"/>
      <c r="G396" s="311">
        <f>SUM(G394:G395)</f>
        <v>7824829</v>
      </c>
      <c r="H396" s="311"/>
      <c r="I396" s="308">
        <f>SUM(I394:I395)</f>
        <v>7679533</v>
      </c>
      <c r="J396" s="308"/>
      <c r="K396" s="308">
        <f>SUM(K394:K395)</f>
        <v>7686555</v>
      </c>
      <c r="L396" s="308"/>
      <c r="M396" s="308">
        <f>SUM(M394:M395)</f>
        <v>9312929</v>
      </c>
      <c r="N396" s="308"/>
      <c r="O396" s="308">
        <f>SUM(O394:O395)</f>
        <v>8371884</v>
      </c>
      <c r="P396" s="308"/>
      <c r="Q396" s="308">
        <f>SUM(Q394:Q395)</f>
        <v>5401237</v>
      </c>
      <c r="R396" s="308"/>
      <c r="S396" s="308">
        <f>SUM(S394:S395)</f>
        <v>5673695</v>
      </c>
      <c r="T396" s="308"/>
      <c r="U396" s="308">
        <f t="shared" ref="U396:AC396" si="28">SUM(U394:U395)</f>
        <v>6186256</v>
      </c>
      <c r="V396" s="311">
        <f t="shared" si="28"/>
        <v>0</v>
      </c>
      <c r="W396" s="308">
        <f t="shared" si="28"/>
        <v>6575658</v>
      </c>
      <c r="X396" s="311">
        <f t="shared" si="28"/>
        <v>0</v>
      </c>
      <c r="Y396" s="308">
        <f t="shared" si="28"/>
        <v>6543518</v>
      </c>
      <c r="Z396" s="311">
        <f t="shared" si="28"/>
        <v>0</v>
      </c>
      <c r="AA396" s="308">
        <f t="shared" si="28"/>
        <v>7985929</v>
      </c>
      <c r="AB396" s="311">
        <f t="shared" si="28"/>
        <v>0</v>
      </c>
      <c r="AC396" s="308">
        <f t="shared" si="28"/>
        <v>7351963</v>
      </c>
      <c r="AD396" s="47">
        <f t="shared" si="27"/>
        <v>86593986</v>
      </c>
      <c r="AE396" s="47"/>
    </row>
    <row r="397" spans="1:31" x14ac:dyDescent="0.25">
      <c r="A397" s="299">
        <v>393</v>
      </c>
      <c r="B397" s="229"/>
    </row>
    <row r="398" spans="1:31" x14ac:dyDescent="0.25">
      <c r="A398" s="299">
        <v>394</v>
      </c>
      <c r="B398" s="313" t="s">
        <v>21</v>
      </c>
    </row>
    <row r="399" spans="1:31" x14ac:dyDescent="0.25">
      <c r="A399" s="299">
        <v>395</v>
      </c>
      <c r="B399" s="229" t="s">
        <v>25</v>
      </c>
      <c r="G399" s="307">
        <v>625</v>
      </c>
      <c r="H399" s="308"/>
      <c r="I399" s="307">
        <v>625</v>
      </c>
      <c r="J399" s="308"/>
      <c r="K399" s="307">
        <v>625</v>
      </c>
      <c r="L399" s="308"/>
      <c r="M399" s="307">
        <v>625</v>
      </c>
      <c r="N399" s="308"/>
      <c r="O399" s="307">
        <v>625</v>
      </c>
      <c r="P399" s="308"/>
      <c r="Q399" s="307">
        <v>625</v>
      </c>
      <c r="R399" s="308"/>
      <c r="S399" s="307">
        <v>625</v>
      </c>
      <c r="T399" s="308"/>
      <c r="U399" s="307">
        <v>625</v>
      </c>
      <c r="V399" s="308"/>
      <c r="W399" s="307">
        <v>625</v>
      </c>
      <c r="X399" s="308"/>
      <c r="Y399" s="307">
        <v>625</v>
      </c>
      <c r="Z399" s="308"/>
      <c r="AA399" s="307">
        <v>625</v>
      </c>
      <c r="AB399" s="308"/>
      <c r="AC399" s="307">
        <v>625</v>
      </c>
      <c r="AD399" s="68">
        <f>SUM(G399:AC399)</f>
        <v>7500</v>
      </c>
    </row>
    <row r="400" spans="1:31" x14ac:dyDescent="0.25">
      <c r="A400" s="299">
        <v>396</v>
      </c>
      <c r="B400" s="229" t="s">
        <v>186</v>
      </c>
      <c r="G400" s="307">
        <v>14541.22</v>
      </c>
      <c r="H400" s="308"/>
      <c r="I400" s="307">
        <v>14541.22</v>
      </c>
      <c r="J400" s="308"/>
      <c r="K400" s="307">
        <v>14541.22</v>
      </c>
      <c r="L400" s="308"/>
      <c r="M400" s="307">
        <v>14541.22</v>
      </c>
      <c r="N400" s="308"/>
      <c r="O400" s="307">
        <v>14541.22</v>
      </c>
      <c r="P400" s="308"/>
      <c r="Q400" s="307">
        <v>14541.22</v>
      </c>
      <c r="R400" s="308"/>
      <c r="S400" s="307">
        <v>14541.22</v>
      </c>
      <c r="T400" s="308"/>
      <c r="U400" s="307">
        <v>14679.38</v>
      </c>
      <c r="V400" s="308"/>
      <c r="W400" s="307">
        <v>14679.38</v>
      </c>
      <c r="X400" s="308"/>
      <c r="Y400" s="307">
        <v>14679.38</v>
      </c>
      <c r="Z400" s="308"/>
      <c r="AA400" s="307">
        <v>14679.38</v>
      </c>
      <c r="AB400" s="308"/>
      <c r="AC400" s="307">
        <v>14679.38</v>
      </c>
      <c r="AD400" s="68">
        <f>SUM(G400:AC400)</f>
        <v>175185.44</v>
      </c>
    </row>
    <row r="401" spans="1:31" x14ac:dyDescent="0.25">
      <c r="A401" s="299">
        <v>397</v>
      </c>
      <c r="B401" s="229" t="s">
        <v>157</v>
      </c>
      <c r="H401" s="308"/>
      <c r="J401" s="308"/>
      <c r="L401" s="308"/>
      <c r="N401" s="308"/>
      <c r="P401" s="308"/>
      <c r="R401" s="308"/>
      <c r="S401" s="307"/>
      <c r="T401" s="308"/>
      <c r="AD401" s="68">
        <f t="shared" ref="AD401:AD402" si="29">SUM(G401:AC401)</f>
        <v>0</v>
      </c>
    </row>
    <row r="402" spans="1:31" x14ac:dyDescent="0.25">
      <c r="A402" s="299">
        <v>398</v>
      </c>
      <c r="B402" s="229" t="s">
        <v>25</v>
      </c>
      <c r="H402" s="308"/>
      <c r="L402" s="308"/>
      <c r="N402" s="308"/>
      <c r="R402" s="308"/>
      <c r="S402" s="307"/>
      <c r="T402" s="308"/>
      <c r="V402" s="308"/>
      <c r="AD402" s="68">
        <f t="shared" si="29"/>
        <v>0</v>
      </c>
    </row>
    <row r="403" spans="1:31" x14ac:dyDescent="0.25">
      <c r="A403" s="299">
        <v>399</v>
      </c>
      <c r="B403" s="229" t="s">
        <v>158</v>
      </c>
      <c r="G403" s="307">
        <v>142.89000000000001</v>
      </c>
      <c r="H403" s="308"/>
      <c r="K403" s="307">
        <v>993.36</v>
      </c>
      <c r="L403" s="308"/>
      <c r="M403" s="307">
        <v>133.80000000000001</v>
      </c>
      <c r="N403" s="308"/>
      <c r="Q403" s="307">
        <v>203.97</v>
      </c>
      <c r="R403" s="308"/>
      <c r="S403" s="307">
        <v>40.07</v>
      </c>
      <c r="T403" s="308"/>
      <c r="U403" s="307">
        <v>3336.09</v>
      </c>
      <c r="V403" s="308"/>
      <c r="W403" s="269">
        <v>3647.29</v>
      </c>
      <c r="Y403" s="269">
        <v>2481.7600000000002</v>
      </c>
      <c r="AA403" s="269">
        <v>697.53</v>
      </c>
      <c r="AC403" s="307">
        <v>75.349999999999994</v>
      </c>
      <c r="AD403" s="68">
        <f>SUM(G403:AC403)</f>
        <v>11752.110000000002</v>
      </c>
    </row>
    <row r="404" spans="1:31" x14ac:dyDescent="0.25">
      <c r="A404" s="299">
        <v>400</v>
      </c>
      <c r="B404" s="229" t="s">
        <v>172</v>
      </c>
      <c r="G404" s="307">
        <v>5194.6400000000003</v>
      </c>
      <c r="H404" s="308"/>
      <c r="K404" s="307">
        <v>36111.67</v>
      </c>
      <c r="L404" s="308"/>
      <c r="M404" s="307">
        <v>4864.08</v>
      </c>
      <c r="N404" s="308"/>
      <c r="Q404" s="307">
        <v>7414.83</v>
      </c>
      <c r="R404" s="308"/>
      <c r="S404" s="307">
        <v>1001.69</v>
      </c>
      <c r="T404" s="308"/>
      <c r="U404" s="307">
        <v>122428.59</v>
      </c>
      <c r="V404" s="308"/>
      <c r="W404" s="269">
        <v>133849.01</v>
      </c>
      <c r="Y404" s="269">
        <v>91076.35</v>
      </c>
      <c r="AA404" s="269">
        <v>25598.28</v>
      </c>
      <c r="AC404" s="307">
        <v>2765.23</v>
      </c>
      <c r="AD404" s="68">
        <f>SUM(G404:AC404)</f>
        <v>430304.37</v>
      </c>
    </row>
    <row r="405" spans="1:31" x14ac:dyDescent="0.25">
      <c r="A405" s="299">
        <v>401</v>
      </c>
      <c r="B405" s="229" t="s">
        <v>20</v>
      </c>
      <c r="G405" s="307">
        <v>908.52</v>
      </c>
      <c r="H405" s="308"/>
      <c r="I405" s="307">
        <v>672.02</v>
      </c>
      <c r="J405" s="308"/>
      <c r="K405" s="307">
        <v>2316.14</v>
      </c>
      <c r="L405" s="308"/>
      <c r="M405" s="307">
        <v>893.47</v>
      </c>
      <c r="N405" s="308"/>
      <c r="O405" s="307">
        <v>672.02</v>
      </c>
      <c r="P405" s="308"/>
      <c r="Q405" s="307">
        <v>1009.6</v>
      </c>
      <c r="R405" s="308"/>
      <c r="S405" s="307">
        <v>1317.4</v>
      </c>
      <c r="T405" s="308"/>
      <c r="U405" s="307">
        <v>6250.77</v>
      </c>
      <c r="V405" s="308"/>
      <c r="W405" s="269">
        <v>6770.6</v>
      </c>
      <c r="Y405" s="307">
        <v>4823.7</v>
      </c>
      <c r="Z405" s="308"/>
      <c r="AA405" s="307">
        <v>1843.3</v>
      </c>
      <c r="AB405" s="308"/>
      <c r="AC405" s="307">
        <v>804</v>
      </c>
      <c r="AD405" s="68">
        <f>SUM(G405:AC405)</f>
        <v>28281.54</v>
      </c>
    </row>
    <row r="406" spans="1:31" x14ac:dyDescent="0.25">
      <c r="A406" s="299">
        <v>402</v>
      </c>
      <c r="B406" s="229" t="s">
        <v>120</v>
      </c>
      <c r="G406" s="307">
        <v>1366.75</v>
      </c>
      <c r="H406" s="308"/>
      <c r="I406" s="269">
        <v>1010.95</v>
      </c>
      <c r="J406" s="308"/>
      <c r="K406" s="307">
        <v>3484.31</v>
      </c>
      <c r="L406" s="308"/>
      <c r="M406" s="307">
        <v>1344.1</v>
      </c>
      <c r="N406" s="308"/>
      <c r="O406" s="269">
        <v>1010.95</v>
      </c>
      <c r="P406" s="308"/>
      <c r="Q406" s="307">
        <v>1518.81</v>
      </c>
      <c r="R406" s="308"/>
      <c r="S406" s="307">
        <v>1010.95</v>
      </c>
      <c r="T406" s="308"/>
      <c r="U406" s="307">
        <v>9403.42</v>
      </c>
      <c r="V406" s="308"/>
      <c r="W406" s="269">
        <v>10185.43</v>
      </c>
      <c r="Y406" s="307">
        <v>7256.59</v>
      </c>
      <c r="Z406" s="308"/>
      <c r="AA406" s="307">
        <v>2773</v>
      </c>
      <c r="AB406" s="308"/>
      <c r="AC406" s="307">
        <v>1209.51</v>
      </c>
      <c r="AD406" s="68">
        <f>SUM(G406:AC406)</f>
        <v>41574.770000000004</v>
      </c>
    </row>
    <row r="407" spans="1:31" x14ac:dyDescent="0.25">
      <c r="A407" s="299">
        <v>403</v>
      </c>
      <c r="B407" s="229" t="s">
        <v>173</v>
      </c>
      <c r="G407" s="307"/>
      <c r="H407" s="308"/>
      <c r="J407" s="308"/>
      <c r="K407" s="307"/>
      <c r="L407" s="308"/>
      <c r="M407" s="307"/>
      <c r="N407" s="308"/>
      <c r="P407" s="308"/>
      <c r="Q407" s="307"/>
      <c r="R407" s="308"/>
      <c r="S407" s="307">
        <v>12898.31</v>
      </c>
      <c r="T407" s="308"/>
      <c r="U407" s="307"/>
      <c r="V407" s="308"/>
      <c r="Y407" s="307"/>
      <c r="Z407" s="308"/>
      <c r="AA407" s="307"/>
      <c r="AB407" s="308"/>
      <c r="AC407" s="307"/>
      <c r="AD407" s="68">
        <f t="shared" ref="AD407:AD408" si="30">SUM(G407:AC407)</f>
        <v>12898.31</v>
      </c>
    </row>
    <row r="408" spans="1:31" x14ac:dyDescent="0.25">
      <c r="A408" s="299">
        <v>404</v>
      </c>
      <c r="B408" s="229" t="s">
        <v>29</v>
      </c>
      <c r="G408" s="307"/>
      <c r="H408" s="308"/>
      <c r="I408" s="307"/>
      <c r="J408" s="308"/>
      <c r="K408" s="307"/>
      <c r="L408" s="308"/>
      <c r="N408" s="308"/>
      <c r="O408" s="307"/>
      <c r="P408" s="308"/>
      <c r="Q408" s="307"/>
      <c r="R408" s="308"/>
      <c r="S408" s="307"/>
      <c r="T408" s="308"/>
      <c r="U408" s="307"/>
      <c r="V408" s="308"/>
      <c r="AD408" s="68">
        <f t="shared" si="30"/>
        <v>0</v>
      </c>
    </row>
    <row r="409" spans="1:31" x14ac:dyDescent="0.25">
      <c r="A409" s="299">
        <v>405</v>
      </c>
      <c r="B409" s="229" t="s">
        <v>30</v>
      </c>
      <c r="G409" s="307">
        <f>SUM(G399:G408)</f>
        <v>22779.02</v>
      </c>
      <c r="H409" s="307"/>
      <c r="I409" s="307">
        <f>SUM(I399:I408)</f>
        <v>16849.189999999999</v>
      </c>
      <c r="J409" s="307"/>
      <c r="K409" s="307">
        <f>SUM(K399:K408)</f>
        <v>58071.7</v>
      </c>
      <c r="L409" s="307"/>
      <c r="M409" s="307">
        <f>SUM(M399:M406)</f>
        <v>22401.67</v>
      </c>
      <c r="N409" s="307"/>
      <c r="O409" s="307">
        <f>SUM(O399:O408)</f>
        <v>16849.189999999999</v>
      </c>
      <c r="P409" s="307"/>
      <c r="Q409" s="307">
        <f>SUM(Q399:Q408)</f>
        <v>25313.429999999997</v>
      </c>
      <c r="R409" s="307"/>
      <c r="S409" s="307">
        <f>SUM(S399:S408)</f>
        <v>31434.639999999999</v>
      </c>
      <c r="T409" s="307"/>
      <c r="U409" s="307">
        <f>SUM(U399:U408)</f>
        <v>156723.25</v>
      </c>
      <c r="V409" s="307"/>
      <c r="W409" s="307">
        <f>SUM(W399:W408)</f>
        <v>169756.71</v>
      </c>
      <c r="X409" s="307"/>
      <c r="Y409" s="307">
        <f>SUM(Y399:Y408)</f>
        <v>120942.78</v>
      </c>
      <c r="Z409" s="307"/>
      <c r="AA409" s="307">
        <f>SUM(AA399:AA408)</f>
        <v>46216.490000000005</v>
      </c>
      <c r="AB409" s="307"/>
      <c r="AC409" s="307">
        <f>SUM(AC399:AC408)</f>
        <v>20158.469999999998</v>
      </c>
      <c r="AD409" s="68">
        <f>SUM(G409:AC409)</f>
        <v>707496.53999999992</v>
      </c>
    </row>
    <row r="410" spans="1:31" x14ac:dyDescent="0.25">
      <c r="A410" s="299">
        <v>406</v>
      </c>
      <c r="B410" s="229" t="s">
        <v>31</v>
      </c>
      <c r="G410" s="308">
        <v>357236</v>
      </c>
      <c r="H410" s="308"/>
      <c r="I410" s="291"/>
      <c r="K410" s="308">
        <v>2483404</v>
      </c>
      <c r="L410" s="308"/>
      <c r="M410" s="308">
        <v>334503</v>
      </c>
      <c r="N410" s="308"/>
      <c r="O410" s="291"/>
      <c r="Q410" s="308">
        <v>509919</v>
      </c>
      <c r="R410" s="308"/>
      <c r="S410" s="308">
        <v>100169</v>
      </c>
      <c r="T410" s="308"/>
      <c r="U410" s="308">
        <v>8340220</v>
      </c>
      <c r="V410" s="308"/>
      <c r="W410" s="291">
        <v>9118215</v>
      </c>
      <c r="Y410" s="291">
        <v>6204407</v>
      </c>
      <c r="Z410" s="294"/>
      <c r="AA410" s="291">
        <v>1743835</v>
      </c>
      <c r="AB410" s="294"/>
      <c r="AC410" s="308">
        <v>188376</v>
      </c>
      <c r="AD410" s="47">
        <f>SUM(G410:AC410)</f>
        <v>29380284</v>
      </c>
      <c r="AE410" s="47"/>
    </row>
    <row r="411" spans="1:31" x14ac:dyDescent="0.25">
      <c r="A411" s="299">
        <v>407</v>
      </c>
      <c r="B411" s="229" t="s">
        <v>32</v>
      </c>
      <c r="G411" s="291"/>
      <c r="I411" s="291"/>
      <c r="K411" s="291"/>
      <c r="M411" s="291"/>
      <c r="O411" s="291"/>
      <c r="Q411" s="291"/>
      <c r="S411" s="308"/>
      <c r="T411" s="308"/>
      <c r="U411" s="308"/>
      <c r="V411" s="308"/>
      <c r="W411" s="291"/>
      <c r="Y411" s="291"/>
      <c r="Z411" s="294"/>
      <c r="AA411" s="291"/>
      <c r="AB411" s="294"/>
      <c r="AC411" s="291"/>
      <c r="AD411" s="47">
        <f>SUM(G411:AC411)</f>
        <v>0</v>
      </c>
      <c r="AE411" s="47"/>
    </row>
    <row r="412" spans="1:31" x14ac:dyDescent="0.25">
      <c r="A412" s="299">
        <v>408</v>
      </c>
      <c r="B412" s="226" t="s">
        <v>33</v>
      </c>
      <c r="G412" s="308">
        <f>SUM(G410:G411)</f>
        <v>357236</v>
      </c>
      <c r="H412" s="308"/>
      <c r="I412" s="308">
        <f>SUM(I410:I411)</f>
        <v>0</v>
      </c>
      <c r="J412" s="308"/>
      <c r="K412" s="308">
        <f>SUM(K410:K411)</f>
        <v>2483404</v>
      </c>
      <c r="L412" s="308"/>
      <c r="M412" s="308">
        <f>SUM(M410:M411)</f>
        <v>334503</v>
      </c>
      <c r="N412" s="308"/>
      <c r="O412" s="308">
        <f>SUM(O410:O411)</f>
        <v>0</v>
      </c>
      <c r="P412" s="308"/>
      <c r="Q412" s="308">
        <f>SUM(Q410:Q411)</f>
        <v>509919</v>
      </c>
      <c r="R412" s="308"/>
      <c r="S412" s="308">
        <f>SUM(S410:S411)</f>
        <v>100169</v>
      </c>
      <c r="T412" s="308"/>
      <c r="U412" s="308">
        <f>SUM(U410:U411)</f>
        <v>8340220</v>
      </c>
      <c r="V412" s="308"/>
      <c r="W412" s="308">
        <f>SUM(W410:W411)</f>
        <v>9118215</v>
      </c>
      <c r="X412" s="308"/>
      <c r="Y412" s="308">
        <f>SUM(Y410:Y411)</f>
        <v>6204407</v>
      </c>
      <c r="Z412" s="311"/>
      <c r="AA412" s="308">
        <f>SUM(AA410:AA411)</f>
        <v>1743835</v>
      </c>
      <c r="AB412" s="311"/>
      <c r="AC412" s="308">
        <f>SUM(AC410:AC411)</f>
        <v>188376</v>
      </c>
      <c r="AD412" s="47">
        <f>SUM(G412:AC412)</f>
        <v>29380284</v>
      </c>
      <c r="AE412" s="47"/>
    </row>
    <row r="413" spans="1:31" x14ac:dyDescent="0.25">
      <c r="A413" s="299">
        <v>409</v>
      </c>
      <c r="B413" s="229"/>
    </row>
    <row r="414" spans="1:31" x14ac:dyDescent="0.25">
      <c r="A414" s="299">
        <v>410</v>
      </c>
      <c r="B414" s="313" t="s">
        <v>147</v>
      </c>
    </row>
    <row r="415" spans="1:31" x14ac:dyDescent="0.25">
      <c r="A415" s="299">
        <v>411</v>
      </c>
      <c r="B415" s="229"/>
      <c r="G415" s="307"/>
      <c r="H415" s="308"/>
      <c r="I415" s="307"/>
      <c r="J415" s="308"/>
      <c r="K415" s="307"/>
      <c r="L415" s="308"/>
      <c r="M415" s="307"/>
      <c r="N415" s="308"/>
      <c r="O415" s="307"/>
      <c r="P415" s="308"/>
      <c r="Q415" s="307"/>
      <c r="R415" s="308"/>
      <c r="S415" s="307"/>
      <c r="T415" s="308"/>
      <c r="U415" s="307"/>
      <c r="V415" s="308"/>
      <c r="W415" s="307"/>
      <c r="X415" s="308"/>
      <c r="Y415" s="307"/>
      <c r="Z415" s="308"/>
      <c r="AA415" s="307"/>
      <c r="AB415" s="308"/>
      <c r="AC415" s="307"/>
      <c r="AD415" s="68">
        <f t="shared" ref="AD415:AD425" si="31">SUM(G415:AC415)</f>
        <v>0</v>
      </c>
    </row>
    <row r="416" spans="1:31" x14ac:dyDescent="0.25">
      <c r="A416" s="299">
        <v>412</v>
      </c>
      <c r="B416" s="229" t="s">
        <v>25</v>
      </c>
      <c r="G416" s="307">
        <v>625</v>
      </c>
      <c r="H416" s="308"/>
      <c r="I416" s="307">
        <v>625</v>
      </c>
      <c r="J416" s="308"/>
      <c r="K416" s="307">
        <v>625</v>
      </c>
      <c r="L416" s="308"/>
      <c r="M416" s="307">
        <v>625</v>
      </c>
      <c r="N416" s="308"/>
      <c r="O416" s="307">
        <v>625</v>
      </c>
      <c r="P416" s="308"/>
      <c r="Q416" s="307">
        <v>625</v>
      </c>
      <c r="R416" s="308"/>
      <c r="S416" s="307">
        <v>625</v>
      </c>
      <c r="T416" s="308"/>
      <c r="U416" s="307">
        <v>625</v>
      </c>
      <c r="V416" s="308"/>
      <c r="W416" s="269">
        <v>625</v>
      </c>
      <c r="Y416" s="269">
        <v>625</v>
      </c>
      <c r="AA416" s="269">
        <v>625</v>
      </c>
      <c r="AC416" s="269">
        <v>625</v>
      </c>
      <c r="AD416" s="68">
        <f t="shared" si="31"/>
        <v>7500</v>
      </c>
    </row>
    <row r="417" spans="1:31" x14ac:dyDescent="0.25">
      <c r="A417" s="299">
        <v>413</v>
      </c>
      <c r="B417" s="229" t="s">
        <v>158</v>
      </c>
      <c r="G417" s="307">
        <v>32.99</v>
      </c>
      <c r="H417" s="308"/>
      <c r="J417" s="308"/>
      <c r="K417" s="307">
        <v>15.68</v>
      </c>
      <c r="L417" s="308"/>
      <c r="M417" s="307">
        <v>44.94</v>
      </c>
      <c r="N417" s="308"/>
      <c r="O417" s="307">
        <v>3.5</v>
      </c>
      <c r="P417" s="308"/>
      <c r="Q417" s="307">
        <v>84.02</v>
      </c>
      <c r="R417" s="308"/>
      <c r="S417" s="307"/>
      <c r="T417" s="308"/>
      <c r="U417" s="307"/>
      <c r="V417" s="308"/>
      <c r="W417" s="269">
        <v>58.9</v>
      </c>
      <c r="Y417" s="307">
        <v>180.54</v>
      </c>
      <c r="Z417" s="308"/>
      <c r="AA417" s="307">
        <v>23.61</v>
      </c>
      <c r="AB417" s="308"/>
      <c r="AC417" s="307">
        <v>23.13</v>
      </c>
      <c r="AD417" s="68">
        <f t="shared" si="31"/>
        <v>467.31</v>
      </c>
    </row>
    <row r="418" spans="1:31" x14ac:dyDescent="0.25">
      <c r="A418" s="299">
        <v>414</v>
      </c>
      <c r="B418" s="229" t="s">
        <v>174</v>
      </c>
      <c r="G418" s="307">
        <v>824.68</v>
      </c>
      <c r="H418" s="308"/>
      <c r="J418" s="308"/>
      <c r="K418" s="307">
        <v>392.01</v>
      </c>
      <c r="L418" s="308"/>
      <c r="M418" s="307">
        <v>1123.5</v>
      </c>
      <c r="N418" s="308"/>
      <c r="O418" s="307">
        <v>87.45</v>
      </c>
      <c r="P418" s="308"/>
      <c r="Q418" s="307">
        <v>2100.6</v>
      </c>
      <c r="R418" s="308"/>
      <c r="S418" s="307"/>
      <c r="T418" s="308"/>
      <c r="U418" s="307"/>
      <c r="V418" s="308"/>
      <c r="W418" s="269">
        <v>1472.5</v>
      </c>
      <c r="Y418" s="307">
        <v>4513.49</v>
      </c>
      <c r="Z418" s="308"/>
      <c r="AA418" s="307">
        <v>590.22</v>
      </c>
      <c r="AB418" s="308"/>
      <c r="AC418" s="307">
        <v>578.19000000000005</v>
      </c>
      <c r="AD418" s="68">
        <f t="shared" si="31"/>
        <v>11682.64</v>
      </c>
    </row>
    <row r="419" spans="1:31" x14ac:dyDescent="0.25">
      <c r="A419" s="299">
        <v>415</v>
      </c>
      <c r="B419" s="229" t="s">
        <v>173</v>
      </c>
      <c r="G419" s="307">
        <v>13075.32</v>
      </c>
      <c r="H419" s="308"/>
      <c r="I419" s="307">
        <v>13900</v>
      </c>
      <c r="J419" s="308"/>
      <c r="K419" s="307">
        <v>13507.99</v>
      </c>
      <c r="L419" s="308"/>
      <c r="M419" s="307">
        <v>12776.5</v>
      </c>
      <c r="N419" s="308"/>
      <c r="O419" s="307">
        <v>13812.55</v>
      </c>
      <c r="P419" s="308"/>
      <c r="Q419" s="269">
        <v>11799.4</v>
      </c>
      <c r="S419" s="307"/>
      <c r="T419" s="308"/>
      <c r="U419" s="269">
        <v>13900</v>
      </c>
      <c r="W419" s="269">
        <v>12427.5</v>
      </c>
      <c r="Y419" s="307">
        <v>9386.51</v>
      </c>
      <c r="Z419" s="308"/>
      <c r="AA419" s="307">
        <v>13309.78</v>
      </c>
      <c r="AB419" s="308"/>
      <c r="AC419" s="307">
        <v>13321.81</v>
      </c>
      <c r="AD419" s="68">
        <f t="shared" si="31"/>
        <v>141217.35999999999</v>
      </c>
    </row>
    <row r="420" spans="1:31" x14ac:dyDescent="0.25">
      <c r="A420" s="299">
        <v>416</v>
      </c>
      <c r="B420" s="229" t="s">
        <v>20</v>
      </c>
      <c r="G420" s="307">
        <v>645.06000000000006</v>
      </c>
      <c r="H420" s="308"/>
      <c r="I420" s="307">
        <v>643.6</v>
      </c>
      <c r="J420" s="308"/>
      <c r="K420" s="307">
        <v>644.30000000000007</v>
      </c>
      <c r="L420" s="308"/>
      <c r="M420" s="307">
        <v>645.59</v>
      </c>
      <c r="N420" s="308"/>
      <c r="O420" s="307">
        <v>643.76</v>
      </c>
      <c r="P420" s="308"/>
      <c r="Q420" s="307">
        <v>647.33000000000004</v>
      </c>
      <c r="R420" s="308"/>
      <c r="S420" s="307"/>
      <c r="T420" s="308"/>
      <c r="U420" s="307">
        <v>643.6</v>
      </c>
      <c r="V420" s="308"/>
      <c r="W420" s="269">
        <v>646.21</v>
      </c>
      <c r="Y420" s="307">
        <v>651.6</v>
      </c>
      <c r="Z420" s="308"/>
      <c r="AA420" s="307">
        <v>644.65</v>
      </c>
      <c r="AB420" s="308"/>
      <c r="AC420" s="307">
        <v>644.63</v>
      </c>
      <c r="AD420" s="68">
        <f t="shared" si="31"/>
        <v>7100.3300000000008</v>
      </c>
    </row>
    <row r="421" spans="1:31" x14ac:dyDescent="0.25">
      <c r="A421" s="299">
        <v>417</v>
      </c>
      <c r="B421" s="229" t="s">
        <v>29</v>
      </c>
      <c r="G421" s="307"/>
      <c r="H421" s="308"/>
      <c r="I421" s="307"/>
      <c r="J421" s="308"/>
      <c r="K421" s="307"/>
      <c r="L421" s="308"/>
      <c r="M421" s="307"/>
      <c r="N421" s="308"/>
      <c r="O421" s="307"/>
      <c r="P421" s="308"/>
      <c r="Q421" s="307"/>
      <c r="R421" s="308"/>
      <c r="S421" s="307"/>
      <c r="T421" s="308"/>
      <c r="U421" s="307"/>
      <c r="V421" s="308"/>
      <c r="AD421" s="68">
        <f t="shared" si="31"/>
        <v>0</v>
      </c>
    </row>
    <row r="422" spans="1:31" x14ac:dyDescent="0.25">
      <c r="A422" s="299">
        <v>418</v>
      </c>
      <c r="B422" s="318" t="s">
        <v>30</v>
      </c>
      <c r="G422" s="307">
        <f>SUM(G416:G421)</f>
        <v>15203.05</v>
      </c>
      <c r="H422" s="307"/>
      <c r="I422" s="307">
        <f>SUM(I416:I421)</f>
        <v>15168.6</v>
      </c>
      <c r="J422" s="307"/>
      <c r="K422" s="307">
        <f>SUM(K416:K421)</f>
        <v>15184.98</v>
      </c>
      <c r="L422" s="307"/>
      <c r="M422" s="307">
        <f>SUM(M416:M421)</f>
        <v>15215.53</v>
      </c>
      <c r="N422" s="307"/>
      <c r="O422" s="307">
        <f>SUM(O416:O421)</f>
        <v>15172.26</v>
      </c>
      <c r="P422" s="307"/>
      <c r="Q422" s="307">
        <f>SUM(Q416:Q421)</f>
        <v>15256.35</v>
      </c>
      <c r="R422" s="307"/>
      <c r="S422" s="307">
        <f>SUM(S416:S421)</f>
        <v>625</v>
      </c>
      <c r="T422" s="307"/>
      <c r="U422" s="307">
        <f>SUM(U416:U421)</f>
        <v>15168.6</v>
      </c>
      <c r="V422" s="307"/>
      <c r="W422" s="307">
        <f>SUM(W416:W421)</f>
        <v>15230.11</v>
      </c>
      <c r="X422" s="307"/>
      <c r="Y422" s="307">
        <f>SUM(Y416:Y421)</f>
        <v>15357.140000000001</v>
      </c>
      <c r="Z422" s="307"/>
      <c r="AA422" s="307">
        <f>SUM(AA416:AA421)</f>
        <v>15193.26</v>
      </c>
      <c r="AB422" s="307"/>
      <c r="AC422" s="307">
        <f>SUM(AC416:AC421)</f>
        <v>15192.759999999998</v>
      </c>
      <c r="AD422" s="68">
        <f t="shared" si="31"/>
        <v>167967.64000000004</v>
      </c>
    </row>
    <row r="423" spans="1:31" x14ac:dyDescent="0.25">
      <c r="A423" s="299">
        <v>419</v>
      </c>
      <c r="B423" s="318" t="s">
        <v>31</v>
      </c>
      <c r="F423" s="294"/>
      <c r="G423" s="323">
        <v>82468</v>
      </c>
      <c r="H423" s="311"/>
      <c r="I423" s="311"/>
      <c r="J423" s="311"/>
      <c r="K423" s="308">
        <v>39201</v>
      </c>
      <c r="L423" s="308"/>
      <c r="M423" s="308">
        <v>112350</v>
      </c>
      <c r="N423" s="308"/>
      <c r="O423" s="308">
        <v>8745</v>
      </c>
      <c r="P423" s="311"/>
      <c r="Q423" s="308">
        <v>210060</v>
      </c>
      <c r="R423" s="311"/>
      <c r="S423" s="311"/>
      <c r="T423" s="311"/>
      <c r="U423" s="311"/>
      <c r="V423" s="311"/>
      <c r="W423" s="291">
        <v>147250</v>
      </c>
      <c r="X423" s="294"/>
      <c r="Y423" s="291">
        <v>451349</v>
      </c>
      <c r="Z423" s="294"/>
      <c r="AA423" s="308">
        <v>59022</v>
      </c>
      <c r="AB423" s="311"/>
      <c r="AC423" s="308">
        <v>57819</v>
      </c>
      <c r="AD423" s="47">
        <f t="shared" si="31"/>
        <v>1168264</v>
      </c>
      <c r="AE423" s="47"/>
    </row>
    <row r="424" spans="1:31" x14ac:dyDescent="0.25">
      <c r="A424" s="299">
        <v>420</v>
      </c>
      <c r="B424" s="226" t="s">
        <v>32</v>
      </c>
      <c r="F424" s="294"/>
      <c r="G424" s="294"/>
      <c r="H424" s="294"/>
      <c r="I424" s="294"/>
      <c r="J424" s="294"/>
      <c r="K424" s="291"/>
      <c r="M424" s="291"/>
      <c r="O424" s="291"/>
      <c r="P424" s="294"/>
      <c r="Q424" s="294"/>
      <c r="R424" s="294"/>
      <c r="S424" s="311"/>
      <c r="T424" s="311"/>
      <c r="U424" s="311"/>
      <c r="V424" s="311"/>
      <c r="W424" s="291"/>
      <c r="X424" s="294"/>
      <c r="Y424" s="291"/>
      <c r="Z424" s="294"/>
      <c r="AA424" s="291"/>
      <c r="AB424" s="294"/>
      <c r="AC424" s="291"/>
      <c r="AD424" s="47">
        <f t="shared" si="31"/>
        <v>0</v>
      </c>
      <c r="AE424" s="47"/>
    </row>
    <row r="425" spans="1:31" x14ac:dyDescent="0.25">
      <c r="A425" s="299">
        <v>421</v>
      </c>
      <c r="B425" s="229" t="s">
        <v>33</v>
      </c>
      <c r="F425" s="294"/>
      <c r="G425" s="308">
        <f>SUM(G423:G424)</f>
        <v>82468</v>
      </c>
      <c r="H425" s="311"/>
      <c r="I425" s="311">
        <f>SUM(I423:I424)</f>
        <v>0</v>
      </c>
      <c r="J425" s="311"/>
      <c r="K425" s="308">
        <f>SUM(K423:K424)</f>
        <v>39201</v>
      </c>
      <c r="L425" s="308"/>
      <c r="M425" s="308">
        <f>SUM(M423:M424)</f>
        <v>112350</v>
      </c>
      <c r="N425" s="308"/>
      <c r="O425" s="308">
        <f>SUM(O423:O424)</f>
        <v>8745</v>
      </c>
      <c r="P425" s="311"/>
      <c r="Q425" s="308">
        <f>SUM(Q423:Q424)</f>
        <v>210060</v>
      </c>
      <c r="R425" s="311"/>
      <c r="S425" s="311">
        <f>SUM(S423:S424)</f>
        <v>0</v>
      </c>
      <c r="T425" s="311"/>
      <c r="U425" s="311">
        <f>SUM(U423:U424)</f>
        <v>0</v>
      </c>
      <c r="V425" s="311"/>
      <c r="W425" s="308">
        <f>SUM(W423:W424)</f>
        <v>147250</v>
      </c>
      <c r="X425" s="311"/>
      <c r="Y425" s="308">
        <f>SUM(Y423:Y424)</f>
        <v>451349</v>
      </c>
      <c r="Z425" s="311"/>
      <c r="AA425" s="308">
        <f>SUM(AA423:AA424)</f>
        <v>59022</v>
      </c>
      <c r="AB425" s="311"/>
      <c r="AC425" s="308">
        <f>SUM(AC423:AC424)</f>
        <v>57819</v>
      </c>
      <c r="AD425" s="47">
        <f t="shared" si="31"/>
        <v>1168264</v>
      </c>
      <c r="AE425" s="47"/>
    </row>
    <row r="426" spans="1:31" x14ac:dyDescent="0.25">
      <c r="A426" s="299">
        <v>422</v>
      </c>
      <c r="B426" s="229"/>
    </row>
    <row r="427" spans="1:31" x14ac:dyDescent="0.25">
      <c r="A427" s="299">
        <v>423</v>
      </c>
    </row>
    <row r="428" spans="1:31" x14ac:dyDescent="0.25">
      <c r="A428" s="299">
        <v>424</v>
      </c>
      <c r="G428" s="269">
        <f>SUM(G422,G409,G393,G379,G352,G333,G313,G299,G285,G271,G257,G243,G214,G193,G43,G174,G122,G68,G24,G95,G148)</f>
        <v>29321342.359999992</v>
      </c>
      <c r="H428" s="269"/>
      <c r="I428" s="269">
        <f>SUM(I422,I409,I393,I379,I352,I333,I313,I299,I285,I271,I257,I243,I214,I193,I43,I174,I122,I68,I24,I95,I148)</f>
        <v>31207132.84</v>
      </c>
      <c r="J428" s="269"/>
      <c r="K428" s="269">
        <f>SUM(K422,K409,K393,K379,K352,K333,K313,K299,K285,K271,K257,K243,K214,K193,K43,K174,K122,K68,K24,K95,K148)</f>
        <v>33981997.990000002</v>
      </c>
      <c r="L428" s="269"/>
      <c r="M428" s="269">
        <f>SUM(M422,M409,M393,M379,M352,M333,M313,M299,M285,M271,M257,M243,M214,M193,M43,M174,M122,M68,M24,M95,M148)</f>
        <v>21313581.369999997</v>
      </c>
      <c r="N428" s="269"/>
      <c r="O428" s="269">
        <f>SUM(O422,O409,O393,O379,O352,O333,O313,O299,O285,O271,O257,O243,O214,O193,O43,O174,O122,O68,O24,O95,O148)</f>
        <v>14959410.870000001</v>
      </c>
      <c r="P428" s="269"/>
      <c r="Q428" s="269">
        <f>SUM(Q422,Q409,Q393,Q379,Q352,Q333,Q313,Q299,Q285,Q271,Q257,Q243,Q214,Q193,Q43,Q174,Q122,Q68,Q24,Q95,Q148)</f>
        <v>10293675.379999999</v>
      </c>
      <c r="R428" s="269"/>
      <c r="S428" s="269">
        <f>SUM(S422,S409,S393,S379,S352,S333,S313,S299,S285,S271,S257,S243,S214,S193,S43,S174,S122,S68,S24,S95,S148)</f>
        <v>9248163.6600000001</v>
      </c>
      <c r="T428" s="269"/>
      <c r="U428" s="269">
        <f>SUM(U422,U409,U393,U379,U352,U333,U313,U299,U285,U271,U257,U243,U214,U193,U43,U174,U122,U68,U24,U95,U148)</f>
        <v>8947469.3900000062</v>
      </c>
      <c r="V428" s="269"/>
      <c r="W428" s="269">
        <f>SUM(W422,W409,W393,W379,W352,W333,W313,W299,W285,W271,W257,W243,W214,W193,W43,W174,W122,W68,W24,W95,W148)</f>
        <v>8854782.6900000069</v>
      </c>
      <c r="X428" s="269"/>
      <c r="Y428" s="269">
        <f>SUM(Y422,Y409,Y393,Y379,Y352,Y333,Y313,Y299,Y285,Y271,Y257,Y243,Y214,Y193,Y43,Y174,Y122,Y68,Y24,Y95,Y148)</f>
        <v>14346444.619999999</v>
      </c>
      <c r="Z428" s="269"/>
      <c r="AA428" s="269">
        <f>SUM(AA422,AA409,AA393,AA379,AA352,AA333,AA313,AA299,AA285,AA271,AA257,AA243,AA214,AA193,AA43,AA174,AA122,AA68,AA24,AA95,AA148)</f>
        <v>22762623.07000003</v>
      </c>
      <c r="AB428" s="269"/>
      <c r="AC428" s="269">
        <f>SUM(AC422,AC409,AC393,AC379,AC352,AC333,AC313,AC299,AC285,AC271,AC257,AC243,AC214,AC193,AC43,AC174,AC122,AC68,AC24,AC95,AC148)</f>
        <v>33891699.530000024</v>
      </c>
    </row>
    <row r="429" spans="1:31" x14ac:dyDescent="0.25">
      <c r="A429" s="299">
        <v>425</v>
      </c>
      <c r="B429" s="299" t="s">
        <v>545</v>
      </c>
      <c r="G429" s="269">
        <v>29321342.359999999</v>
      </c>
      <c r="I429" s="269">
        <v>31207117.949999999</v>
      </c>
      <c r="K429" s="269">
        <v>33981997.990000002</v>
      </c>
      <c r="L429" s="337"/>
      <c r="M429" s="269">
        <v>21313581.370000001</v>
      </c>
      <c r="O429" s="269">
        <v>14959410.869999999</v>
      </c>
      <c r="Q429" s="269">
        <v>10293675.380000001</v>
      </c>
      <c r="S429" s="269">
        <v>9248163.6600000001</v>
      </c>
      <c r="U429" s="269">
        <v>8947469.3900000006</v>
      </c>
      <c r="W429" s="269">
        <v>8854782.6899999995</v>
      </c>
      <c r="Y429" s="269">
        <v>14346444.619999999</v>
      </c>
      <c r="AA429" s="269">
        <v>22762623.07</v>
      </c>
      <c r="AC429" s="269">
        <v>33891699.530000001</v>
      </c>
    </row>
    <row r="430" spans="1:31" x14ac:dyDescent="0.25">
      <c r="A430" s="299">
        <v>426</v>
      </c>
      <c r="G430" s="269">
        <f>G428-G429</f>
        <v>0</v>
      </c>
      <c r="I430" s="269">
        <f>I428-I429</f>
        <v>14.890000000596046</v>
      </c>
      <c r="K430" s="269">
        <f>K428-K429</f>
        <v>0</v>
      </c>
      <c r="M430" s="269">
        <f>M428-M429</f>
        <v>0</v>
      </c>
      <c r="O430" s="269">
        <f>O428-O429</f>
        <v>0</v>
      </c>
      <c r="Q430" s="269">
        <f>Q428-Q429</f>
        <v>0</v>
      </c>
      <c r="S430" s="269">
        <f>S428-S429</f>
        <v>0</v>
      </c>
      <c r="U430" s="269">
        <f>U428-U429</f>
        <v>0</v>
      </c>
      <c r="W430" s="269">
        <f>W428-W429</f>
        <v>0</v>
      </c>
      <c r="Y430" s="269">
        <f>Y428-Y429</f>
        <v>0</v>
      </c>
      <c r="AA430" s="269">
        <f>AA428-AA429</f>
        <v>2.9802322387695313E-8</v>
      </c>
      <c r="AC430" s="269">
        <f>AC428-AC429</f>
        <v>0</v>
      </c>
    </row>
    <row r="431" spans="1:31" x14ac:dyDescent="0.25">
      <c r="C431" s="334"/>
      <c r="D431" s="334"/>
    </row>
    <row r="432" spans="1:31" x14ac:dyDescent="0.25">
      <c r="C432" s="229"/>
      <c r="D432" s="229"/>
    </row>
    <row r="433" spans="2:30" x14ac:dyDescent="0.25">
      <c r="C433" s="229"/>
      <c r="D433" s="229"/>
    </row>
    <row r="434" spans="2:30" x14ac:dyDescent="0.25">
      <c r="C434" s="229"/>
      <c r="D434" s="229"/>
      <c r="F434" s="291">
        <f>SUM('1501 Summary'!F220,'1501 Summary'!F319,'1501 Summary'!F339,'1501 Summary'!F358,'1501 Summary'!F249, F74)</f>
        <v>191</v>
      </c>
      <c r="H434" s="291">
        <f>SUM('1501 Summary'!H220,'1501 Summary'!H319,'1501 Summary'!H339,'1501 Summary'!H358,'1501 Summary'!H249, H74)</f>
        <v>191</v>
      </c>
      <c r="J434" s="291">
        <f>SUM('1501 Summary'!J220,'1501 Summary'!J319,'1501 Summary'!J339,'1501 Summary'!J358,'1501 Summary'!J249, J74)</f>
        <v>190</v>
      </c>
      <c r="L434" s="291">
        <f>SUM('1501 Summary'!L220,'1501 Summary'!L319,'1501 Summary'!L339,'1501 Summary'!L358,'1501 Summary'!L249, L74)</f>
        <v>190</v>
      </c>
      <c r="N434" s="291">
        <f>SUM('1501 Summary'!N220,'1501 Summary'!N319,'1501 Summary'!N339,'1501 Summary'!N358,'1501 Summary'!N249, N74)</f>
        <v>192</v>
      </c>
      <c r="P434" s="291">
        <f>SUM('1501 Summary'!P220,'1501 Summary'!P319,'1501 Summary'!P339,'1501 Summary'!P358,'1501 Summary'!P249, P74)</f>
        <v>194</v>
      </c>
      <c r="R434" s="291">
        <f>SUM('1501 Summary'!R220,'1501 Summary'!R319,'1501 Summary'!R339,'1501 Summary'!R358,'1501 Summary'!R249, R74)</f>
        <v>193</v>
      </c>
      <c r="T434" s="291">
        <f>SUM('1501 Summary'!T220,'1501 Summary'!T319,'1501 Summary'!T339,'1501 Summary'!T358,'1501 Summary'!T249, T74)</f>
        <v>193</v>
      </c>
      <c r="V434" s="291">
        <f>SUM('1501 Summary'!V220,'1501 Summary'!V319,'1501 Summary'!V339,'1501 Summary'!V358,'1501 Summary'!V249, V74)</f>
        <v>192</v>
      </c>
      <c r="X434" s="291">
        <f>SUM('1501 Summary'!X220,'1501 Summary'!X319,'1501 Summary'!X339,'1501 Summary'!X358,'1501 Summary'!X249, X74)</f>
        <v>191</v>
      </c>
      <c r="Z434" s="291">
        <f>SUM('1501 Summary'!Z220,'1501 Summary'!Z319,'1501 Summary'!Z339,'1501 Summary'!Z358,'1501 Summary'!Z249, Z74)</f>
        <v>191</v>
      </c>
      <c r="AB434" s="291">
        <f>SUM('1501 Summary'!AB220,'1501 Summary'!AB319,'1501 Summary'!AB339,'1501 Summary'!AB358,'1501 Summary'!AB249, AB74)</f>
        <v>193</v>
      </c>
      <c r="AD434" s="291"/>
    </row>
    <row r="435" spans="2:30" x14ac:dyDescent="0.25">
      <c r="C435" s="268"/>
      <c r="D435" s="268"/>
      <c r="F435" s="291">
        <f>F434</f>
        <v>191</v>
      </c>
      <c r="H435" s="291">
        <f>H434</f>
        <v>191</v>
      </c>
      <c r="J435" s="291">
        <f>J434</f>
        <v>190</v>
      </c>
      <c r="L435" s="291">
        <f>L434</f>
        <v>190</v>
      </c>
      <c r="N435" s="291">
        <f>N434</f>
        <v>192</v>
      </c>
      <c r="P435" s="291">
        <f>P434</f>
        <v>194</v>
      </c>
      <c r="R435" s="291">
        <f>R434</f>
        <v>193</v>
      </c>
      <c r="T435" s="291">
        <f>T434</f>
        <v>193</v>
      </c>
      <c r="V435" s="291">
        <f>V434</f>
        <v>192</v>
      </c>
      <c r="X435" s="291">
        <f>X434</f>
        <v>191</v>
      </c>
      <c r="Z435" s="291">
        <f>Z434</f>
        <v>191</v>
      </c>
      <c r="AB435" s="291">
        <f>AB434</f>
        <v>193</v>
      </c>
    </row>
    <row r="436" spans="2:30" x14ac:dyDescent="0.25">
      <c r="C436" s="229"/>
      <c r="D436" s="229"/>
      <c r="F436" s="291">
        <f>SUM('1501 Summary'!F220,'1501 Summary'!F319,'1501 Summary'!F339,'1501 Summary'!F358, F74)</f>
        <v>190</v>
      </c>
      <c r="H436" s="291">
        <f>SUM('1501 Summary'!H220,'1501 Summary'!H319,'1501 Summary'!H339,'1501 Summary'!H358, H74)</f>
        <v>190</v>
      </c>
      <c r="J436" s="291">
        <f>SUM('1501 Summary'!J220,'1501 Summary'!J319,'1501 Summary'!J339,'1501 Summary'!J358, J74)</f>
        <v>189</v>
      </c>
      <c r="L436" s="291">
        <f>SUM('1501 Summary'!L220,'1501 Summary'!L319,'1501 Summary'!L339,'1501 Summary'!L358, L74)</f>
        <v>189</v>
      </c>
      <c r="N436" s="291">
        <f>SUM('1501 Summary'!N220,'1501 Summary'!N319,'1501 Summary'!N339,'1501 Summary'!N358, N74)</f>
        <v>191</v>
      </c>
      <c r="P436" s="291">
        <f>SUM('1501 Summary'!P220,'1501 Summary'!P319,'1501 Summary'!P339,'1501 Summary'!P358, P74)</f>
        <v>193</v>
      </c>
      <c r="R436" s="291">
        <f>SUM('1501 Summary'!R220,'1501 Summary'!R319,'1501 Summary'!R339,'1501 Summary'!R358, R74)</f>
        <v>192</v>
      </c>
      <c r="T436" s="291">
        <f>SUM('1501 Summary'!T220,'1501 Summary'!T319,'1501 Summary'!T339,'1501 Summary'!T358, T74)</f>
        <v>192</v>
      </c>
      <c r="V436" s="291">
        <f>SUM('1501 Summary'!V220,'1501 Summary'!V319,'1501 Summary'!V339,'1501 Summary'!V358, V74)</f>
        <v>191</v>
      </c>
      <c r="X436" s="291">
        <f>SUM('1501 Summary'!X220,'1501 Summary'!X319,'1501 Summary'!X339,'1501 Summary'!X358, X74)</f>
        <v>190</v>
      </c>
      <c r="Z436" s="291">
        <f>SUM('1501 Summary'!Z220,'1501 Summary'!Z319,'1501 Summary'!Z339,'1501 Summary'!Z358, Z74)</f>
        <v>190</v>
      </c>
      <c r="AB436" s="291">
        <f>SUM('1501 Summary'!AB220,'1501 Summary'!AB319,'1501 Summary'!AB339,'1501 Summary'!AB358, AB74)</f>
        <v>192</v>
      </c>
    </row>
    <row r="437" spans="2:30" x14ac:dyDescent="0.25">
      <c r="C437" s="229"/>
      <c r="D437" s="229"/>
    </row>
    <row r="438" spans="2:30" x14ac:dyDescent="0.25">
      <c r="C438" s="229"/>
      <c r="D438" s="229"/>
    </row>
    <row r="439" spans="2:30" x14ac:dyDescent="0.25">
      <c r="C439" s="229"/>
      <c r="D439" s="229"/>
    </row>
    <row r="440" spans="2:30" x14ac:dyDescent="0.25">
      <c r="C440" s="229"/>
      <c r="D440" s="229"/>
    </row>
    <row r="441" spans="2:30" x14ac:dyDescent="0.25">
      <c r="C441" s="229"/>
      <c r="D441" s="229"/>
    </row>
    <row r="442" spans="2:30" x14ac:dyDescent="0.25">
      <c r="C442" s="229"/>
      <c r="D442" s="229"/>
    </row>
    <row r="443" spans="2:30" x14ac:dyDescent="0.25">
      <c r="B443" s="325"/>
      <c r="C443" s="269"/>
      <c r="D443" s="269"/>
      <c r="E443" s="295"/>
    </row>
    <row r="444" spans="2:30" x14ac:dyDescent="0.25">
      <c r="B444" s="325"/>
      <c r="C444" s="269"/>
      <c r="D444" s="269"/>
      <c r="E444" s="295"/>
    </row>
    <row r="445" spans="2:30" x14ac:dyDescent="0.25">
      <c r="B445" s="325"/>
      <c r="C445" s="335"/>
      <c r="D445" s="335"/>
      <c r="E445" s="295"/>
    </row>
    <row r="446" spans="2:30" x14ac:dyDescent="0.25">
      <c r="B446" s="229"/>
      <c r="C446" s="229"/>
      <c r="D446" s="229"/>
      <c r="E446" s="295"/>
    </row>
    <row r="447" spans="2:30" x14ac:dyDescent="0.25">
      <c r="B447" s="325"/>
      <c r="C447" s="269"/>
      <c r="D447" s="269"/>
      <c r="E447" s="295"/>
    </row>
    <row r="448" spans="2:30" x14ac:dyDescent="0.25">
      <c r="B448" s="229"/>
      <c r="C448" s="229"/>
      <c r="D448" s="229"/>
      <c r="E448" s="295"/>
    </row>
    <row r="449" spans="2:5" x14ac:dyDescent="0.25">
      <c r="B449" s="336"/>
      <c r="C449" s="229"/>
      <c r="D449" s="229"/>
      <c r="E449" s="295"/>
    </row>
    <row r="450" spans="2:5" x14ac:dyDescent="0.25">
      <c r="B450" s="229"/>
      <c r="C450" s="269"/>
      <c r="D450" s="269"/>
      <c r="E450" s="295"/>
    </row>
    <row r="451" spans="2:5" x14ac:dyDescent="0.25">
      <c r="B451" s="229"/>
      <c r="C451" s="269"/>
      <c r="D451" s="269"/>
      <c r="E451" s="295"/>
    </row>
    <row r="452" spans="2:5" x14ac:dyDescent="0.25">
      <c r="B452" s="229"/>
      <c r="C452" s="269"/>
      <c r="D452" s="269"/>
      <c r="E452" s="295"/>
    </row>
    <row r="453" spans="2:5" x14ac:dyDescent="0.25">
      <c r="B453" s="229"/>
      <c r="C453" s="269"/>
      <c r="D453" s="269"/>
      <c r="E453" s="295"/>
    </row>
    <row r="454" spans="2:5" x14ac:dyDescent="0.25">
      <c r="B454" s="229"/>
      <c r="C454" s="269"/>
      <c r="D454" s="269"/>
      <c r="E454" s="295"/>
    </row>
    <row r="455" spans="2:5" x14ac:dyDescent="0.25">
      <c r="B455" s="333"/>
      <c r="C455" s="269"/>
      <c r="D455" s="269"/>
      <c r="E455" s="295"/>
    </row>
    <row r="456" spans="2:5" x14ac:dyDescent="0.25">
      <c r="B456" s="333"/>
      <c r="C456" s="269"/>
      <c r="D456" s="269"/>
      <c r="E456" s="295"/>
    </row>
    <row r="457" spans="2:5" x14ac:dyDescent="0.25">
      <c r="B457" s="333"/>
      <c r="C457" s="269"/>
      <c r="D457" s="269"/>
      <c r="E457" s="295"/>
    </row>
    <row r="458" spans="2:5" x14ac:dyDescent="0.25">
      <c r="B458" s="325"/>
      <c r="C458" s="269"/>
      <c r="D458" s="269"/>
    </row>
    <row r="459" spans="2:5" x14ac:dyDescent="0.25">
      <c r="B459" s="325"/>
      <c r="C459" s="269"/>
      <c r="D459" s="269"/>
      <c r="E459" s="295"/>
    </row>
    <row r="460" spans="2:5" x14ac:dyDescent="0.25">
      <c r="B460" s="325"/>
      <c r="C460" s="269"/>
      <c r="D460" s="269"/>
    </row>
    <row r="461" spans="2:5" x14ac:dyDescent="0.25">
      <c r="B461" s="325"/>
      <c r="C461" s="269"/>
      <c r="D461" s="269"/>
      <c r="E461" s="295"/>
    </row>
    <row r="462" spans="2:5" x14ac:dyDescent="0.25">
      <c r="B462" s="229"/>
      <c r="C462" s="269"/>
      <c r="D462" s="269"/>
      <c r="E462" s="295"/>
    </row>
    <row r="463" spans="2:5" x14ac:dyDescent="0.25">
      <c r="B463" s="325"/>
      <c r="C463" s="269"/>
      <c r="D463" s="269"/>
      <c r="E463" s="295"/>
    </row>
    <row r="464" spans="2:5" x14ac:dyDescent="0.25">
      <c r="B464" s="325"/>
      <c r="C464" s="269"/>
      <c r="D464" s="269"/>
      <c r="E464" s="295"/>
    </row>
    <row r="465" spans="2:41" x14ac:dyDescent="0.25">
      <c r="B465" s="325"/>
      <c r="C465" s="269"/>
      <c r="D465" s="269"/>
      <c r="E465" s="295"/>
    </row>
    <row r="466" spans="2:41" x14ac:dyDescent="0.25">
      <c r="B466" s="325"/>
      <c r="C466" s="269"/>
      <c r="D466" s="269"/>
      <c r="E466" s="295"/>
    </row>
    <row r="467" spans="2:41" x14ac:dyDescent="0.25">
      <c r="B467" s="325"/>
      <c r="C467" s="269"/>
      <c r="D467" s="269"/>
      <c r="E467" s="295"/>
    </row>
    <row r="468" spans="2:41" x14ac:dyDescent="0.25">
      <c r="B468" s="325"/>
      <c r="C468" s="269"/>
      <c r="D468" s="269"/>
      <c r="E468" s="295"/>
    </row>
    <row r="469" spans="2:41" x14ac:dyDescent="0.25">
      <c r="B469" s="325"/>
      <c r="C469" s="269"/>
      <c r="D469" s="269"/>
      <c r="E469" s="295"/>
    </row>
    <row r="470" spans="2:41" x14ac:dyDescent="0.25">
      <c r="B470" s="325"/>
      <c r="C470" s="269"/>
      <c r="D470" s="269"/>
      <c r="E470" s="295"/>
    </row>
    <row r="471" spans="2:41" x14ac:dyDescent="0.25">
      <c r="B471" s="325"/>
      <c r="C471" s="269"/>
      <c r="D471" s="269"/>
      <c r="E471" s="295"/>
    </row>
    <row r="472" spans="2:41" x14ac:dyDescent="0.25">
      <c r="B472" s="325"/>
      <c r="C472" s="269"/>
      <c r="D472" s="269"/>
      <c r="E472" s="295"/>
    </row>
    <row r="473" spans="2:41" x14ac:dyDescent="0.25">
      <c r="B473" s="325"/>
      <c r="C473" s="269"/>
      <c r="D473" s="269"/>
      <c r="E473" s="295"/>
      <c r="G473" s="299"/>
      <c r="I473" s="299"/>
      <c r="K473" s="299"/>
      <c r="M473" s="299"/>
      <c r="O473" s="299"/>
      <c r="Q473" s="299"/>
      <c r="S473" s="299"/>
      <c r="U473" s="299"/>
      <c r="W473" s="299"/>
      <c r="Y473" s="299"/>
      <c r="AA473" s="299"/>
      <c r="AC473" s="299"/>
      <c r="AD473" s="162"/>
      <c r="AE473" s="162"/>
      <c r="AF473" s="162"/>
      <c r="AG473" s="162"/>
      <c r="AH473" s="162"/>
      <c r="AI473" s="162"/>
      <c r="AJ473" s="162"/>
      <c r="AK473" s="162"/>
      <c r="AL473" s="162"/>
      <c r="AM473" s="162"/>
      <c r="AN473" s="162"/>
      <c r="AO473" s="162"/>
    </row>
    <row r="474" spans="2:41" x14ac:dyDescent="0.25">
      <c r="B474" s="325"/>
      <c r="C474" s="269"/>
      <c r="D474" s="269"/>
      <c r="E474" s="295"/>
    </row>
    <row r="475" spans="2:41" x14ac:dyDescent="0.25">
      <c r="B475" s="325"/>
      <c r="C475" s="269"/>
      <c r="D475" s="269"/>
      <c r="E475" s="295"/>
      <c r="G475" s="299"/>
      <c r="I475" s="299"/>
      <c r="K475" s="299"/>
      <c r="M475" s="299"/>
      <c r="O475" s="299"/>
      <c r="Q475" s="299"/>
      <c r="S475" s="299"/>
      <c r="U475" s="299"/>
      <c r="W475" s="299"/>
      <c r="Y475" s="299"/>
      <c r="AA475" s="299"/>
      <c r="AC475" s="299"/>
      <c r="AD475" s="162"/>
      <c r="AE475" s="162"/>
      <c r="AF475" s="162"/>
      <c r="AG475" s="162"/>
      <c r="AH475" s="162"/>
      <c r="AI475" s="162"/>
      <c r="AJ475" s="162"/>
      <c r="AK475" s="162"/>
      <c r="AL475" s="162"/>
      <c r="AM475" s="162"/>
      <c r="AN475" s="162"/>
      <c r="AO475" s="162"/>
    </row>
    <row r="476" spans="2:41" x14ac:dyDescent="0.25">
      <c r="B476" s="325"/>
      <c r="C476" s="269"/>
      <c r="D476" s="269"/>
      <c r="E476" s="295"/>
      <c r="G476" s="299"/>
      <c r="I476" s="299"/>
      <c r="K476" s="299"/>
      <c r="M476" s="299"/>
      <c r="O476" s="299"/>
      <c r="Q476" s="299"/>
      <c r="S476" s="299"/>
      <c r="U476" s="299"/>
      <c r="W476" s="299"/>
      <c r="Y476" s="299"/>
      <c r="AA476" s="299"/>
      <c r="AC476" s="299"/>
      <c r="AD476" s="162"/>
      <c r="AE476" s="162"/>
      <c r="AF476" s="162"/>
      <c r="AG476" s="162"/>
      <c r="AH476" s="162"/>
      <c r="AI476" s="162"/>
      <c r="AJ476" s="162"/>
      <c r="AK476" s="162"/>
      <c r="AL476" s="162"/>
      <c r="AM476" s="162"/>
      <c r="AN476" s="162"/>
      <c r="AO476" s="162"/>
    </row>
    <row r="477" spans="2:41" x14ac:dyDescent="0.25">
      <c r="B477" s="325"/>
      <c r="C477" s="269"/>
      <c r="D477" s="269"/>
      <c r="E477" s="295"/>
    </row>
    <row r="478" spans="2:41" x14ac:dyDescent="0.25">
      <c r="B478" s="325"/>
      <c r="C478" s="269"/>
      <c r="D478" s="269"/>
      <c r="E478" s="295"/>
    </row>
    <row r="479" spans="2:41" x14ac:dyDescent="0.25">
      <c r="B479" s="229"/>
      <c r="C479" s="269"/>
      <c r="D479" s="269"/>
      <c r="E479" s="295"/>
      <c r="F479" s="308"/>
      <c r="G479" s="307"/>
      <c r="H479" s="308"/>
      <c r="I479" s="307"/>
      <c r="J479" s="308"/>
      <c r="K479" s="307"/>
      <c r="L479" s="308"/>
      <c r="M479" s="307"/>
      <c r="N479" s="308"/>
      <c r="O479" s="307"/>
      <c r="P479" s="308"/>
      <c r="Q479" s="307"/>
      <c r="R479" s="308"/>
      <c r="S479" s="307"/>
      <c r="T479" s="308"/>
      <c r="V479" s="308"/>
      <c r="W479" s="307"/>
      <c r="AD479" s="134"/>
      <c r="AE479" s="134"/>
      <c r="AF479" s="134"/>
      <c r="AG479" s="130"/>
      <c r="AH479" s="130"/>
      <c r="AI479" s="130"/>
      <c r="AJ479" s="130"/>
      <c r="AL479" s="130"/>
    </row>
    <row r="480" spans="2:41" x14ac:dyDescent="0.25">
      <c r="B480" s="325"/>
      <c r="C480" s="269"/>
      <c r="D480" s="269"/>
      <c r="E480" s="295"/>
    </row>
    <row r="481" spans="2:5" x14ac:dyDescent="0.25">
      <c r="B481" s="325"/>
      <c r="C481" s="269"/>
      <c r="D481" s="269"/>
      <c r="E481" s="295"/>
    </row>
    <row r="482" spans="2:5" x14ac:dyDescent="0.25">
      <c r="B482" s="325"/>
      <c r="C482" s="269"/>
      <c r="D482" s="269"/>
      <c r="E482" s="295"/>
    </row>
    <row r="483" spans="2:5" x14ac:dyDescent="0.25">
      <c r="E483" s="295"/>
    </row>
    <row r="484" spans="2:5" x14ac:dyDescent="0.25">
      <c r="C484" s="295"/>
      <c r="D484" s="295"/>
      <c r="E484" s="295"/>
    </row>
    <row r="486" spans="2:5" x14ac:dyDescent="0.25">
      <c r="E486" s="295"/>
    </row>
    <row r="487" spans="2:5" x14ac:dyDescent="0.25">
      <c r="E487" s="295"/>
    </row>
    <row r="488" spans="2:5" x14ac:dyDescent="0.25">
      <c r="E488" s="295"/>
    </row>
    <row r="489" spans="2:5" x14ac:dyDescent="0.25">
      <c r="E489" s="295"/>
    </row>
    <row r="492" spans="2:5" x14ac:dyDescent="0.25">
      <c r="E492" s="295"/>
    </row>
    <row r="493" spans="2:5" x14ac:dyDescent="0.25">
      <c r="E493" s="295"/>
    </row>
  </sheetData>
  <printOptions horizontalCentered="1"/>
  <pageMargins left="0.5" right="0.5" top="1" bottom="0.75" header="0.5" footer="0.3"/>
  <pageSetup scale="25" fitToHeight="0" orientation="landscape" horizontalDpi="1200" verticalDpi="1200" r:id="rId1"/>
  <headerFooter scaleWithDoc="0">
    <oddHeader>&amp;C&amp;9Cascade Natural Gas Corporation
1501 Summary
IDM WP-1.1&amp;R&amp;9Page &amp;P of &amp;N</oddHeader>
    <oddFooter>&amp;L&amp;A</oddFooter>
  </headerFooter>
  <rowBreaks count="4" manualBreakCount="4">
    <brk id="84" max="30" man="1"/>
    <brk id="176" max="30" man="1"/>
    <brk id="265" max="30" man="1"/>
    <brk id="364" max="30" man="1"/>
  </rowBreaks>
  <colBreaks count="1" manualBreakCount="1">
    <brk id="15" max="46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A01E-2FFF-4EEC-A4E5-458D6AEE22E3}">
  <sheetPr codeName="Sheet19">
    <pageSetUpPr fitToPage="1"/>
  </sheetPr>
  <dimension ref="A1:R449"/>
  <sheetViews>
    <sheetView workbookViewId="0"/>
  </sheetViews>
  <sheetFormatPr defaultColWidth="7.5703125" defaultRowHeight="15" x14ac:dyDescent="0.25"/>
  <cols>
    <col min="1" max="1" width="12.5703125" style="167" bestFit="1" customWidth="1"/>
    <col min="2" max="2" width="26.85546875" style="167" customWidth="1"/>
    <col min="3" max="4" width="7.5703125" style="538" customWidth="1"/>
    <col min="5" max="5" width="15.85546875" style="167" bestFit="1" customWidth="1"/>
    <col min="6" max="6" width="14" style="167" customWidth="1"/>
    <col min="7" max="7" width="14.85546875" style="167" customWidth="1"/>
    <col min="8" max="8" width="16.7109375" style="167" customWidth="1"/>
    <col min="9" max="9" width="16.85546875" style="167" customWidth="1"/>
    <col min="10" max="10" width="12.85546875" style="167" bestFit="1" customWidth="1"/>
    <col min="11" max="11" width="15.7109375" style="167" customWidth="1"/>
    <col min="12" max="12" width="14.5703125" style="167" customWidth="1"/>
    <col min="13" max="13" width="14.85546875" style="167" customWidth="1"/>
    <col min="14" max="14" width="16.42578125" style="167" customWidth="1"/>
    <col min="15" max="15" width="16.5703125" style="167" customWidth="1"/>
    <col min="16" max="16" width="17.7109375" style="167" customWidth="1"/>
    <col min="17" max="17" width="13.5703125" style="167" bestFit="1" customWidth="1"/>
    <col min="18" max="18" width="6.5703125" style="167" customWidth="1"/>
    <col min="19" max="16384" width="7.5703125" style="5"/>
  </cols>
  <sheetData>
    <row r="1" spans="1:18" x14ac:dyDescent="0.25">
      <c r="A1" s="537" t="s">
        <v>504</v>
      </c>
    </row>
    <row r="2" spans="1:18" x14ac:dyDescent="0.25">
      <c r="E2" s="168" t="s">
        <v>503</v>
      </c>
      <c r="F2" s="168" t="s">
        <v>502</v>
      </c>
      <c r="G2" s="168" t="s">
        <v>501</v>
      </c>
      <c r="H2" s="168" t="s">
        <v>500</v>
      </c>
      <c r="I2" s="168" t="s">
        <v>499</v>
      </c>
      <c r="J2" s="168" t="s">
        <v>498</v>
      </c>
      <c r="K2" s="168" t="s">
        <v>497</v>
      </c>
      <c r="L2" s="168" t="s">
        <v>496</v>
      </c>
      <c r="M2" s="168" t="s">
        <v>495</v>
      </c>
      <c r="N2" s="168" t="s">
        <v>494</v>
      </c>
      <c r="O2" s="168" t="s">
        <v>493</v>
      </c>
      <c r="P2" s="168" t="s">
        <v>492</v>
      </c>
    </row>
    <row r="4" spans="1:18" x14ac:dyDescent="0.25">
      <c r="E4" s="169">
        <v>43466</v>
      </c>
      <c r="F4" s="169">
        <v>43497</v>
      </c>
      <c r="G4" s="169">
        <v>43525</v>
      </c>
      <c r="H4" s="169">
        <v>43556</v>
      </c>
      <c r="I4" s="169">
        <v>43586</v>
      </c>
      <c r="J4" s="169">
        <v>43617</v>
      </c>
      <c r="K4" s="169">
        <v>43647</v>
      </c>
      <c r="L4" s="169">
        <v>43678</v>
      </c>
      <c r="M4" s="169">
        <v>43709</v>
      </c>
      <c r="N4" s="169">
        <v>43739</v>
      </c>
      <c r="O4" s="169">
        <v>43770</v>
      </c>
      <c r="P4" s="169">
        <v>43800</v>
      </c>
      <c r="Q4" s="539" t="s">
        <v>26</v>
      </c>
    </row>
    <row r="5" spans="1:18" x14ac:dyDescent="0.25">
      <c r="A5" s="167" t="s">
        <v>27</v>
      </c>
      <c r="B5" s="540" t="s">
        <v>114</v>
      </c>
      <c r="C5" s="538" t="s">
        <v>34</v>
      </c>
      <c r="D5" s="538">
        <v>64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R5" s="541"/>
    </row>
    <row r="6" spans="1:18" x14ac:dyDescent="0.25">
      <c r="B6" s="167" t="s">
        <v>31</v>
      </c>
      <c r="C6" s="538" t="s">
        <v>35</v>
      </c>
      <c r="D6" s="538">
        <v>64</v>
      </c>
      <c r="E6" s="171">
        <v>19425579</v>
      </c>
      <c r="F6" s="171">
        <v>20826493</v>
      </c>
      <c r="G6" s="171">
        <v>22406676</v>
      </c>
      <c r="H6" s="171">
        <v>12262358</v>
      </c>
      <c r="I6" s="171">
        <v>7409569</v>
      </c>
      <c r="J6" s="171">
        <v>4046705</v>
      </c>
      <c r="K6" s="171">
        <v>3217527</v>
      </c>
      <c r="L6" s="171">
        <v>2775098</v>
      </c>
      <c r="M6" s="171">
        <v>2691847</v>
      </c>
      <c r="N6" s="171">
        <v>6366467</v>
      </c>
      <c r="O6" s="171">
        <v>11628968</v>
      </c>
      <c r="P6" s="171">
        <v>17650518</v>
      </c>
      <c r="Q6" s="171">
        <f>SUM(E6:P6)</f>
        <v>130707805</v>
      </c>
      <c r="R6" s="541"/>
    </row>
    <row r="7" spans="1:18" x14ac:dyDescent="0.25">
      <c r="B7" s="167" t="s">
        <v>36</v>
      </c>
      <c r="C7" s="538" t="s">
        <v>37</v>
      </c>
      <c r="D7" s="538">
        <v>64</v>
      </c>
      <c r="E7" s="171">
        <v>13677389</v>
      </c>
      <c r="F7" s="171">
        <v>17127329</v>
      </c>
      <c r="G7" s="171">
        <v>11032733</v>
      </c>
      <c r="H7" s="171">
        <v>5722513</v>
      </c>
      <c r="I7" s="171">
        <v>3331371</v>
      </c>
      <c r="J7" s="171">
        <v>2187188</v>
      </c>
      <c r="K7" s="171">
        <v>2058587</v>
      </c>
      <c r="L7" s="171">
        <v>1100941</v>
      </c>
      <c r="M7" s="171">
        <v>2696601</v>
      </c>
      <c r="N7" s="171">
        <v>7415550</v>
      </c>
      <c r="O7" s="171">
        <v>11690320</v>
      </c>
      <c r="P7" s="171">
        <v>13833214</v>
      </c>
      <c r="Q7" s="171">
        <f t="shared" ref="Q7:Q90" si="0">SUM(E7:P7)</f>
        <v>91873736</v>
      </c>
      <c r="R7" s="541"/>
    </row>
    <row r="8" spans="1:18" x14ac:dyDescent="0.25">
      <c r="B8" s="167" t="s">
        <v>38</v>
      </c>
      <c r="C8" s="538" t="s">
        <v>39</v>
      </c>
      <c r="D8" s="538">
        <v>64</v>
      </c>
      <c r="E8" s="171">
        <v>13675573</v>
      </c>
      <c r="F8" s="171">
        <v>13677389</v>
      </c>
      <c r="G8" s="171">
        <v>17127329</v>
      </c>
      <c r="H8" s="171">
        <v>11032733</v>
      </c>
      <c r="I8" s="171">
        <v>5722513</v>
      </c>
      <c r="J8" s="171">
        <v>3331371</v>
      </c>
      <c r="K8" s="171">
        <v>2187188</v>
      </c>
      <c r="L8" s="171">
        <v>2058587</v>
      </c>
      <c r="M8" s="171">
        <v>1100941</v>
      </c>
      <c r="N8" s="171">
        <v>2696601</v>
      </c>
      <c r="O8" s="171">
        <v>7415550</v>
      </c>
      <c r="P8" s="171">
        <v>11690320</v>
      </c>
      <c r="Q8" s="171">
        <f t="shared" si="0"/>
        <v>91716095</v>
      </c>
      <c r="R8" s="541"/>
    </row>
    <row r="9" spans="1:18" x14ac:dyDescent="0.25">
      <c r="B9" s="167" t="s">
        <v>40</v>
      </c>
      <c r="C9" s="538" t="s">
        <v>41</v>
      </c>
      <c r="D9" s="538">
        <v>64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f t="shared" si="0"/>
        <v>0</v>
      </c>
      <c r="R9" s="541"/>
    </row>
    <row r="10" spans="1:18" x14ac:dyDescent="0.25">
      <c r="B10" s="167" t="s">
        <v>42</v>
      </c>
      <c r="C10" s="538" t="s">
        <v>43</v>
      </c>
      <c r="D10" s="538">
        <v>64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f t="shared" si="0"/>
        <v>0</v>
      </c>
      <c r="R10" s="541"/>
    </row>
    <row r="11" spans="1:18" x14ac:dyDescent="0.25">
      <c r="B11" s="167" t="s">
        <v>33</v>
      </c>
      <c r="C11" s="538" t="s">
        <v>44</v>
      </c>
      <c r="D11" s="538">
        <v>64</v>
      </c>
      <c r="E11" s="171">
        <v>19427395</v>
      </c>
      <c r="F11" s="171">
        <v>24276433</v>
      </c>
      <c r="G11" s="171">
        <v>16312080</v>
      </c>
      <c r="H11" s="171">
        <v>6952138</v>
      </c>
      <c r="I11" s="171">
        <v>5018427</v>
      </c>
      <c r="J11" s="171">
        <v>2902522</v>
      </c>
      <c r="K11" s="171">
        <v>3088926</v>
      </c>
      <c r="L11" s="171">
        <v>1817452</v>
      </c>
      <c r="M11" s="171">
        <v>4287507</v>
      </c>
      <c r="N11" s="171">
        <v>11085416</v>
      </c>
      <c r="O11" s="171">
        <v>15903739</v>
      </c>
      <c r="P11" s="171">
        <v>19793411</v>
      </c>
      <c r="Q11" s="171">
        <f t="shared" si="0"/>
        <v>130865446</v>
      </c>
      <c r="R11" s="541"/>
    </row>
    <row r="12" spans="1:18" x14ac:dyDescent="0.25">
      <c r="B12" s="542" t="s">
        <v>45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>
        <f t="shared" si="0"/>
        <v>0</v>
      </c>
      <c r="R12" s="541"/>
    </row>
    <row r="13" spans="1:18" x14ac:dyDescent="0.25">
      <c r="B13" s="167" t="s">
        <v>46</v>
      </c>
      <c r="C13" s="538" t="s">
        <v>35</v>
      </c>
      <c r="D13" s="538">
        <v>108</v>
      </c>
      <c r="E13" s="543">
        <v>15637268.01</v>
      </c>
      <c r="F13" s="171">
        <v>16698186.09</v>
      </c>
      <c r="G13" s="171">
        <v>17907019.800000001</v>
      </c>
      <c r="H13" s="171">
        <v>10523482.32</v>
      </c>
      <c r="I13" s="171">
        <v>7164907.2400000002</v>
      </c>
      <c r="J13" s="171">
        <v>4380059.21</v>
      </c>
      <c r="K13" s="171">
        <v>3691214.31</v>
      </c>
      <c r="L13" s="171">
        <v>3324054.46</v>
      </c>
      <c r="M13" s="171">
        <v>3251037.15</v>
      </c>
      <c r="N13" s="167">
        <v>6308256.6299999999</v>
      </c>
      <c r="O13" s="171">
        <v>11119945.76</v>
      </c>
      <c r="P13" s="171">
        <v>17568222.149999999</v>
      </c>
      <c r="Q13" s="171">
        <f t="shared" si="0"/>
        <v>117573653.13</v>
      </c>
      <c r="R13" s="541"/>
    </row>
    <row r="14" spans="1:18" x14ac:dyDescent="0.25">
      <c r="B14" s="167" t="s">
        <v>47</v>
      </c>
      <c r="C14" s="538" t="s">
        <v>37</v>
      </c>
      <c r="D14" s="538">
        <v>108</v>
      </c>
      <c r="E14" s="543">
        <v>10123456.25</v>
      </c>
      <c r="F14" s="171">
        <v>12676963.83</v>
      </c>
      <c r="G14" s="171">
        <v>8165987.6600000001</v>
      </c>
      <c r="H14" s="171">
        <v>4671344.59</v>
      </c>
      <c r="I14" s="171">
        <v>2719431.4699999997</v>
      </c>
      <c r="J14" s="171">
        <v>1785423.4400000002</v>
      </c>
      <c r="K14" s="171">
        <v>1680445.1500000001</v>
      </c>
      <c r="L14" s="171">
        <v>898709.14</v>
      </c>
      <c r="M14" s="171">
        <v>2201262.37</v>
      </c>
      <c r="N14" s="543">
        <v>6053387.6200000001</v>
      </c>
      <c r="O14" s="171">
        <v>10248494.380000001</v>
      </c>
      <c r="P14" s="171">
        <v>12127094.550000001</v>
      </c>
      <c r="Q14" s="171">
        <f t="shared" si="0"/>
        <v>73352000.449999988</v>
      </c>
      <c r="R14" s="541"/>
    </row>
    <row r="15" spans="1:18" x14ac:dyDescent="0.25">
      <c r="B15" s="167" t="s">
        <v>48</v>
      </c>
      <c r="C15" s="538" t="s">
        <v>39</v>
      </c>
      <c r="D15" s="538">
        <v>108</v>
      </c>
      <c r="E15" s="171">
        <v>-10122112.119999999</v>
      </c>
      <c r="F15" s="171">
        <v>-10123456.25</v>
      </c>
      <c r="G15" s="171">
        <v>-12676963.83</v>
      </c>
      <c r="H15" s="171">
        <v>-8165987.6600000001</v>
      </c>
      <c r="I15" s="171">
        <v>-4671344.59</v>
      </c>
      <c r="J15" s="171">
        <v>-2719431.4699999997</v>
      </c>
      <c r="K15" s="171">
        <v>-1785423.4400000002</v>
      </c>
      <c r="L15" s="171">
        <v>-1680445.1500000001</v>
      </c>
      <c r="M15" s="171">
        <v>-898709.14</v>
      </c>
      <c r="N15" s="171">
        <v>-2201262.37</v>
      </c>
      <c r="O15" s="171">
        <v>-6053387.6200000001</v>
      </c>
      <c r="P15" s="171">
        <v>-10248494.380000001</v>
      </c>
      <c r="Q15" s="171">
        <f t="shared" si="0"/>
        <v>-71347018.019999996</v>
      </c>
      <c r="R15" s="541"/>
    </row>
    <row r="16" spans="1:18" x14ac:dyDescent="0.25">
      <c r="B16" s="167" t="s">
        <v>49</v>
      </c>
      <c r="C16" s="538" t="s">
        <v>50</v>
      </c>
      <c r="D16" s="538">
        <v>108</v>
      </c>
      <c r="E16" s="543">
        <v>506033.06</v>
      </c>
      <c r="F16" s="171">
        <v>-2341075.2799999998</v>
      </c>
      <c r="G16" s="622">
        <v>-534499.81999999995</v>
      </c>
      <c r="H16" s="171">
        <v>501222.69</v>
      </c>
      <c r="I16" s="171">
        <v>-4168.84</v>
      </c>
      <c r="J16" s="171">
        <v>104941.75</v>
      </c>
      <c r="K16" s="171">
        <v>-39684.15</v>
      </c>
      <c r="L16" s="171">
        <v>172900.08</v>
      </c>
      <c r="M16" s="171">
        <v>-177401.85</v>
      </c>
      <c r="N16" s="543">
        <v>-522468.18</v>
      </c>
      <c r="O16" s="171">
        <v>323885.8</v>
      </c>
      <c r="P16" s="171">
        <v>812396.77</v>
      </c>
      <c r="Q16" s="171">
        <f t="shared" si="0"/>
        <v>-1197917.9699999995</v>
      </c>
      <c r="R16" s="541"/>
    </row>
    <row r="17" spans="1:18" x14ac:dyDescent="0.25">
      <c r="B17" s="167" t="s">
        <v>191</v>
      </c>
      <c r="C17" s="538" t="s">
        <v>51</v>
      </c>
      <c r="D17" s="538">
        <v>108</v>
      </c>
      <c r="E17" s="543">
        <v>439212.34</v>
      </c>
      <c r="F17" s="171">
        <v>470887</v>
      </c>
      <c r="G17" s="171">
        <v>506614.94</v>
      </c>
      <c r="H17" s="171">
        <v>277251.90999999997</v>
      </c>
      <c r="I17" s="171">
        <v>167530.35999999999</v>
      </c>
      <c r="J17" s="171">
        <v>91496</v>
      </c>
      <c r="K17" s="171">
        <v>72748.28</v>
      </c>
      <c r="L17" s="171">
        <v>62744.959999999999</v>
      </c>
      <c r="M17" s="171">
        <v>60862.66</v>
      </c>
      <c r="N17" s="543">
        <v>143945.82</v>
      </c>
      <c r="O17" s="171">
        <v>103899.73</v>
      </c>
      <c r="P17" s="171">
        <v>-301470.84999999998</v>
      </c>
      <c r="Q17" s="171">
        <f t="shared" si="0"/>
        <v>2095723.1499999994</v>
      </c>
      <c r="R17" s="541"/>
    </row>
    <row r="18" spans="1:18" x14ac:dyDescent="0.25">
      <c r="B18" s="167" t="s">
        <v>78</v>
      </c>
      <c r="C18" s="538" t="s">
        <v>77</v>
      </c>
      <c r="D18" s="538">
        <v>108</v>
      </c>
      <c r="E18" s="543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543">
        <v>0</v>
      </c>
      <c r="O18" s="171">
        <v>0</v>
      </c>
      <c r="P18" s="171">
        <v>0</v>
      </c>
      <c r="Q18" s="171">
        <f t="shared" si="0"/>
        <v>0</v>
      </c>
      <c r="R18" s="541"/>
    </row>
    <row r="19" spans="1:18" x14ac:dyDescent="0.25">
      <c r="B19" s="167" t="s">
        <v>13</v>
      </c>
      <c r="C19" s="538" t="s">
        <v>52</v>
      </c>
      <c r="D19" s="538">
        <v>108</v>
      </c>
      <c r="E19" s="167">
        <v>-0.43</v>
      </c>
      <c r="F19" s="543">
        <v>-14.89</v>
      </c>
      <c r="G19" s="171">
        <v>0</v>
      </c>
      <c r="H19" s="171">
        <v>-1.04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543">
        <v>0</v>
      </c>
      <c r="O19" s="171">
        <v>2</v>
      </c>
      <c r="P19" s="171">
        <v>0</v>
      </c>
      <c r="Q19" s="171">
        <f>SUM(E19:P19)</f>
        <v>-14.36</v>
      </c>
      <c r="R19" s="541"/>
    </row>
    <row r="20" spans="1:18" x14ac:dyDescent="0.25">
      <c r="B20" s="167" t="s">
        <v>53</v>
      </c>
      <c r="C20" s="538" t="s">
        <v>41</v>
      </c>
      <c r="D20" s="538">
        <v>108</v>
      </c>
      <c r="E20" s="543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543">
        <v>0</v>
      </c>
      <c r="O20" s="171">
        <v>0</v>
      </c>
      <c r="P20" s="171">
        <v>0</v>
      </c>
      <c r="Q20" s="171">
        <f t="shared" si="0"/>
        <v>0</v>
      </c>
      <c r="R20" s="541"/>
    </row>
    <row r="21" spans="1:18" x14ac:dyDescent="0.25">
      <c r="B21" s="167" t="s">
        <v>54</v>
      </c>
      <c r="C21" s="538" t="s">
        <v>43</v>
      </c>
      <c r="D21" s="538">
        <v>108</v>
      </c>
      <c r="E21" s="543">
        <v>0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543">
        <v>0</v>
      </c>
      <c r="O21" s="171">
        <v>0</v>
      </c>
      <c r="P21" s="171">
        <v>0</v>
      </c>
      <c r="Q21" s="171">
        <f t="shared" si="0"/>
        <v>0</v>
      </c>
      <c r="R21" s="541"/>
    </row>
    <row r="22" spans="1:18" x14ac:dyDescent="0.25">
      <c r="B22" s="167" t="s">
        <v>30</v>
      </c>
      <c r="C22" s="538" t="s">
        <v>44</v>
      </c>
      <c r="D22" s="538">
        <v>108</v>
      </c>
      <c r="E22" s="171">
        <f>SUM(E13:E21)</f>
        <v>16583857.109999999</v>
      </c>
      <c r="F22" s="171">
        <f t="shared" ref="F22:P22" si="1">SUM(F13:F21)</f>
        <v>17381490.5</v>
      </c>
      <c r="G22" s="171">
        <f t="shared" si="1"/>
        <v>13368158.75</v>
      </c>
      <c r="H22" s="171">
        <f t="shared" si="1"/>
        <v>7807312.8100000005</v>
      </c>
      <c r="I22" s="171">
        <f t="shared" si="1"/>
        <v>5376355.6400000015</v>
      </c>
      <c r="J22" s="171">
        <f t="shared" si="1"/>
        <v>3642488.9300000006</v>
      </c>
      <c r="K22" s="171">
        <f t="shared" si="1"/>
        <v>3619300.1499999994</v>
      </c>
      <c r="L22" s="171">
        <f t="shared" si="1"/>
        <v>2777963.4899999993</v>
      </c>
      <c r="M22" s="171">
        <f t="shared" si="1"/>
        <v>4437051.1900000004</v>
      </c>
      <c r="N22" s="171">
        <f t="shared" si="1"/>
        <v>9781859.5199999996</v>
      </c>
      <c r="O22" s="171">
        <f t="shared" si="1"/>
        <v>15742840.050000001</v>
      </c>
      <c r="P22" s="171">
        <f t="shared" si="1"/>
        <v>19957748.239999998</v>
      </c>
      <c r="Q22" s="171">
        <f t="shared" si="0"/>
        <v>120476426.37999998</v>
      </c>
      <c r="R22" s="541"/>
    </row>
    <row r="23" spans="1:18" x14ac:dyDescent="0.25">
      <c r="B23" s="542" t="s">
        <v>45</v>
      </c>
      <c r="Q23" s="171">
        <f>SUM(E15:P15)</f>
        <v>-71347018.019999996</v>
      </c>
      <c r="R23" s="541"/>
    </row>
    <row r="24" spans="1:18" x14ac:dyDescent="0.25">
      <c r="Q24" s="171">
        <f t="shared" si="0"/>
        <v>0</v>
      </c>
      <c r="R24" s="541"/>
    </row>
    <row r="25" spans="1:18" x14ac:dyDescent="0.25">
      <c r="A25" s="544" t="s">
        <v>22</v>
      </c>
      <c r="B25" s="540" t="s">
        <v>113</v>
      </c>
      <c r="C25" s="538" t="s">
        <v>34</v>
      </c>
      <c r="D25" s="538">
        <v>71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1"/>
      <c r="R25" s="541"/>
    </row>
    <row r="26" spans="1:18" x14ac:dyDescent="0.25">
      <c r="B26" s="167" t="s">
        <v>31</v>
      </c>
      <c r="C26" s="538" t="s">
        <v>35</v>
      </c>
      <c r="D26" s="538">
        <v>71</v>
      </c>
      <c r="E26" s="171">
        <v>13117967</v>
      </c>
      <c r="F26" s="171">
        <v>13988227</v>
      </c>
      <c r="G26" s="171">
        <v>15941825</v>
      </c>
      <c r="H26" s="171">
        <v>9096547</v>
      </c>
      <c r="I26" s="171">
        <v>5370530</v>
      </c>
      <c r="J26" s="171">
        <v>3465484</v>
      </c>
      <c r="K26" s="171">
        <v>3054528</v>
      </c>
      <c r="L26" s="171">
        <v>2791770</v>
      </c>
      <c r="M26" s="171">
        <v>2672689</v>
      </c>
      <c r="N26" s="171">
        <v>4853452</v>
      </c>
      <c r="O26" s="171">
        <v>7908670</v>
      </c>
      <c r="P26" s="171">
        <v>11976706</v>
      </c>
      <c r="Q26" s="171">
        <f>SUM(E26:P26)</f>
        <v>94238395</v>
      </c>
      <c r="R26" s="541"/>
    </row>
    <row r="27" spans="1:18" x14ac:dyDescent="0.25">
      <c r="B27" s="167" t="s">
        <v>36</v>
      </c>
      <c r="C27" s="538" t="s">
        <v>37</v>
      </c>
      <c r="D27" s="538">
        <v>71</v>
      </c>
      <c r="E27" s="171">
        <v>10187002</v>
      </c>
      <c r="F27" s="171">
        <v>12666270</v>
      </c>
      <c r="G27" s="171">
        <v>8619566</v>
      </c>
      <c r="H27" s="171">
        <v>4713041</v>
      </c>
      <c r="I27" s="171">
        <v>2695771</v>
      </c>
      <c r="J27" s="171">
        <v>2099565</v>
      </c>
      <c r="K27" s="171">
        <v>2183931</v>
      </c>
      <c r="L27" s="171">
        <v>1243727</v>
      </c>
      <c r="M27" s="171">
        <v>2978172</v>
      </c>
      <c r="N27" s="171">
        <v>6393900</v>
      </c>
      <c r="O27" s="171">
        <v>10324809</v>
      </c>
      <c r="P27" s="171">
        <v>11506709</v>
      </c>
      <c r="Q27" s="171">
        <f t="shared" ref="Q27:Q42" si="2">SUM(E27:P27)</f>
        <v>75612463</v>
      </c>
      <c r="R27" s="541"/>
    </row>
    <row r="28" spans="1:18" x14ac:dyDescent="0.25">
      <c r="B28" s="167" t="s">
        <v>38</v>
      </c>
      <c r="C28" s="538" t="s">
        <v>39</v>
      </c>
      <c r="D28" s="538">
        <v>71</v>
      </c>
      <c r="E28" s="171">
        <v>10228218</v>
      </c>
      <c r="F28" s="171">
        <v>10187002</v>
      </c>
      <c r="G28" s="171">
        <v>12666270</v>
      </c>
      <c r="H28" s="171">
        <v>8619566</v>
      </c>
      <c r="I28" s="171">
        <v>4713041</v>
      </c>
      <c r="J28" s="171">
        <v>2695771</v>
      </c>
      <c r="K28" s="171">
        <v>2099565</v>
      </c>
      <c r="L28" s="171">
        <v>2183931</v>
      </c>
      <c r="M28" s="171">
        <v>1243727</v>
      </c>
      <c r="N28" s="171">
        <v>2978172</v>
      </c>
      <c r="O28" s="171">
        <v>6393900</v>
      </c>
      <c r="P28" s="171">
        <v>10324809</v>
      </c>
      <c r="Q28" s="171">
        <f t="shared" si="2"/>
        <v>74333972</v>
      </c>
      <c r="R28" s="541"/>
    </row>
    <row r="29" spans="1:18" x14ac:dyDescent="0.25">
      <c r="B29" s="167" t="s">
        <v>40</v>
      </c>
      <c r="C29" s="538" t="s">
        <v>41</v>
      </c>
      <c r="D29" s="538">
        <v>71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f t="shared" si="2"/>
        <v>0</v>
      </c>
      <c r="R29" s="541"/>
    </row>
    <row r="30" spans="1:18" x14ac:dyDescent="0.25">
      <c r="B30" s="167" t="s">
        <v>42</v>
      </c>
      <c r="C30" s="538" t="s">
        <v>43</v>
      </c>
      <c r="D30" s="538">
        <v>71</v>
      </c>
      <c r="E30" s="171">
        <v>0</v>
      </c>
      <c r="F30" s="171">
        <v>0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f t="shared" si="2"/>
        <v>0</v>
      </c>
      <c r="R30" s="541"/>
    </row>
    <row r="31" spans="1:18" x14ac:dyDescent="0.25">
      <c r="B31" s="167" t="s">
        <v>33</v>
      </c>
      <c r="C31" s="538" t="s">
        <v>44</v>
      </c>
      <c r="D31" s="538">
        <v>71</v>
      </c>
      <c r="E31" s="171">
        <v>13076751</v>
      </c>
      <c r="F31" s="171">
        <v>16467495</v>
      </c>
      <c r="G31" s="171">
        <v>11895121</v>
      </c>
      <c r="H31" s="171">
        <v>5190022</v>
      </c>
      <c r="I31" s="171">
        <v>3353260</v>
      </c>
      <c r="J31" s="171">
        <v>2869278</v>
      </c>
      <c r="K31" s="171">
        <v>3138894</v>
      </c>
      <c r="L31" s="171">
        <v>1851566</v>
      </c>
      <c r="M31" s="171">
        <v>4407134</v>
      </c>
      <c r="N31" s="171">
        <v>8269180</v>
      </c>
      <c r="O31" s="171">
        <v>11839581</v>
      </c>
      <c r="P31" s="171">
        <v>13158604</v>
      </c>
      <c r="Q31" s="171">
        <f t="shared" si="2"/>
        <v>95516886</v>
      </c>
      <c r="R31" s="541"/>
    </row>
    <row r="32" spans="1:18" x14ac:dyDescent="0.25">
      <c r="B32" s="542" t="s">
        <v>45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>
        <f t="shared" si="2"/>
        <v>0</v>
      </c>
      <c r="R32" s="541"/>
    </row>
    <row r="33" spans="2:18" x14ac:dyDescent="0.25">
      <c r="B33" s="167" t="s">
        <v>46</v>
      </c>
      <c r="C33" s="538" t="s">
        <v>35</v>
      </c>
      <c r="D33" s="538">
        <v>115</v>
      </c>
      <c r="E33" s="171">
        <v>9637380.1400000006</v>
      </c>
      <c r="F33" s="171">
        <v>10251488.609999999</v>
      </c>
      <c r="G33" s="171">
        <v>11641801.439999999</v>
      </c>
      <c r="H33" s="171">
        <v>6976728.2699999996</v>
      </c>
      <c r="I33" s="171">
        <v>4576454.0199999996</v>
      </c>
      <c r="J33" s="171">
        <v>3092889.59</v>
      </c>
      <c r="K33" s="171">
        <v>2768947.4</v>
      </c>
      <c r="L33" s="171">
        <v>2558491.81</v>
      </c>
      <c r="M33" s="171">
        <v>2466127.17</v>
      </c>
      <c r="N33" s="171">
        <v>4172746.79</v>
      </c>
      <c r="O33" s="171">
        <v>6828194.6100000003</v>
      </c>
      <c r="P33" s="171">
        <v>10904193.51</v>
      </c>
      <c r="Q33" s="171">
        <f t="shared" si="2"/>
        <v>75875443.359999999</v>
      </c>
      <c r="R33" s="541"/>
    </row>
    <row r="34" spans="2:18" x14ac:dyDescent="0.25">
      <c r="B34" s="167" t="s">
        <v>47</v>
      </c>
      <c r="C34" s="538" t="s">
        <v>37</v>
      </c>
      <c r="D34" s="538">
        <v>115</v>
      </c>
      <c r="E34" s="171">
        <v>6934563.9700000007</v>
      </c>
      <c r="F34" s="171">
        <v>8627699.0099999998</v>
      </c>
      <c r="G34" s="171">
        <v>5877431.1799999997</v>
      </c>
      <c r="H34" s="171">
        <v>3566921.87</v>
      </c>
      <c r="I34" s="171">
        <v>2035004.9800000002</v>
      </c>
      <c r="J34" s="171">
        <v>1582523.2799999998</v>
      </c>
      <c r="K34" s="171">
        <v>1647558.22</v>
      </c>
      <c r="L34" s="171">
        <v>936695.25</v>
      </c>
      <c r="M34" s="171">
        <v>2247869.71</v>
      </c>
      <c r="N34" s="171">
        <v>4818052.63</v>
      </c>
      <c r="O34" s="171">
        <v>8386968.5899999999</v>
      </c>
      <c r="P34" s="171">
        <v>9383013.959999999</v>
      </c>
      <c r="Q34" s="171">
        <f t="shared" ref="Q34:Q39" si="3">SUM(E34:P34)</f>
        <v>56044302.649999999</v>
      </c>
      <c r="R34" s="541"/>
    </row>
    <row r="35" spans="2:18" x14ac:dyDescent="0.25">
      <c r="B35" s="167" t="s">
        <v>48</v>
      </c>
      <c r="C35" s="538" t="s">
        <v>39</v>
      </c>
      <c r="D35" s="538">
        <v>115</v>
      </c>
      <c r="E35" s="171">
        <v>-6952410.0099999998</v>
      </c>
      <c r="F35" s="171">
        <v>-6934563.9699999997</v>
      </c>
      <c r="G35" s="171">
        <v>-8627699.0099999998</v>
      </c>
      <c r="H35" s="171">
        <v>-5877431.1799999997</v>
      </c>
      <c r="I35" s="171">
        <v>-3566921.87</v>
      </c>
      <c r="J35" s="171">
        <v>-2035004.98</v>
      </c>
      <c r="K35" s="171">
        <v>-1582523.28</v>
      </c>
      <c r="L35" s="171">
        <v>-1647558.22</v>
      </c>
      <c r="M35" s="171">
        <v>-936695.25</v>
      </c>
      <c r="N35" s="171">
        <v>-2247869.71</v>
      </c>
      <c r="O35" s="171">
        <v>-4818052.63</v>
      </c>
      <c r="P35" s="171">
        <v>-8386968.5899999999</v>
      </c>
      <c r="Q35" s="171">
        <f t="shared" si="3"/>
        <v>-53613698.700000003</v>
      </c>
      <c r="R35" s="541"/>
    </row>
    <row r="36" spans="2:18" x14ac:dyDescent="0.25">
      <c r="B36" s="167" t="s">
        <v>49</v>
      </c>
      <c r="C36" s="538" t="s">
        <v>50</v>
      </c>
      <c r="D36" s="538">
        <v>115</v>
      </c>
      <c r="E36" s="171">
        <v>338523.6</v>
      </c>
      <c r="F36" s="171">
        <v>-1271341.06</v>
      </c>
      <c r="G36" s="171">
        <v>-781551.47</v>
      </c>
      <c r="H36" s="171">
        <v>-9554.52</v>
      </c>
      <c r="I36" s="171">
        <v>2935.79</v>
      </c>
      <c r="J36" s="171">
        <v>-51604.79</v>
      </c>
      <c r="K36" s="171">
        <v>-86285.27</v>
      </c>
      <c r="L36" s="171">
        <v>113181.37</v>
      </c>
      <c r="M36" s="171">
        <v>-136300.1</v>
      </c>
      <c r="N36" s="171">
        <v>-238529.48</v>
      </c>
      <c r="O36" s="171">
        <v>-252475.49</v>
      </c>
      <c r="P36" s="171">
        <v>330031.12</v>
      </c>
      <c r="Q36" s="171">
        <f t="shared" si="3"/>
        <v>-2042970.2999999998</v>
      </c>
      <c r="R36" s="541"/>
    </row>
    <row r="37" spans="2:18" x14ac:dyDescent="0.25">
      <c r="B37" s="167" t="s">
        <v>191</v>
      </c>
      <c r="C37" s="538" t="s">
        <v>51</v>
      </c>
      <c r="D37" s="538">
        <v>115</v>
      </c>
      <c r="E37" s="171">
        <v>365073.03</v>
      </c>
      <c r="F37" s="171">
        <v>389292.36</v>
      </c>
      <c r="G37" s="171">
        <v>443660.99</v>
      </c>
      <c r="H37" s="171">
        <v>253156.9</v>
      </c>
      <c r="I37" s="171">
        <v>149461.85</v>
      </c>
      <c r="J37" s="171">
        <v>96444.42</v>
      </c>
      <c r="K37" s="171">
        <v>85007.52</v>
      </c>
      <c r="L37" s="171">
        <v>77694.960000000006</v>
      </c>
      <c r="M37" s="171">
        <v>74380.929999999993</v>
      </c>
      <c r="N37" s="171">
        <v>135071.57</v>
      </c>
      <c r="O37" s="171">
        <v>139278.99</v>
      </c>
      <c r="P37" s="171">
        <v>-40481.26</v>
      </c>
      <c r="Q37" s="171">
        <f t="shared" si="3"/>
        <v>2168042.2599999998</v>
      </c>
      <c r="R37" s="541"/>
    </row>
    <row r="38" spans="2:18" x14ac:dyDescent="0.25">
      <c r="B38" s="167" t="s">
        <v>78</v>
      </c>
      <c r="C38" s="538" t="s">
        <v>77</v>
      </c>
      <c r="D38" s="538">
        <v>115</v>
      </c>
      <c r="E38" s="183">
        <v>3344.32</v>
      </c>
      <c r="F38" s="183">
        <v>4158.97</v>
      </c>
      <c r="G38" s="183">
        <v>2564.84</v>
      </c>
      <c r="H38" s="183">
        <v>0</v>
      </c>
      <c r="I38" s="183">
        <v>0</v>
      </c>
      <c r="J38" s="183">
        <v>2760.22</v>
      </c>
      <c r="K38" s="183">
        <v>0</v>
      </c>
      <c r="L38" s="183">
        <v>5832.9</v>
      </c>
      <c r="M38" s="183">
        <v>0</v>
      </c>
      <c r="N38" s="183">
        <v>28981.53</v>
      </c>
      <c r="O38" s="183">
        <v>0</v>
      </c>
      <c r="P38" s="183">
        <v>3786.25</v>
      </c>
      <c r="Q38" s="171">
        <f t="shared" si="3"/>
        <v>51429.03</v>
      </c>
      <c r="R38" s="541"/>
    </row>
    <row r="39" spans="2:18" x14ac:dyDescent="0.25">
      <c r="B39" s="167" t="s">
        <v>13</v>
      </c>
      <c r="C39" s="538" t="s">
        <v>52</v>
      </c>
      <c r="D39" s="538">
        <v>115</v>
      </c>
      <c r="E39" s="171">
        <v>-0.3</v>
      </c>
      <c r="F39" s="171">
        <v>0.3</v>
      </c>
      <c r="G39" s="171">
        <v>0</v>
      </c>
      <c r="H39" s="171">
        <v>1.05</v>
      </c>
      <c r="I39" s="171">
        <v>0</v>
      </c>
      <c r="J39" s="171">
        <v>0</v>
      </c>
      <c r="K39" s="171">
        <v>0</v>
      </c>
      <c r="L39" s="171">
        <v>1.08</v>
      </c>
      <c r="M39" s="171">
        <v>0</v>
      </c>
      <c r="N39" s="171">
        <v>0</v>
      </c>
      <c r="O39" s="171">
        <v>0</v>
      </c>
      <c r="P39" s="171">
        <v>0</v>
      </c>
      <c r="Q39" s="171">
        <f t="shared" si="3"/>
        <v>2.13</v>
      </c>
      <c r="R39" s="541"/>
    </row>
    <row r="40" spans="2:18" x14ac:dyDescent="0.25">
      <c r="B40" s="167" t="s">
        <v>53</v>
      </c>
      <c r="C40" s="538" t="s">
        <v>41</v>
      </c>
      <c r="D40" s="538">
        <v>115</v>
      </c>
      <c r="E40" s="171">
        <v>0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f t="shared" si="2"/>
        <v>0</v>
      </c>
      <c r="R40" s="541"/>
    </row>
    <row r="41" spans="2:18" x14ac:dyDescent="0.25">
      <c r="B41" s="167" t="s">
        <v>54</v>
      </c>
      <c r="C41" s="538" t="s">
        <v>43</v>
      </c>
      <c r="D41" s="538">
        <v>115</v>
      </c>
      <c r="E41" s="171">
        <v>0</v>
      </c>
      <c r="F41" s="171">
        <v>0</v>
      </c>
      <c r="G41" s="171">
        <v>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f t="shared" si="2"/>
        <v>0</v>
      </c>
      <c r="R41" s="541"/>
    </row>
    <row r="42" spans="2:18" x14ac:dyDescent="0.25">
      <c r="B42" s="167" t="s">
        <v>30</v>
      </c>
      <c r="C42" s="538" t="s">
        <v>44</v>
      </c>
      <c r="D42" s="538">
        <v>115</v>
      </c>
      <c r="E42" s="171">
        <v>10326474.75</v>
      </c>
      <c r="F42" s="171">
        <v>11066734.219999997</v>
      </c>
      <c r="G42" s="171">
        <v>8556207.9699999969</v>
      </c>
      <c r="H42" s="171">
        <v>4909822.3900000015</v>
      </c>
      <c r="I42" s="171">
        <v>3196934.77</v>
      </c>
      <c r="J42" s="171">
        <v>2688007.7399999988</v>
      </c>
      <c r="K42" s="171">
        <v>2832704.5900000003</v>
      </c>
      <c r="L42" s="171">
        <v>2044339.15</v>
      </c>
      <c r="M42" s="171">
        <v>3715382.46</v>
      </c>
      <c r="N42" s="171">
        <v>6668453.3300000001</v>
      </c>
      <c r="O42" s="171">
        <v>10283914.07</v>
      </c>
      <c r="P42" s="171">
        <v>12193574.989999998</v>
      </c>
      <c r="Q42" s="171">
        <f t="shared" si="2"/>
        <v>78482550.430000007</v>
      </c>
      <c r="R42" s="541"/>
    </row>
    <row r="43" spans="2:18" x14ac:dyDescent="0.25">
      <c r="B43" s="542" t="s">
        <v>45</v>
      </c>
      <c r="E43" s="171">
        <f>SUM(E33:E39)</f>
        <v>10326474.75</v>
      </c>
      <c r="F43" s="171">
        <f t="shared" ref="F43:P43" si="4">SUM(F33:F39)</f>
        <v>11066734.219999999</v>
      </c>
      <c r="G43" s="171">
        <f t="shared" si="4"/>
        <v>8556207.9699999969</v>
      </c>
      <c r="H43" s="171">
        <f t="shared" si="4"/>
        <v>4909822.3900000015</v>
      </c>
      <c r="I43" s="171">
        <f t="shared" si="4"/>
        <v>3196934.77</v>
      </c>
      <c r="J43" s="171">
        <f t="shared" si="4"/>
        <v>2688007.7399999993</v>
      </c>
      <c r="K43" s="171">
        <f t="shared" si="4"/>
        <v>2832704.59</v>
      </c>
      <c r="L43" s="171">
        <f t="shared" si="4"/>
        <v>2044339.15</v>
      </c>
      <c r="M43" s="171">
        <f t="shared" si="4"/>
        <v>3715382.46</v>
      </c>
      <c r="N43" s="171">
        <f t="shared" si="4"/>
        <v>6668453.3300000001</v>
      </c>
      <c r="O43" s="171">
        <f t="shared" si="4"/>
        <v>10283914.07</v>
      </c>
      <c r="P43" s="171">
        <f t="shared" si="4"/>
        <v>12193574.989999998</v>
      </c>
      <c r="Q43" s="171"/>
      <c r="R43" s="541"/>
    </row>
    <row r="44" spans="2:18" x14ac:dyDescent="0.25">
      <c r="B44" s="542"/>
      <c r="E44" s="171">
        <f>E42-E43</f>
        <v>0</v>
      </c>
      <c r="F44" s="171">
        <f t="shared" ref="F44:P44" si="5">F42-F43</f>
        <v>0</v>
      </c>
      <c r="G44" s="171">
        <f t="shared" si="5"/>
        <v>0</v>
      </c>
      <c r="H44" s="188">
        <f t="shared" si="5"/>
        <v>0</v>
      </c>
      <c r="I44" s="171">
        <f t="shared" si="5"/>
        <v>0</v>
      </c>
      <c r="J44" s="171">
        <f t="shared" si="5"/>
        <v>0</v>
      </c>
      <c r="K44" s="171">
        <f t="shared" si="5"/>
        <v>0</v>
      </c>
      <c r="L44" s="188">
        <f t="shared" si="5"/>
        <v>0</v>
      </c>
      <c r="M44" s="171">
        <f t="shared" si="5"/>
        <v>0</v>
      </c>
      <c r="N44" s="171">
        <f t="shared" si="5"/>
        <v>0</v>
      </c>
      <c r="O44" s="171">
        <f t="shared" si="5"/>
        <v>0</v>
      </c>
      <c r="P44" s="171">
        <f t="shared" si="5"/>
        <v>0</v>
      </c>
      <c r="Q44" s="171"/>
      <c r="R44" s="541"/>
    </row>
    <row r="45" spans="2:18" x14ac:dyDescent="0.25">
      <c r="B45" s="540" t="s">
        <v>511</v>
      </c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541"/>
    </row>
    <row r="46" spans="2:18" x14ac:dyDescent="0.25">
      <c r="B46" s="167" t="s">
        <v>31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>
        <v>1347361</v>
      </c>
      <c r="P46" s="171">
        <v>1498743</v>
      </c>
      <c r="Q46" s="171">
        <f t="shared" si="0"/>
        <v>2846104</v>
      </c>
      <c r="R46" s="541"/>
    </row>
    <row r="47" spans="2:18" x14ac:dyDescent="0.25">
      <c r="B47" s="167" t="s">
        <v>36</v>
      </c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>
        <f t="shared" si="0"/>
        <v>0</v>
      </c>
      <c r="R47" s="541"/>
    </row>
    <row r="48" spans="2:18" x14ac:dyDescent="0.25">
      <c r="B48" s="167" t="s">
        <v>38</v>
      </c>
      <c r="Q48" s="171">
        <f t="shared" si="0"/>
        <v>0</v>
      </c>
      <c r="R48" s="541"/>
    </row>
    <row r="49" spans="2:18" x14ac:dyDescent="0.25">
      <c r="B49" s="167" t="s">
        <v>40</v>
      </c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>
        <v>-1347361</v>
      </c>
      <c r="P49" s="171">
        <v>-1498743</v>
      </c>
      <c r="Q49" s="171">
        <f t="shared" si="0"/>
        <v>-2846104</v>
      </c>
      <c r="R49" s="541"/>
    </row>
    <row r="50" spans="2:18" x14ac:dyDescent="0.25">
      <c r="B50" s="167" t="s">
        <v>42</v>
      </c>
      <c r="E50" s="171"/>
      <c r="F50" s="171"/>
      <c r="G50" s="171"/>
      <c r="H50" s="171"/>
      <c r="I50" s="171"/>
      <c r="J50" s="171"/>
      <c r="K50" s="171"/>
      <c r="L50" s="171"/>
      <c r="M50" s="171"/>
      <c r="N50" s="171">
        <v>1347361</v>
      </c>
      <c r="O50" s="171">
        <v>1498743</v>
      </c>
      <c r="P50" s="171">
        <v>1688999</v>
      </c>
      <c r="Q50" s="171">
        <f t="shared" si="0"/>
        <v>4535103</v>
      </c>
      <c r="R50" s="541"/>
    </row>
    <row r="51" spans="2:18" x14ac:dyDescent="0.25">
      <c r="B51" s="167" t="s">
        <v>33</v>
      </c>
      <c r="E51" s="171"/>
      <c r="F51" s="171"/>
      <c r="G51" s="171"/>
      <c r="H51" s="171"/>
      <c r="I51" s="171"/>
      <c r="J51" s="171"/>
      <c r="K51" s="171"/>
      <c r="L51" s="171"/>
      <c r="M51" s="171"/>
      <c r="N51" s="171">
        <f>SUM(N46:N50)</f>
        <v>1347361</v>
      </c>
      <c r="O51" s="171">
        <f t="shared" ref="O51:P51" si="6">SUM(O46:O50)</f>
        <v>1498743</v>
      </c>
      <c r="P51" s="171">
        <f t="shared" si="6"/>
        <v>1688999</v>
      </c>
      <c r="Q51" s="171">
        <f t="shared" si="0"/>
        <v>4535103</v>
      </c>
      <c r="R51" s="541"/>
    </row>
    <row r="52" spans="2:18" x14ac:dyDescent="0.25">
      <c r="B52" s="542" t="s">
        <v>45</v>
      </c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>
        <f t="shared" si="0"/>
        <v>0</v>
      </c>
      <c r="R52" s="541"/>
    </row>
    <row r="53" spans="2:18" x14ac:dyDescent="0.25">
      <c r="B53" s="167" t="s">
        <v>46</v>
      </c>
      <c r="N53" s="167">
        <v>0</v>
      </c>
      <c r="O53" s="167">
        <v>753779.36</v>
      </c>
      <c r="P53" s="167">
        <v>973161.6</v>
      </c>
      <c r="Q53" s="171">
        <f t="shared" si="0"/>
        <v>1726940.96</v>
      </c>
      <c r="R53" s="541"/>
    </row>
    <row r="54" spans="2:18" x14ac:dyDescent="0.25">
      <c r="B54" s="167" t="s">
        <v>47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>
        <f t="shared" si="0"/>
        <v>0</v>
      </c>
      <c r="R54" s="541"/>
    </row>
    <row r="55" spans="2:18" x14ac:dyDescent="0.25">
      <c r="B55" s="167" t="s">
        <v>48</v>
      </c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>
        <f t="shared" si="0"/>
        <v>0</v>
      </c>
      <c r="R55" s="541"/>
    </row>
    <row r="56" spans="2:18" x14ac:dyDescent="0.25">
      <c r="B56" s="167" t="s">
        <v>49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>
        <v>-72073.100000000006</v>
      </c>
      <c r="O56" s="171">
        <v>-78267.73</v>
      </c>
      <c r="P56" s="171">
        <v>-80229.440000000002</v>
      </c>
      <c r="Q56" s="171">
        <f t="shared" si="0"/>
        <v>-230570.27000000002</v>
      </c>
      <c r="R56" s="541"/>
    </row>
    <row r="57" spans="2:18" x14ac:dyDescent="0.25">
      <c r="B57" s="167" t="s">
        <v>191</v>
      </c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>
        <f t="shared" si="0"/>
        <v>0</v>
      </c>
      <c r="R57" s="541"/>
    </row>
    <row r="58" spans="2:18" x14ac:dyDescent="0.25">
      <c r="B58" s="167" t="s">
        <v>78</v>
      </c>
      <c r="Q58" s="171">
        <f t="shared" si="0"/>
        <v>0</v>
      </c>
      <c r="R58" s="541"/>
    </row>
    <row r="59" spans="2:18" x14ac:dyDescent="0.25">
      <c r="B59" s="167" t="s">
        <v>13</v>
      </c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>
        <f t="shared" si="0"/>
        <v>0</v>
      </c>
      <c r="R59" s="541"/>
    </row>
    <row r="60" spans="2:18" x14ac:dyDescent="0.25">
      <c r="B60" s="167" t="s">
        <v>53</v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>
        <v>-751839.15</v>
      </c>
      <c r="P60" s="171">
        <v>-971048.36</v>
      </c>
      <c r="Q60" s="171">
        <f t="shared" si="0"/>
        <v>-1722887.51</v>
      </c>
      <c r="R60" s="541"/>
    </row>
    <row r="61" spans="2:18" x14ac:dyDescent="0.25">
      <c r="B61" s="167" t="s">
        <v>54</v>
      </c>
      <c r="E61" s="171"/>
      <c r="F61" s="171"/>
      <c r="G61" s="171"/>
      <c r="H61" s="171"/>
      <c r="I61" s="171"/>
      <c r="J61" s="171"/>
      <c r="K61" s="171"/>
      <c r="L61" s="171"/>
      <c r="M61" s="171"/>
      <c r="N61" s="171">
        <v>751839.15</v>
      </c>
      <c r="O61" s="171">
        <v>971048.36</v>
      </c>
      <c r="P61" s="171">
        <v>1090474.7</v>
      </c>
      <c r="Q61" s="171">
        <f t="shared" si="0"/>
        <v>2813362.21</v>
      </c>
      <c r="R61" s="541"/>
    </row>
    <row r="62" spans="2:18" x14ac:dyDescent="0.25">
      <c r="B62" s="167" t="s">
        <v>30</v>
      </c>
      <c r="E62" s="171"/>
      <c r="F62" s="171"/>
      <c r="G62" s="171"/>
      <c r="H62" s="171"/>
      <c r="I62" s="171"/>
      <c r="J62" s="171"/>
      <c r="K62" s="171"/>
      <c r="L62" s="171"/>
      <c r="M62" s="171"/>
      <c r="N62" s="171">
        <f>SUM(N53:N61)</f>
        <v>679766.05</v>
      </c>
      <c r="O62" s="171">
        <f t="shared" ref="O62:P62" si="7">SUM(O53:O61)</f>
        <v>894720.84</v>
      </c>
      <c r="P62" s="171">
        <f t="shared" si="7"/>
        <v>1012358.4999999999</v>
      </c>
      <c r="Q62" s="171">
        <f>SUM(E62:P62)</f>
        <v>2586845.39</v>
      </c>
      <c r="R62" s="541"/>
    </row>
    <row r="63" spans="2:18" x14ac:dyDescent="0.25">
      <c r="B63" s="542" t="s">
        <v>45</v>
      </c>
      <c r="Q63" s="171"/>
      <c r="R63" s="541"/>
    </row>
    <row r="64" spans="2:18" x14ac:dyDescent="0.25">
      <c r="B64" s="542"/>
      <c r="Q64" s="171"/>
      <c r="R64" s="541"/>
    </row>
    <row r="65" spans="1:18" x14ac:dyDescent="0.25">
      <c r="A65" s="544" t="s">
        <v>23</v>
      </c>
      <c r="B65" s="540" t="s">
        <v>112</v>
      </c>
      <c r="C65" s="538" t="s">
        <v>34</v>
      </c>
      <c r="D65" s="538">
        <v>67</v>
      </c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R65" s="541"/>
    </row>
    <row r="66" spans="1:18" x14ac:dyDescent="0.25">
      <c r="B66" s="167" t="s">
        <v>31</v>
      </c>
      <c r="C66" s="538" t="s">
        <v>35</v>
      </c>
      <c r="D66" s="538">
        <v>67</v>
      </c>
      <c r="E66" s="171">
        <v>1433715</v>
      </c>
      <c r="F66" s="171">
        <v>1616149</v>
      </c>
      <c r="G66" s="171">
        <v>1794729</v>
      </c>
      <c r="H66" s="171">
        <v>1331310</v>
      </c>
      <c r="I66" s="171">
        <v>789879</v>
      </c>
      <c r="J66" s="171">
        <v>579038</v>
      </c>
      <c r="K66" s="171">
        <v>537168</v>
      </c>
      <c r="L66" s="171">
        <v>564404</v>
      </c>
      <c r="M66" s="171">
        <v>651984</v>
      </c>
      <c r="N66" s="171">
        <v>1274354</v>
      </c>
      <c r="O66" s="171">
        <v>1158623</v>
      </c>
      <c r="P66" s="171">
        <v>1422636</v>
      </c>
      <c r="Q66" s="171">
        <f t="shared" si="0"/>
        <v>13153989</v>
      </c>
      <c r="R66" s="541"/>
    </row>
    <row r="67" spans="1:18" x14ac:dyDescent="0.25">
      <c r="B67" s="167" t="s">
        <v>36</v>
      </c>
      <c r="C67" s="538" t="s">
        <v>37</v>
      </c>
      <c r="D67" s="538">
        <v>67</v>
      </c>
      <c r="E67" s="171">
        <v>0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f t="shared" si="0"/>
        <v>0</v>
      </c>
      <c r="R67" s="541"/>
    </row>
    <row r="68" spans="1:18" x14ac:dyDescent="0.25">
      <c r="B68" s="167" t="s">
        <v>38</v>
      </c>
      <c r="C68" s="538" t="s">
        <v>39</v>
      </c>
      <c r="D68" s="538">
        <v>67</v>
      </c>
      <c r="E68" s="171">
        <v>0</v>
      </c>
      <c r="F68" s="171">
        <v>0</v>
      </c>
      <c r="G68" s="171">
        <v>0</v>
      </c>
      <c r="H68" s="171">
        <v>0</v>
      </c>
      <c r="I68" s="171">
        <v>0</v>
      </c>
      <c r="J68" s="171">
        <v>0</v>
      </c>
      <c r="K68" s="171">
        <v>0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f t="shared" si="0"/>
        <v>0</v>
      </c>
      <c r="R68" s="541"/>
    </row>
    <row r="69" spans="1:18" x14ac:dyDescent="0.25">
      <c r="B69" s="167" t="s">
        <v>40</v>
      </c>
      <c r="C69" s="538" t="s">
        <v>41</v>
      </c>
      <c r="D69" s="538">
        <v>67</v>
      </c>
      <c r="E69" s="171">
        <v>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f t="shared" si="0"/>
        <v>0</v>
      </c>
      <c r="R69" s="541"/>
    </row>
    <row r="70" spans="1:18" x14ac:dyDescent="0.25">
      <c r="B70" s="167" t="s">
        <v>42</v>
      </c>
      <c r="C70" s="538" t="s">
        <v>43</v>
      </c>
      <c r="D70" s="538">
        <v>67</v>
      </c>
      <c r="E70" s="171">
        <v>0</v>
      </c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f t="shared" si="0"/>
        <v>0</v>
      </c>
      <c r="R70" s="541"/>
    </row>
    <row r="71" spans="1:18" x14ac:dyDescent="0.25">
      <c r="B71" s="167" t="s">
        <v>33</v>
      </c>
      <c r="C71" s="538" t="s">
        <v>44</v>
      </c>
      <c r="D71" s="538">
        <v>67</v>
      </c>
      <c r="E71" s="171">
        <v>1433715</v>
      </c>
      <c r="F71" s="171">
        <v>1616149</v>
      </c>
      <c r="G71" s="171">
        <v>1794729</v>
      </c>
      <c r="H71" s="171">
        <v>1331310</v>
      </c>
      <c r="I71" s="171">
        <v>789879</v>
      </c>
      <c r="J71" s="171">
        <v>579038</v>
      </c>
      <c r="K71" s="171">
        <v>537168</v>
      </c>
      <c r="L71" s="171">
        <v>564404</v>
      </c>
      <c r="M71" s="171">
        <v>651984</v>
      </c>
      <c r="N71" s="171">
        <v>1274354</v>
      </c>
      <c r="O71" s="171">
        <v>1158623</v>
      </c>
      <c r="P71" s="171">
        <v>1422636</v>
      </c>
      <c r="Q71" s="171">
        <f t="shared" si="0"/>
        <v>13153989</v>
      </c>
      <c r="R71" s="541"/>
    </row>
    <row r="72" spans="1:18" x14ac:dyDescent="0.25">
      <c r="B72" s="542" t="s">
        <v>45</v>
      </c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>
        <f t="shared" si="0"/>
        <v>0</v>
      </c>
      <c r="R72" s="541"/>
    </row>
    <row r="73" spans="1:18" x14ac:dyDescent="0.25">
      <c r="B73" s="167" t="s">
        <v>46</v>
      </c>
      <c r="C73" s="538" t="s">
        <v>35</v>
      </c>
      <c r="D73" s="538">
        <v>111</v>
      </c>
      <c r="E73" s="171">
        <v>936888.66</v>
      </c>
      <c r="F73" s="171">
        <v>1049392.1399999999</v>
      </c>
      <c r="G73" s="171">
        <v>1164185.93</v>
      </c>
      <c r="H73" s="171">
        <v>896883.68</v>
      </c>
      <c r="I73" s="171">
        <v>591706.77</v>
      </c>
      <c r="J73" s="171">
        <v>443240.55</v>
      </c>
      <c r="K73" s="171">
        <v>411665.08</v>
      </c>
      <c r="L73" s="171">
        <v>431235.45</v>
      </c>
      <c r="M73" s="171">
        <v>488654.76</v>
      </c>
      <c r="N73" s="171">
        <v>918719.51</v>
      </c>
      <c r="O73" s="171">
        <v>869878.78</v>
      </c>
      <c r="P73" s="171">
        <v>1111820.51</v>
      </c>
      <c r="Q73" s="171">
        <f t="shared" si="0"/>
        <v>9314271.8200000003</v>
      </c>
      <c r="R73" s="541"/>
    </row>
    <row r="74" spans="1:18" x14ac:dyDescent="0.25">
      <c r="B74" s="167" t="s">
        <v>47</v>
      </c>
      <c r="C74" s="538" t="s">
        <v>37</v>
      </c>
      <c r="D74" s="538">
        <v>111</v>
      </c>
      <c r="E74" s="171">
        <v>0</v>
      </c>
      <c r="F74" s="171">
        <v>0</v>
      </c>
      <c r="G74" s="171">
        <v>0</v>
      </c>
      <c r="H74" s="171">
        <v>0</v>
      </c>
      <c r="I74" s="171">
        <v>0</v>
      </c>
      <c r="J74" s="171">
        <v>0</v>
      </c>
      <c r="K74" s="171">
        <v>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  <c r="Q74" s="171">
        <f t="shared" si="0"/>
        <v>0</v>
      </c>
      <c r="R74" s="541"/>
    </row>
    <row r="75" spans="1:18" x14ac:dyDescent="0.25">
      <c r="B75" s="167" t="s">
        <v>48</v>
      </c>
      <c r="C75" s="538" t="s">
        <v>39</v>
      </c>
      <c r="D75" s="538">
        <v>111</v>
      </c>
      <c r="E75" s="171">
        <v>0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f t="shared" si="0"/>
        <v>0</v>
      </c>
      <c r="R75" s="541"/>
    </row>
    <row r="76" spans="1:18" x14ac:dyDescent="0.25">
      <c r="B76" s="167" t="s">
        <v>49</v>
      </c>
      <c r="C76" s="538" t="s">
        <v>50</v>
      </c>
      <c r="D76" s="538">
        <v>111</v>
      </c>
      <c r="E76" s="171">
        <v>25729.21</v>
      </c>
      <c r="F76" s="171">
        <v>-33933.46</v>
      </c>
      <c r="G76" s="171">
        <v>-72068.69</v>
      </c>
      <c r="H76" s="171">
        <v>-57172.43</v>
      </c>
      <c r="I76" s="171">
        <v>-17312.7</v>
      </c>
      <c r="J76" s="171">
        <v>4196.7299999999996</v>
      </c>
      <c r="K76" s="171">
        <v>-6871.89</v>
      </c>
      <c r="L76" s="171">
        <v>-6235.57</v>
      </c>
      <c r="M76" s="171">
        <v>4695.5</v>
      </c>
      <c r="N76" s="171">
        <v>-12962</v>
      </c>
      <c r="O76" s="171">
        <v>-22893.87</v>
      </c>
      <c r="P76" s="171">
        <v>-3052.33</v>
      </c>
      <c r="Q76" s="171">
        <f>SUM(E76:P76)</f>
        <v>-197881.5</v>
      </c>
      <c r="R76" s="541"/>
    </row>
    <row r="77" spans="1:18" x14ac:dyDescent="0.25">
      <c r="B77" s="167" t="s">
        <v>191</v>
      </c>
      <c r="C77" s="538" t="s">
        <v>51</v>
      </c>
      <c r="D77" s="538">
        <v>111</v>
      </c>
      <c r="E77" s="171">
        <v>-6924.85</v>
      </c>
      <c r="F77" s="171">
        <v>-7806</v>
      </c>
      <c r="G77" s="171">
        <v>-8668.5400000000009</v>
      </c>
      <c r="H77" s="171">
        <v>-6430.23</v>
      </c>
      <c r="I77" s="171">
        <v>-3815.11</v>
      </c>
      <c r="J77" s="171">
        <v>-2796.75</v>
      </c>
      <c r="K77" s="171">
        <v>-2594.52</v>
      </c>
      <c r="L77" s="171">
        <v>-2726.07</v>
      </c>
      <c r="M77" s="171">
        <v>-3149.08</v>
      </c>
      <c r="N77" s="171">
        <v>-6155.13</v>
      </c>
      <c r="O77" s="171">
        <v>-2398.44</v>
      </c>
      <c r="P77" s="171">
        <v>6046.2</v>
      </c>
      <c r="Q77" s="171">
        <f>SUM(E77:P77)</f>
        <v>-47418.52</v>
      </c>
      <c r="R77" s="541"/>
    </row>
    <row r="78" spans="1:18" x14ac:dyDescent="0.25">
      <c r="B78" s="167" t="s">
        <v>78</v>
      </c>
      <c r="C78" s="538" t="s">
        <v>77</v>
      </c>
      <c r="D78" s="538">
        <v>111</v>
      </c>
      <c r="E78" s="171">
        <v>0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  <c r="Q78" s="171">
        <f t="shared" si="0"/>
        <v>0</v>
      </c>
      <c r="R78" s="541"/>
    </row>
    <row r="79" spans="1:18" x14ac:dyDescent="0.25">
      <c r="B79" s="167" t="s">
        <v>13</v>
      </c>
      <c r="C79" s="538" t="s">
        <v>52</v>
      </c>
      <c r="D79" s="538">
        <v>111</v>
      </c>
      <c r="E79" s="171">
        <v>0</v>
      </c>
      <c r="F79" s="171">
        <v>0</v>
      </c>
      <c r="G79" s="171">
        <v>0</v>
      </c>
      <c r="H79" s="171">
        <v>0</v>
      </c>
      <c r="I79" s="171">
        <v>0</v>
      </c>
      <c r="J79" s="171">
        <v>0</v>
      </c>
      <c r="K79" s="171">
        <v>0</v>
      </c>
      <c r="L79" s="171">
        <v>0</v>
      </c>
      <c r="M79" s="171">
        <v>0</v>
      </c>
      <c r="N79" s="171">
        <v>0</v>
      </c>
      <c r="O79" s="171">
        <v>0</v>
      </c>
      <c r="P79" s="171">
        <v>0</v>
      </c>
      <c r="Q79" s="171">
        <f t="shared" si="0"/>
        <v>0</v>
      </c>
      <c r="R79" s="541"/>
    </row>
    <row r="80" spans="1:18" x14ac:dyDescent="0.25">
      <c r="B80" s="167" t="s">
        <v>53</v>
      </c>
      <c r="C80" s="538" t="s">
        <v>41</v>
      </c>
      <c r="D80" s="538">
        <v>111</v>
      </c>
      <c r="E80" s="171">
        <v>0</v>
      </c>
      <c r="F80" s="171">
        <v>0</v>
      </c>
      <c r="G80" s="171">
        <v>0</v>
      </c>
      <c r="H80" s="171">
        <v>0</v>
      </c>
      <c r="I80" s="171">
        <v>0</v>
      </c>
      <c r="J80" s="171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  <c r="Q80" s="171">
        <f t="shared" si="0"/>
        <v>0</v>
      </c>
      <c r="R80" s="541"/>
    </row>
    <row r="81" spans="1:18" x14ac:dyDescent="0.25">
      <c r="B81" s="167" t="s">
        <v>54</v>
      </c>
      <c r="C81" s="538" t="s">
        <v>43</v>
      </c>
      <c r="D81" s="538">
        <v>111</v>
      </c>
      <c r="E81" s="171">
        <v>0</v>
      </c>
      <c r="F81" s="171">
        <v>0</v>
      </c>
      <c r="G81" s="171">
        <v>0</v>
      </c>
      <c r="H81" s="171">
        <v>0</v>
      </c>
      <c r="I81" s="171">
        <v>0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  <c r="O81" s="171">
        <v>0</v>
      </c>
      <c r="P81" s="171">
        <v>0</v>
      </c>
      <c r="Q81" s="171">
        <f t="shared" si="0"/>
        <v>0</v>
      </c>
      <c r="R81" s="541"/>
    </row>
    <row r="82" spans="1:18" x14ac:dyDescent="0.25">
      <c r="B82" s="167" t="s">
        <v>30</v>
      </c>
      <c r="C82" s="538" t="s">
        <v>44</v>
      </c>
      <c r="D82" s="538">
        <v>111</v>
      </c>
      <c r="E82" s="171">
        <v>955693.02</v>
      </c>
      <c r="F82" s="171">
        <v>1007652.6799999999</v>
      </c>
      <c r="G82" s="171">
        <v>1083448.7</v>
      </c>
      <c r="H82" s="171">
        <v>833281.02</v>
      </c>
      <c r="I82" s="171">
        <v>570578.96000000008</v>
      </c>
      <c r="J82" s="171">
        <v>444640.52999999997</v>
      </c>
      <c r="K82" s="171">
        <v>402198.67</v>
      </c>
      <c r="L82" s="171">
        <v>422273.81</v>
      </c>
      <c r="M82" s="171">
        <v>490201.18</v>
      </c>
      <c r="N82" s="171">
        <v>899602.38</v>
      </c>
      <c r="O82" s="171">
        <v>844586.47000000009</v>
      </c>
      <c r="P82" s="171">
        <v>1114814.3799999999</v>
      </c>
      <c r="Q82" s="171">
        <f t="shared" si="0"/>
        <v>9068971.7999999989</v>
      </c>
      <c r="R82" s="541"/>
    </row>
    <row r="83" spans="1:18" x14ac:dyDescent="0.25">
      <c r="B83" s="542" t="s">
        <v>45</v>
      </c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>
        <f t="shared" si="0"/>
        <v>0</v>
      </c>
      <c r="R83" s="541"/>
    </row>
    <row r="84" spans="1:18" x14ac:dyDescent="0.25">
      <c r="Q84" s="171">
        <f t="shared" si="0"/>
        <v>0</v>
      </c>
      <c r="R84" s="541"/>
    </row>
    <row r="85" spans="1:18" x14ac:dyDescent="0.25">
      <c r="A85" s="167" t="s">
        <v>310</v>
      </c>
      <c r="B85" s="540" t="s">
        <v>111</v>
      </c>
      <c r="C85" s="538" t="s">
        <v>34</v>
      </c>
      <c r="D85" s="538">
        <v>72</v>
      </c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1"/>
      <c r="R85" s="541"/>
    </row>
    <row r="86" spans="1:18" x14ac:dyDescent="0.25">
      <c r="B86" s="167" t="s">
        <v>31</v>
      </c>
      <c r="C86" s="538" t="s">
        <v>35</v>
      </c>
      <c r="D86" s="538">
        <v>72</v>
      </c>
      <c r="E86" s="171">
        <v>1477641</v>
      </c>
      <c r="F86" s="171">
        <v>1527495</v>
      </c>
      <c r="G86" s="171">
        <v>1650107</v>
      </c>
      <c r="H86" s="171">
        <v>1028839</v>
      </c>
      <c r="I86" s="171">
        <v>692205</v>
      </c>
      <c r="J86" s="171">
        <v>479946</v>
      </c>
      <c r="K86" s="171">
        <v>406093</v>
      </c>
      <c r="L86" s="171">
        <v>400926</v>
      </c>
      <c r="M86" s="171">
        <v>346838</v>
      </c>
      <c r="N86" s="171">
        <v>680358</v>
      </c>
      <c r="O86" s="171">
        <v>1037028</v>
      </c>
      <c r="P86" s="171">
        <v>1270156</v>
      </c>
      <c r="Q86" s="171">
        <f t="shared" si="0"/>
        <v>10997632</v>
      </c>
      <c r="R86" s="541"/>
    </row>
    <row r="87" spans="1:18" x14ac:dyDescent="0.25">
      <c r="B87" s="167" t="s">
        <v>36</v>
      </c>
      <c r="C87" s="538" t="s">
        <v>37</v>
      </c>
      <c r="D87" s="538">
        <v>72</v>
      </c>
      <c r="E87" s="171">
        <v>0</v>
      </c>
      <c r="F87" s="171">
        <v>0</v>
      </c>
      <c r="G87" s="171">
        <v>0</v>
      </c>
      <c r="H87" s="171">
        <v>0</v>
      </c>
      <c r="I87" s="171">
        <v>0</v>
      </c>
      <c r="J87" s="171">
        <v>0</v>
      </c>
      <c r="K87" s="171">
        <v>0</v>
      </c>
      <c r="L87" s="171">
        <v>0</v>
      </c>
      <c r="M87" s="171">
        <v>0</v>
      </c>
      <c r="N87" s="171">
        <v>0</v>
      </c>
      <c r="O87" s="171">
        <v>0</v>
      </c>
      <c r="P87" s="171">
        <v>0</v>
      </c>
      <c r="Q87" s="171">
        <f t="shared" si="0"/>
        <v>0</v>
      </c>
      <c r="R87" s="541"/>
    </row>
    <row r="88" spans="1:18" x14ac:dyDescent="0.25">
      <c r="B88" s="167" t="s">
        <v>38</v>
      </c>
      <c r="C88" s="538" t="s">
        <v>39</v>
      </c>
      <c r="D88" s="538">
        <v>72</v>
      </c>
      <c r="E88" s="171">
        <v>0</v>
      </c>
      <c r="F88" s="171">
        <v>0</v>
      </c>
      <c r="G88" s="171">
        <v>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  <c r="Q88" s="171">
        <f t="shared" si="0"/>
        <v>0</v>
      </c>
      <c r="R88" s="541"/>
    </row>
    <row r="89" spans="1:18" x14ac:dyDescent="0.25">
      <c r="B89" s="167" t="s">
        <v>40</v>
      </c>
      <c r="C89" s="538" t="s">
        <v>41</v>
      </c>
      <c r="D89" s="538">
        <v>72</v>
      </c>
      <c r="E89" s="171">
        <v>0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71">
        <v>0</v>
      </c>
      <c r="Q89" s="171">
        <f t="shared" si="0"/>
        <v>0</v>
      </c>
      <c r="R89" s="541"/>
    </row>
    <row r="90" spans="1:18" x14ac:dyDescent="0.25">
      <c r="B90" s="167" t="s">
        <v>42</v>
      </c>
      <c r="C90" s="538" t="s">
        <v>43</v>
      </c>
      <c r="D90" s="538">
        <v>72</v>
      </c>
      <c r="E90" s="171">
        <v>0</v>
      </c>
      <c r="F90" s="171">
        <v>0</v>
      </c>
      <c r="G90" s="171">
        <v>0</v>
      </c>
      <c r="H90" s="171">
        <v>0</v>
      </c>
      <c r="I90" s="171">
        <v>0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  <c r="Q90" s="171">
        <f t="shared" si="0"/>
        <v>0</v>
      </c>
      <c r="R90" s="541"/>
    </row>
    <row r="91" spans="1:18" x14ac:dyDescent="0.25">
      <c r="B91" s="167" t="s">
        <v>33</v>
      </c>
      <c r="C91" s="538" t="s">
        <v>44</v>
      </c>
      <c r="D91" s="538">
        <v>72</v>
      </c>
      <c r="E91" s="171">
        <v>1477641</v>
      </c>
      <c r="F91" s="171">
        <v>1527495</v>
      </c>
      <c r="G91" s="171">
        <v>1650107</v>
      </c>
      <c r="H91" s="171">
        <v>1028839</v>
      </c>
      <c r="I91" s="171">
        <v>692205</v>
      </c>
      <c r="J91" s="171">
        <v>479946</v>
      </c>
      <c r="K91" s="171">
        <v>406093</v>
      </c>
      <c r="L91" s="171">
        <v>400926</v>
      </c>
      <c r="M91" s="171">
        <v>346838</v>
      </c>
      <c r="N91" s="171">
        <v>680358</v>
      </c>
      <c r="O91" s="171">
        <v>1037028</v>
      </c>
      <c r="P91" s="171">
        <v>1270156</v>
      </c>
      <c r="Q91" s="171">
        <f t="shared" ref="Q91:Q174" si="8">SUM(E91:P91)</f>
        <v>10997632</v>
      </c>
      <c r="R91" s="541"/>
    </row>
    <row r="92" spans="1:18" x14ac:dyDescent="0.25">
      <c r="B92" s="542" t="s">
        <v>45</v>
      </c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>
        <f t="shared" si="8"/>
        <v>0</v>
      </c>
      <c r="R92" s="541"/>
    </row>
    <row r="93" spans="1:18" x14ac:dyDescent="0.25">
      <c r="B93" s="167" t="s">
        <v>46</v>
      </c>
      <c r="C93" s="538" t="s">
        <v>35</v>
      </c>
      <c r="D93" s="538">
        <v>116</v>
      </c>
      <c r="E93" s="171">
        <v>822203.04</v>
      </c>
      <c r="F93" s="171">
        <v>849600.63</v>
      </c>
      <c r="G93" s="171">
        <v>914449.75</v>
      </c>
      <c r="H93" s="171">
        <v>603443.46</v>
      </c>
      <c r="I93" s="171">
        <v>448412.25</v>
      </c>
      <c r="J93" s="171">
        <v>314956.52</v>
      </c>
      <c r="K93" s="171">
        <v>267558.89</v>
      </c>
      <c r="L93" s="171">
        <v>262242.84999999998</v>
      </c>
      <c r="M93" s="171">
        <v>230387.74</v>
      </c>
      <c r="N93" s="171">
        <v>438604.01</v>
      </c>
      <c r="O93" s="171">
        <v>695593.82</v>
      </c>
      <c r="P93" s="171">
        <v>929583.21</v>
      </c>
      <c r="Q93" s="171">
        <f t="shared" si="8"/>
        <v>6777036.1699999999</v>
      </c>
      <c r="R93" s="541"/>
    </row>
    <row r="94" spans="1:18" x14ac:dyDescent="0.25">
      <c r="B94" s="167" t="s">
        <v>47</v>
      </c>
      <c r="C94" s="538" t="s">
        <v>37</v>
      </c>
      <c r="D94" s="538">
        <v>116</v>
      </c>
      <c r="E94" s="171">
        <v>0</v>
      </c>
      <c r="F94" s="171">
        <v>0</v>
      </c>
      <c r="G94" s="171">
        <v>0</v>
      </c>
      <c r="H94" s="171">
        <v>0</v>
      </c>
      <c r="I94" s="171">
        <v>0</v>
      </c>
      <c r="J94" s="171">
        <v>0</v>
      </c>
      <c r="K94" s="171">
        <v>0</v>
      </c>
      <c r="L94" s="171">
        <v>0</v>
      </c>
      <c r="M94" s="171">
        <v>0</v>
      </c>
      <c r="N94" s="171">
        <v>0</v>
      </c>
      <c r="O94" s="171">
        <v>0</v>
      </c>
      <c r="P94" s="171">
        <v>0</v>
      </c>
      <c r="Q94" s="171">
        <f t="shared" si="8"/>
        <v>0</v>
      </c>
      <c r="R94" s="541"/>
    </row>
    <row r="95" spans="1:18" x14ac:dyDescent="0.25">
      <c r="B95" s="167" t="s">
        <v>48</v>
      </c>
      <c r="C95" s="538" t="s">
        <v>39</v>
      </c>
      <c r="D95" s="538">
        <v>116</v>
      </c>
      <c r="E95" s="171">
        <v>0</v>
      </c>
      <c r="F95" s="171">
        <v>0</v>
      </c>
      <c r="G95" s="171">
        <v>0</v>
      </c>
      <c r="H95" s="171">
        <v>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  <c r="Q95" s="171">
        <f t="shared" si="8"/>
        <v>0</v>
      </c>
      <c r="R95" s="541"/>
    </row>
    <row r="96" spans="1:18" x14ac:dyDescent="0.25">
      <c r="B96" s="167" t="s">
        <v>49</v>
      </c>
      <c r="C96" s="538" t="s">
        <v>50</v>
      </c>
      <c r="D96" s="538">
        <v>116</v>
      </c>
      <c r="E96" s="171">
        <v>-17428.68</v>
      </c>
      <c r="F96" s="171">
        <v>-84690.62</v>
      </c>
      <c r="G96" s="171">
        <v>3014.39</v>
      </c>
      <c r="H96" s="171">
        <v>95.74</v>
      </c>
      <c r="I96" s="171">
        <v>-13837.17</v>
      </c>
      <c r="J96" s="171">
        <v>5149.33</v>
      </c>
      <c r="K96" s="171">
        <v>-11560.95</v>
      </c>
      <c r="L96" s="171">
        <v>18053.38</v>
      </c>
      <c r="M96" s="171">
        <v>-9861.26</v>
      </c>
      <c r="N96" s="171">
        <v>-70860.75</v>
      </c>
      <c r="O96" s="171">
        <v>-87846.34</v>
      </c>
      <c r="P96" s="171">
        <v>-8942.39</v>
      </c>
      <c r="Q96" s="171">
        <f t="shared" si="8"/>
        <v>-278715.31999999995</v>
      </c>
      <c r="R96" s="541"/>
    </row>
    <row r="97" spans="1:18" x14ac:dyDescent="0.25">
      <c r="B97" s="167" t="s">
        <v>191</v>
      </c>
      <c r="C97" s="538" t="s">
        <v>51</v>
      </c>
      <c r="D97" s="538">
        <v>116</v>
      </c>
      <c r="E97" s="171">
        <v>72847.710000000006</v>
      </c>
      <c r="F97" s="171">
        <v>75305.509999999995</v>
      </c>
      <c r="G97" s="171">
        <v>81350.27</v>
      </c>
      <c r="H97" s="171">
        <v>50721.77</v>
      </c>
      <c r="I97" s="171">
        <v>34125.71</v>
      </c>
      <c r="J97" s="171">
        <v>23661.33</v>
      </c>
      <c r="K97" s="171">
        <v>20020.38</v>
      </c>
      <c r="L97" s="171">
        <v>19765.650000000001</v>
      </c>
      <c r="M97" s="171">
        <v>17099.11</v>
      </c>
      <c r="N97" s="171">
        <v>101825.91</v>
      </c>
      <c r="O97" s="171">
        <v>65791.55</v>
      </c>
      <c r="P97" s="171">
        <v>54083.88</v>
      </c>
      <c r="Q97" s="171">
        <f t="shared" si="8"/>
        <v>616598.78000000014</v>
      </c>
      <c r="R97" s="541"/>
    </row>
    <row r="98" spans="1:18" x14ac:dyDescent="0.25">
      <c r="B98" s="167" t="s">
        <v>78</v>
      </c>
      <c r="C98" s="538" t="s">
        <v>77</v>
      </c>
      <c r="D98" s="538">
        <v>116</v>
      </c>
      <c r="E98" s="171">
        <v>0</v>
      </c>
      <c r="F98" s="171">
        <v>0</v>
      </c>
      <c r="G98" s="171">
        <v>0</v>
      </c>
      <c r="H98" s="171">
        <v>0</v>
      </c>
      <c r="I98" s="171">
        <v>0</v>
      </c>
      <c r="J98" s="171">
        <v>0</v>
      </c>
      <c r="K98" s="171">
        <v>0</v>
      </c>
      <c r="L98" s="171">
        <v>0</v>
      </c>
      <c r="M98" s="171">
        <v>0</v>
      </c>
      <c r="N98" s="171">
        <v>0</v>
      </c>
      <c r="O98" s="171">
        <v>0</v>
      </c>
      <c r="P98" s="171">
        <v>0</v>
      </c>
      <c r="Q98" s="171">
        <f t="shared" si="8"/>
        <v>0</v>
      </c>
      <c r="R98" s="541"/>
    </row>
    <row r="99" spans="1:18" x14ac:dyDescent="0.25">
      <c r="B99" s="167" t="s">
        <v>13</v>
      </c>
      <c r="C99" s="538" t="s">
        <v>52</v>
      </c>
      <c r="D99" s="538">
        <v>116</v>
      </c>
      <c r="E99" s="171">
        <v>0</v>
      </c>
      <c r="F99" s="171">
        <v>0</v>
      </c>
      <c r="G99" s="171">
        <v>0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v>0</v>
      </c>
      <c r="Q99" s="171">
        <f t="shared" si="8"/>
        <v>0</v>
      </c>
      <c r="R99" s="541"/>
    </row>
    <row r="100" spans="1:18" x14ac:dyDescent="0.25">
      <c r="B100" s="167" t="s">
        <v>53</v>
      </c>
      <c r="C100" s="538" t="s">
        <v>41</v>
      </c>
      <c r="D100" s="538">
        <v>116</v>
      </c>
      <c r="E100" s="171">
        <v>0</v>
      </c>
      <c r="F100" s="171">
        <v>0</v>
      </c>
      <c r="G100" s="171">
        <v>0</v>
      </c>
      <c r="H100" s="171">
        <v>0</v>
      </c>
      <c r="I100" s="171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71">
        <v>0</v>
      </c>
      <c r="Q100" s="171">
        <f t="shared" si="8"/>
        <v>0</v>
      </c>
      <c r="R100" s="541"/>
    </row>
    <row r="101" spans="1:18" x14ac:dyDescent="0.25">
      <c r="B101" s="167" t="s">
        <v>54</v>
      </c>
      <c r="C101" s="538" t="s">
        <v>43</v>
      </c>
      <c r="D101" s="538">
        <v>116</v>
      </c>
      <c r="E101" s="171">
        <v>0</v>
      </c>
      <c r="F101" s="171">
        <v>0</v>
      </c>
      <c r="G101" s="171">
        <v>0</v>
      </c>
      <c r="H101" s="171">
        <v>0</v>
      </c>
      <c r="I101" s="171">
        <v>0</v>
      </c>
      <c r="J101" s="171">
        <v>0</v>
      </c>
      <c r="K101" s="171">
        <v>0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  <c r="Q101" s="171">
        <f t="shared" si="8"/>
        <v>0</v>
      </c>
      <c r="R101" s="541"/>
    </row>
    <row r="102" spans="1:18" x14ac:dyDescent="0.25">
      <c r="B102" s="167" t="s">
        <v>30</v>
      </c>
      <c r="C102" s="538" t="s">
        <v>44</v>
      </c>
      <c r="D102" s="538">
        <v>116</v>
      </c>
      <c r="E102" s="171">
        <v>877622.07</v>
      </c>
      <c r="F102" s="171">
        <v>840215.52</v>
      </c>
      <c r="G102" s="171">
        <v>998814.41</v>
      </c>
      <c r="H102" s="171">
        <v>654260.97</v>
      </c>
      <c r="I102" s="171">
        <v>468700.79000000004</v>
      </c>
      <c r="J102" s="171">
        <v>343767.18000000005</v>
      </c>
      <c r="K102" s="171">
        <v>276018.32</v>
      </c>
      <c r="L102" s="171">
        <v>300061.88</v>
      </c>
      <c r="M102" s="171">
        <v>237625.58999999997</v>
      </c>
      <c r="N102" s="171">
        <v>469569.17000000004</v>
      </c>
      <c r="O102" s="171">
        <v>673539.03</v>
      </c>
      <c r="P102" s="171">
        <v>974724.7</v>
      </c>
      <c r="Q102" s="171">
        <f t="shared" si="8"/>
        <v>7114919.6299999999</v>
      </c>
      <c r="R102" s="541"/>
    </row>
    <row r="103" spans="1:18" x14ac:dyDescent="0.25">
      <c r="B103" s="542" t="s">
        <v>45</v>
      </c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>
        <f t="shared" si="8"/>
        <v>0</v>
      </c>
      <c r="R103" s="541"/>
    </row>
    <row r="104" spans="1:18" x14ac:dyDescent="0.25">
      <c r="B104" s="542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>
        <f t="shared" si="8"/>
        <v>0</v>
      </c>
      <c r="R104" s="541"/>
    </row>
    <row r="105" spans="1:18" x14ac:dyDescent="0.25">
      <c r="A105" s="167" t="s">
        <v>508</v>
      </c>
      <c r="B105" s="540" t="s">
        <v>111</v>
      </c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>
        <f t="shared" si="8"/>
        <v>0</v>
      </c>
      <c r="R105" s="541"/>
    </row>
    <row r="106" spans="1:18" x14ac:dyDescent="0.25">
      <c r="B106" s="167" t="s">
        <v>31</v>
      </c>
      <c r="E106" s="171">
        <v>330955</v>
      </c>
      <c r="F106" s="171">
        <v>325966</v>
      </c>
      <c r="G106" s="171">
        <v>344448</v>
      </c>
      <c r="H106" s="171">
        <v>339049</v>
      </c>
      <c r="I106" s="171">
        <v>267660</v>
      </c>
      <c r="J106" s="171">
        <v>275040</v>
      </c>
      <c r="K106" s="171">
        <v>315197</v>
      </c>
      <c r="L106" s="171">
        <v>350812</v>
      </c>
      <c r="M106" s="171">
        <v>310612</v>
      </c>
      <c r="N106" s="171">
        <v>413276</v>
      </c>
      <c r="O106" s="171">
        <v>484916</v>
      </c>
      <c r="P106" s="171">
        <v>368658</v>
      </c>
      <c r="Q106" s="171">
        <f t="shared" si="8"/>
        <v>4126589</v>
      </c>
      <c r="R106" s="541"/>
    </row>
    <row r="107" spans="1:18" x14ac:dyDescent="0.25">
      <c r="B107" s="167" t="s">
        <v>36</v>
      </c>
      <c r="E107" s="171"/>
      <c r="F107" s="171"/>
      <c r="G107" s="171"/>
      <c r="H107" s="171"/>
      <c r="I107" s="171"/>
      <c r="J107" s="171"/>
      <c r="K107" s="171"/>
      <c r="L107" s="171"/>
      <c r="M107" s="171"/>
      <c r="N107" s="171">
        <v>0</v>
      </c>
      <c r="O107" s="171">
        <v>0</v>
      </c>
      <c r="P107" s="171">
        <v>0</v>
      </c>
      <c r="Q107" s="171">
        <f t="shared" si="8"/>
        <v>0</v>
      </c>
      <c r="R107" s="541"/>
    </row>
    <row r="108" spans="1:18" x14ac:dyDescent="0.25">
      <c r="B108" s="167" t="s">
        <v>38</v>
      </c>
      <c r="E108" s="171"/>
      <c r="F108" s="171"/>
      <c r="G108" s="171"/>
      <c r="H108" s="171"/>
      <c r="I108" s="171"/>
      <c r="J108" s="171"/>
      <c r="K108" s="171"/>
      <c r="L108" s="171"/>
      <c r="M108" s="171"/>
      <c r="N108" s="171">
        <v>0</v>
      </c>
      <c r="O108" s="171">
        <v>0</v>
      </c>
      <c r="P108" s="171">
        <v>0</v>
      </c>
      <c r="Q108" s="171">
        <f t="shared" ref="Q108:Q111" si="9">SUM(E108:P108)</f>
        <v>0</v>
      </c>
      <c r="R108" s="541"/>
    </row>
    <row r="109" spans="1:18" x14ac:dyDescent="0.25">
      <c r="B109" s="167" t="s">
        <v>40</v>
      </c>
      <c r="E109" s="171"/>
      <c r="F109" s="171"/>
      <c r="G109" s="171"/>
      <c r="H109" s="171"/>
      <c r="I109" s="171"/>
      <c r="J109" s="171"/>
      <c r="K109" s="171"/>
      <c r="L109" s="171"/>
      <c r="M109" s="171"/>
      <c r="N109" s="171">
        <v>0</v>
      </c>
      <c r="O109" s="171">
        <v>0</v>
      </c>
      <c r="P109" s="171">
        <v>0</v>
      </c>
      <c r="Q109" s="171">
        <f t="shared" si="9"/>
        <v>0</v>
      </c>
      <c r="R109" s="541"/>
    </row>
    <row r="110" spans="1:18" x14ac:dyDescent="0.25">
      <c r="B110" s="167" t="s">
        <v>42</v>
      </c>
      <c r="E110" s="171"/>
      <c r="F110" s="171"/>
      <c r="G110" s="171"/>
      <c r="H110" s="171"/>
      <c r="I110" s="171"/>
      <c r="J110" s="171"/>
      <c r="K110" s="171"/>
      <c r="L110" s="171"/>
      <c r="M110" s="171"/>
      <c r="N110" s="171">
        <v>0</v>
      </c>
      <c r="O110" s="171">
        <v>0</v>
      </c>
      <c r="P110" s="171">
        <v>0</v>
      </c>
      <c r="Q110" s="171">
        <f t="shared" si="9"/>
        <v>0</v>
      </c>
      <c r="R110" s="541"/>
    </row>
    <row r="111" spans="1:18" x14ac:dyDescent="0.25">
      <c r="B111" s="167" t="s">
        <v>33</v>
      </c>
      <c r="E111" s="171">
        <v>330955</v>
      </c>
      <c r="F111" s="171">
        <v>325966</v>
      </c>
      <c r="G111" s="171">
        <v>344448</v>
      </c>
      <c r="H111" s="171">
        <v>339049</v>
      </c>
      <c r="I111" s="171">
        <v>267660</v>
      </c>
      <c r="J111" s="171">
        <v>275040</v>
      </c>
      <c r="K111" s="171">
        <v>315197</v>
      </c>
      <c r="L111" s="171">
        <v>350812</v>
      </c>
      <c r="M111" s="171">
        <v>310612</v>
      </c>
      <c r="N111" s="171">
        <v>413276</v>
      </c>
      <c r="O111" s="171">
        <v>484916</v>
      </c>
      <c r="P111" s="171">
        <v>368658</v>
      </c>
      <c r="Q111" s="171">
        <f t="shared" si="9"/>
        <v>4126589</v>
      </c>
      <c r="R111" s="541"/>
    </row>
    <row r="112" spans="1:18" x14ac:dyDescent="0.25">
      <c r="B112" s="542" t="s">
        <v>45</v>
      </c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>
        <f t="shared" ref="Q112:Q120" si="10">SUM(E112:P112)</f>
        <v>0</v>
      </c>
      <c r="R112" s="541"/>
    </row>
    <row r="113" spans="2:18" x14ac:dyDescent="0.25">
      <c r="B113" s="167" t="s">
        <v>46</v>
      </c>
      <c r="E113" s="171">
        <v>184213.48</v>
      </c>
      <c r="F113" s="171">
        <v>181507.72</v>
      </c>
      <c r="G113" s="171">
        <v>191768.49</v>
      </c>
      <c r="H113" s="171">
        <v>194310.17</v>
      </c>
      <c r="I113" s="171">
        <v>166180.85999999999</v>
      </c>
      <c r="J113" s="171">
        <v>167617.04</v>
      </c>
      <c r="K113" s="171">
        <v>189840.93</v>
      </c>
      <c r="L113" s="171">
        <v>212236</v>
      </c>
      <c r="M113" s="171">
        <v>190231.28</v>
      </c>
      <c r="N113" s="171">
        <v>253502.47</v>
      </c>
      <c r="O113" s="171">
        <v>320763.87</v>
      </c>
      <c r="P113" s="171">
        <v>263633.78000000003</v>
      </c>
      <c r="Q113" s="171">
        <f t="shared" si="10"/>
        <v>2515806.09</v>
      </c>
      <c r="R113" s="541"/>
    </row>
    <row r="114" spans="2:18" x14ac:dyDescent="0.25">
      <c r="B114" s="167" t="s">
        <v>47</v>
      </c>
      <c r="E114" s="171"/>
      <c r="F114" s="171"/>
      <c r="G114" s="171"/>
      <c r="H114" s="171"/>
      <c r="I114" s="171"/>
      <c r="J114" s="171"/>
      <c r="K114" s="171"/>
      <c r="L114" s="171"/>
      <c r="M114" s="171"/>
      <c r="N114" s="171">
        <v>0</v>
      </c>
      <c r="O114" s="171">
        <v>0</v>
      </c>
      <c r="P114" s="171">
        <v>0</v>
      </c>
      <c r="Q114" s="171">
        <f t="shared" si="10"/>
        <v>0</v>
      </c>
      <c r="R114" s="541"/>
    </row>
    <row r="115" spans="2:18" x14ac:dyDescent="0.25">
      <c r="B115" s="167" t="s">
        <v>48</v>
      </c>
      <c r="E115" s="171"/>
      <c r="F115" s="171"/>
      <c r="G115" s="171"/>
      <c r="H115" s="171"/>
      <c r="I115" s="171"/>
      <c r="J115" s="171"/>
      <c r="K115" s="171"/>
      <c r="L115" s="171"/>
      <c r="M115" s="171"/>
      <c r="N115" s="171">
        <v>0</v>
      </c>
      <c r="O115" s="171">
        <v>0</v>
      </c>
      <c r="P115" s="171">
        <v>0</v>
      </c>
      <c r="Q115" s="171">
        <f t="shared" ref="Q115:Q119" si="11">SUM(E115:P115)</f>
        <v>0</v>
      </c>
      <c r="R115" s="541"/>
    </row>
    <row r="116" spans="2:18" x14ac:dyDescent="0.25">
      <c r="B116" s="167" t="s">
        <v>49</v>
      </c>
      <c r="E116" s="171">
        <v>-14586.86</v>
      </c>
      <c r="F116" s="171">
        <v>-19348.759999999998</v>
      </c>
      <c r="G116" s="171">
        <v>-16470.099999999999</v>
      </c>
      <c r="H116" s="171">
        <v>-25332.91</v>
      </c>
      <c r="I116" s="171">
        <v>-23752.29</v>
      </c>
      <c r="J116" s="171">
        <v>-21053.38</v>
      </c>
      <c r="K116" s="171">
        <v>-27015.77</v>
      </c>
      <c r="L116" s="171">
        <v>-26775.25</v>
      </c>
      <c r="M116" s="171">
        <v>-25925.77</v>
      </c>
      <c r="N116" s="171">
        <v>-38073.53</v>
      </c>
      <c r="O116" s="171">
        <v>-36062.339999999997</v>
      </c>
      <c r="P116" s="171">
        <v>-16919</v>
      </c>
      <c r="Q116" s="171">
        <f t="shared" si="11"/>
        <v>-291315.95999999996</v>
      </c>
      <c r="R116" s="541"/>
    </row>
    <row r="117" spans="2:18" x14ac:dyDescent="0.25">
      <c r="B117" s="167" t="s">
        <v>191</v>
      </c>
      <c r="E117" s="171">
        <v>16316.08</v>
      </c>
      <c r="F117" s="171">
        <v>16070.13</v>
      </c>
      <c r="G117" s="171">
        <v>16981.28</v>
      </c>
      <c r="H117" s="171">
        <v>16715.12</v>
      </c>
      <c r="I117" s="171">
        <v>13195.64</v>
      </c>
      <c r="J117" s="171">
        <v>13559.47</v>
      </c>
      <c r="K117" s="171">
        <v>15539.21</v>
      </c>
      <c r="L117" s="171">
        <v>17295.03</v>
      </c>
      <c r="M117" s="171">
        <v>15313.18</v>
      </c>
      <c r="N117" s="171">
        <v>20374.509999999998</v>
      </c>
      <c r="O117" s="171">
        <v>17913.14</v>
      </c>
      <c r="P117" s="171">
        <v>6705.89</v>
      </c>
      <c r="Q117" s="171">
        <f t="shared" si="11"/>
        <v>185978.68</v>
      </c>
      <c r="R117" s="541"/>
    </row>
    <row r="118" spans="2:18" x14ac:dyDescent="0.25">
      <c r="B118" s="167" t="s">
        <v>78</v>
      </c>
      <c r="E118" s="171"/>
      <c r="F118" s="171"/>
      <c r="G118" s="171"/>
      <c r="H118" s="171"/>
      <c r="I118" s="171"/>
      <c r="J118" s="171"/>
      <c r="K118" s="171"/>
      <c r="L118" s="171"/>
      <c r="M118" s="171"/>
      <c r="N118" s="171">
        <v>0</v>
      </c>
      <c r="O118" s="171">
        <v>0</v>
      </c>
      <c r="P118" s="171">
        <v>0</v>
      </c>
      <c r="Q118" s="171">
        <f t="shared" si="11"/>
        <v>0</v>
      </c>
      <c r="R118" s="541"/>
    </row>
    <row r="119" spans="2:18" x14ac:dyDescent="0.25">
      <c r="B119" s="167" t="s">
        <v>13</v>
      </c>
      <c r="E119" s="171"/>
      <c r="F119" s="171"/>
      <c r="G119" s="171"/>
      <c r="H119" s="171"/>
      <c r="I119" s="171"/>
      <c r="J119" s="171"/>
      <c r="K119" s="171"/>
      <c r="L119" s="171"/>
      <c r="M119" s="171"/>
      <c r="N119" s="171">
        <v>0</v>
      </c>
      <c r="O119" s="171">
        <v>0</v>
      </c>
      <c r="P119" s="171">
        <v>0</v>
      </c>
      <c r="Q119" s="171">
        <f t="shared" si="11"/>
        <v>0</v>
      </c>
      <c r="R119" s="541"/>
    </row>
    <row r="120" spans="2:18" x14ac:dyDescent="0.25">
      <c r="B120" s="167" t="s">
        <v>53</v>
      </c>
      <c r="E120" s="171"/>
      <c r="F120" s="171"/>
      <c r="G120" s="171"/>
      <c r="H120" s="171"/>
      <c r="I120" s="171"/>
      <c r="J120" s="171"/>
      <c r="K120" s="171"/>
      <c r="L120" s="171"/>
      <c r="M120" s="171"/>
      <c r="N120" s="171">
        <v>0</v>
      </c>
      <c r="O120" s="171">
        <v>0</v>
      </c>
      <c r="P120" s="171">
        <v>0</v>
      </c>
      <c r="Q120" s="171">
        <f t="shared" si="10"/>
        <v>0</v>
      </c>
      <c r="R120" s="541"/>
    </row>
    <row r="121" spans="2:18" x14ac:dyDescent="0.25">
      <c r="B121" s="167" t="s">
        <v>54</v>
      </c>
      <c r="E121" s="171"/>
      <c r="F121" s="171"/>
      <c r="G121" s="171"/>
      <c r="H121" s="171"/>
      <c r="I121" s="171"/>
      <c r="J121" s="171"/>
      <c r="K121" s="171"/>
      <c r="L121" s="171"/>
      <c r="M121" s="171"/>
      <c r="N121" s="171">
        <v>0</v>
      </c>
      <c r="O121" s="171">
        <v>0</v>
      </c>
      <c r="P121" s="171">
        <v>0</v>
      </c>
      <c r="Q121" s="171">
        <f t="shared" si="8"/>
        <v>0</v>
      </c>
      <c r="R121" s="541"/>
    </row>
    <row r="122" spans="2:18" x14ac:dyDescent="0.25">
      <c r="B122" s="167" t="s">
        <v>30</v>
      </c>
      <c r="E122" s="171">
        <f t="shared" ref="E122:M122" si="12">SUM(E113:E121)</f>
        <v>185942.69999999998</v>
      </c>
      <c r="F122" s="171">
        <f t="shared" si="12"/>
        <v>178229.09</v>
      </c>
      <c r="G122" s="171">
        <f t="shared" si="12"/>
        <v>192279.66999999998</v>
      </c>
      <c r="H122" s="171">
        <f t="shared" si="12"/>
        <v>185692.38</v>
      </c>
      <c r="I122" s="171">
        <f t="shared" si="12"/>
        <v>155624.20999999996</v>
      </c>
      <c r="J122" s="171">
        <f t="shared" si="12"/>
        <v>160123.13</v>
      </c>
      <c r="K122" s="171">
        <f t="shared" si="12"/>
        <v>178364.37</v>
      </c>
      <c r="L122" s="171">
        <f t="shared" si="12"/>
        <v>202755.78</v>
      </c>
      <c r="M122" s="171">
        <f t="shared" si="12"/>
        <v>179618.69</v>
      </c>
      <c r="N122" s="171">
        <f>SUM(N113:N121)</f>
        <v>235803.45</v>
      </c>
      <c r="O122" s="171">
        <f>SUM(O113:O121)</f>
        <v>302614.67000000004</v>
      </c>
      <c r="P122" s="171">
        <f>SUM(P113:P121)</f>
        <v>253420.67000000004</v>
      </c>
      <c r="Q122" s="171">
        <f t="shared" ref="Q122" si="13">SUM(E122:P122)</f>
        <v>2410468.8099999996</v>
      </c>
      <c r="R122" s="541"/>
    </row>
    <row r="123" spans="2:18" x14ac:dyDescent="0.25">
      <c r="B123" s="542" t="s">
        <v>45</v>
      </c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>
        <f t="shared" ref="Q123" si="14">SUM(E123:P123)</f>
        <v>0</v>
      </c>
      <c r="R123" s="541"/>
    </row>
    <row r="124" spans="2:18" x14ac:dyDescent="0.25">
      <c r="B124" s="542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>
        <f t="shared" si="8"/>
        <v>0</v>
      </c>
      <c r="R124" s="541"/>
    </row>
    <row r="125" spans="2:18" x14ac:dyDescent="0.25">
      <c r="B125" s="540" t="s">
        <v>176</v>
      </c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1">
        <f t="shared" si="8"/>
        <v>0</v>
      </c>
      <c r="R125" s="541"/>
    </row>
    <row r="126" spans="2:18" x14ac:dyDescent="0.25">
      <c r="B126" s="167" t="s">
        <v>31</v>
      </c>
      <c r="C126" s="538" t="s">
        <v>35</v>
      </c>
      <c r="D126" s="538">
        <v>69</v>
      </c>
      <c r="E126" s="171">
        <v>4915</v>
      </c>
      <c r="F126" s="171">
        <v>4626</v>
      </c>
      <c r="G126" s="171">
        <v>5486</v>
      </c>
      <c r="H126" s="171">
        <v>3527</v>
      </c>
      <c r="I126" s="171">
        <v>2258</v>
      </c>
      <c r="J126" s="171">
        <v>645</v>
      </c>
      <c r="K126" s="171">
        <v>367</v>
      </c>
      <c r="L126" s="171">
        <v>155</v>
      </c>
      <c r="M126" s="171">
        <v>138</v>
      </c>
      <c r="N126" s="171">
        <v>619</v>
      </c>
      <c r="O126" s="171">
        <v>2955</v>
      </c>
      <c r="P126" s="171">
        <v>3958</v>
      </c>
      <c r="Q126" s="171">
        <f t="shared" si="8"/>
        <v>29649</v>
      </c>
      <c r="R126" s="541"/>
    </row>
    <row r="127" spans="2:18" x14ac:dyDescent="0.25">
      <c r="B127" s="167" t="s">
        <v>36</v>
      </c>
      <c r="C127" s="538" t="s">
        <v>37</v>
      </c>
      <c r="D127" s="538">
        <v>69</v>
      </c>
      <c r="E127" s="171">
        <v>0</v>
      </c>
      <c r="F127" s="171">
        <v>0</v>
      </c>
      <c r="G127" s="171">
        <v>0</v>
      </c>
      <c r="H127" s="171">
        <v>0</v>
      </c>
      <c r="I127" s="171">
        <v>0</v>
      </c>
      <c r="J127" s="171">
        <v>0</v>
      </c>
      <c r="K127" s="171">
        <v>0</v>
      </c>
      <c r="L127" s="171">
        <v>0</v>
      </c>
      <c r="M127" s="171">
        <v>0</v>
      </c>
      <c r="N127" s="171">
        <v>0</v>
      </c>
      <c r="O127" s="171">
        <v>0</v>
      </c>
      <c r="P127" s="171">
        <v>0</v>
      </c>
      <c r="Q127" s="171">
        <f t="shared" si="8"/>
        <v>0</v>
      </c>
      <c r="R127" s="541"/>
    </row>
    <row r="128" spans="2:18" x14ac:dyDescent="0.25">
      <c r="B128" s="167" t="s">
        <v>38</v>
      </c>
      <c r="C128" s="538" t="s">
        <v>39</v>
      </c>
      <c r="D128" s="538">
        <v>69</v>
      </c>
      <c r="E128" s="171">
        <v>0</v>
      </c>
      <c r="F128" s="171">
        <v>0</v>
      </c>
      <c r="G128" s="171">
        <v>0</v>
      </c>
      <c r="H128" s="171">
        <v>0</v>
      </c>
      <c r="I128" s="171">
        <v>0</v>
      </c>
      <c r="J128" s="171">
        <v>0</v>
      </c>
      <c r="K128" s="171">
        <v>0</v>
      </c>
      <c r="L128" s="171">
        <v>0</v>
      </c>
      <c r="M128" s="171">
        <v>0</v>
      </c>
      <c r="N128" s="171">
        <v>0</v>
      </c>
      <c r="O128" s="171">
        <v>0</v>
      </c>
      <c r="P128" s="171">
        <v>0</v>
      </c>
      <c r="Q128" s="171">
        <f t="shared" si="8"/>
        <v>0</v>
      </c>
      <c r="R128" s="541"/>
    </row>
    <row r="129" spans="2:18" x14ac:dyDescent="0.25">
      <c r="B129" s="167" t="s">
        <v>40</v>
      </c>
      <c r="C129" s="538" t="s">
        <v>41</v>
      </c>
      <c r="D129" s="538">
        <v>69</v>
      </c>
      <c r="E129" s="171">
        <v>4915</v>
      </c>
      <c r="F129" s="171">
        <v>4626</v>
      </c>
      <c r="G129" s="171">
        <v>5486</v>
      </c>
      <c r="H129" s="171">
        <v>3527</v>
      </c>
      <c r="I129" s="171">
        <v>2258</v>
      </c>
      <c r="J129" s="171">
        <v>645</v>
      </c>
      <c r="K129" s="171">
        <v>367</v>
      </c>
      <c r="L129" s="171">
        <v>155</v>
      </c>
      <c r="M129" s="171">
        <v>138</v>
      </c>
      <c r="N129" s="171">
        <v>619</v>
      </c>
      <c r="O129" s="171">
        <v>2955</v>
      </c>
      <c r="P129" s="171">
        <v>3958</v>
      </c>
      <c r="Q129" s="171">
        <f t="shared" si="8"/>
        <v>29649</v>
      </c>
      <c r="R129" s="541"/>
    </row>
    <row r="130" spans="2:18" x14ac:dyDescent="0.25">
      <c r="B130" s="167" t="s">
        <v>42</v>
      </c>
      <c r="C130" s="538" t="s">
        <v>43</v>
      </c>
      <c r="D130" s="538">
        <v>69</v>
      </c>
      <c r="E130" s="171">
        <v>4626</v>
      </c>
      <c r="F130" s="171">
        <v>5486</v>
      </c>
      <c r="G130" s="171">
        <v>3527</v>
      </c>
      <c r="H130" s="171">
        <v>2258</v>
      </c>
      <c r="I130" s="171">
        <v>645</v>
      </c>
      <c r="J130" s="171">
        <v>367</v>
      </c>
      <c r="K130" s="171">
        <v>155</v>
      </c>
      <c r="L130" s="171">
        <v>138</v>
      </c>
      <c r="M130" s="171">
        <v>619</v>
      </c>
      <c r="N130" s="171">
        <v>2955</v>
      </c>
      <c r="O130" s="171">
        <v>3958</v>
      </c>
      <c r="P130" s="171">
        <v>4552</v>
      </c>
      <c r="Q130" s="171">
        <f t="shared" si="8"/>
        <v>29286</v>
      </c>
      <c r="R130" s="541"/>
    </row>
    <row r="131" spans="2:18" x14ac:dyDescent="0.25">
      <c r="B131" s="167" t="s">
        <v>33</v>
      </c>
      <c r="C131" s="538" t="s">
        <v>44</v>
      </c>
      <c r="D131" s="538">
        <v>69</v>
      </c>
      <c r="E131" s="171">
        <v>4626</v>
      </c>
      <c r="F131" s="171">
        <v>5486</v>
      </c>
      <c r="G131" s="171">
        <v>3527</v>
      </c>
      <c r="H131" s="171">
        <v>2258</v>
      </c>
      <c r="I131" s="171">
        <v>645</v>
      </c>
      <c r="J131" s="171">
        <v>367</v>
      </c>
      <c r="K131" s="171">
        <v>155</v>
      </c>
      <c r="L131" s="171">
        <v>138</v>
      </c>
      <c r="M131" s="171">
        <v>619</v>
      </c>
      <c r="N131" s="171">
        <v>2955</v>
      </c>
      <c r="O131" s="171">
        <v>3958</v>
      </c>
      <c r="P131" s="171">
        <v>4552</v>
      </c>
      <c r="Q131" s="171">
        <f t="shared" si="8"/>
        <v>29286</v>
      </c>
      <c r="R131" s="541"/>
    </row>
    <row r="132" spans="2:18" x14ac:dyDescent="0.25">
      <c r="B132" s="542" t="s">
        <v>45</v>
      </c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>
        <f t="shared" si="8"/>
        <v>0</v>
      </c>
      <c r="R132" s="541"/>
    </row>
    <row r="133" spans="2:18" x14ac:dyDescent="0.25">
      <c r="B133" s="167" t="s">
        <v>46</v>
      </c>
      <c r="C133" s="538" t="s">
        <v>35</v>
      </c>
      <c r="D133" s="538">
        <v>113</v>
      </c>
      <c r="E133" s="171">
        <v>3496.4</v>
      </c>
      <c r="F133" s="171">
        <v>3291.63</v>
      </c>
      <c r="G133" s="171">
        <v>3900.98</v>
      </c>
      <c r="H133" s="171">
        <v>2512.89</v>
      </c>
      <c r="I133" s="171">
        <v>1796.01</v>
      </c>
      <c r="J133" s="171">
        <v>522.88</v>
      </c>
      <c r="K133" s="171">
        <v>303.45999999999998</v>
      </c>
      <c r="L133" s="171">
        <v>136.11000000000001</v>
      </c>
      <c r="M133" s="171">
        <v>122.71</v>
      </c>
      <c r="N133" s="171">
        <v>502.37</v>
      </c>
      <c r="O133" s="171">
        <v>2346.13</v>
      </c>
      <c r="P133" s="171">
        <v>3511.89</v>
      </c>
      <c r="Q133" s="171">
        <f t="shared" si="8"/>
        <v>22443.46</v>
      </c>
      <c r="R133" s="541"/>
    </row>
    <row r="134" spans="2:18" x14ac:dyDescent="0.25">
      <c r="B134" s="167" t="s">
        <v>47</v>
      </c>
      <c r="C134" s="538" t="s">
        <v>37</v>
      </c>
      <c r="D134" s="538">
        <v>113</v>
      </c>
      <c r="E134" s="171">
        <v>0</v>
      </c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f t="shared" si="8"/>
        <v>0</v>
      </c>
      <c r="R134" s="541"/>
    </row>
    <row r="135" spans="2:18" x14ac:dyDescent="0.25">
      <c r="B135" s="167" t="s">
        <v>48</v>
      </c>
      <c r="C135" s="538" t="s">
        <v>39</v>
      </c>
      <c r="D135" s="538">
        <v>113</v>
      </c>
      <c r="E135" s="171">
        <v>0</v>
      </c>
      <c r="F135" s="171">
        <v>0</v>
      </c>
      <c r="G135" s="171">
        <v>0</v>
      </c>
      <c r="H135" s="171">
        <v>0</v>
      </c>
      <c r="I135" s="171">
        <v>0</v>
      </c>
      <c r="J135" s="171">
        <v>0</v>
      </c>
      <c r="K135" s="171">
        <v>0</v>
      </c>
      <c r="L135" s="171">
        <v>0</v>
      </c>
      <c r="M135" s="171">
        <v>0</v>
      </c>
      <c r="N135" s="171">
        <v>0</v>
      </c>
      <c r="O135" s="171">
        <v>0</v>
      </c>
      <c r="P135" s="171">
        <v>0</v>
      </c>
      <c r="Q135" s="171">
        <f t="shared" si="8"/>
        <v>0</v>
      </c>
      <c r="R135" s="541"/>
    </row>
    <row r="136" spans="2:18" x14ac:dyDescent="0.25">
      <c r="B136" s="167" t="s">
        <v>49</v>
      </c>
      <c r="C136" s="538" t="s">
        <v>50</v>
      </c>
      <c r="D136" s="538">
        <v>113</v>
      </c>
      <c r="E136" s="171">
        <v>-942.9</v>
      </c>
      <c r="F136" s="171">
        <v>-1175.6400000000001</v>
      </c>
      <c r="G136" s="171">
        <v>-737.9</v>
      </c>
      <c r="H136" s="171">
        <v>-474.31</v>
      </c>
      <c r="I136" s="171">
        <v>-118.05</v>
      </c>
      <c r="J136" s="171">
        <v>-61.08</v>
      </c>
      <c r="K136" s="171">
        <v>-11.42</v>
      </c>
      <c r="L136" s="171">
        <v>-10.34</v>
      </c>
      <c r="M136" s="171">
        <v>-111.2</v>
      </c>
      <c r="N136" s="171">
        <v>-624.46</v>
      </c>
      <c r="O136" s="171">
        <v>-826.12</v>
      </c>
      <c r="P136" s="171">
        <v>-926.42</v>
      </c>
      <c r="Q136" s="171">
        <f t="shared" si="8"/>
        <v>-6019.84</v>
      </c>
      <c r="R136" s="541"/>
    </row>
    <row r="137" spans="2:18" x14ac:dyDescent="0.25">
      <c r="B137" s="167" t="s">
        <v>191</v>
      </c>
      <c r="C137" s="538" t="s">
        <v>51</v>
      </c>
      <c r="D137" s="538">
        <v>113</v>
      </c>
      <c r="E137" s="171">
        <v>127.98</v>
      </c>
      <c r="F137" s="171">
        <v>154.93</v>
      </c>
      <c r="G137" s="171">
        <v>93.03</v>
      </c>
      <c r="H137" s="171">
        <v>59.52</v>
      </c>
      <c r="I137" s="171">
        <v>13.72</v>
      </c>
      <c r="J137" s="171">
        <v>9.49</v>
      </c>
      <c r="K137" s="171">
        <v>3.76</v>
      </c>
      <c r="L137" s="171">
        <v>3.79</v>
      </c>
      <c r="M137" s="171">
        <v>18.489999999999998</v>
      </c>
      <c r="N137" s="171">
        <v>88.36</v>
      </c>
      <c r="O137" s="171">
        <v>-10.95</v>
      </c>
      <c r="P137" s="171">
        <v>-13.86</v>
      </c>
      <c r="Q137" s="171">
        <f t="shared" si="8"/>
        <v>548.26</v>
      </c>
      <c r="R137" s="541"/>
    </row>
    <row r="138" spans="2:18" x14ac:dyDescent="0.25">
      <c r="B138" s="167" t="s">
        <v>78</v>
      </c>
      <c r="C138" s="538" t="s">
        <v>77</v>
      </c>
      <c r="D138" s="538">
        <v>113</v>
      </c>
      <c r="Q138" s="171">
        <f t="shared" si="8"/>
        <v>0</v>
      </c>
      <c r="R138" s="541"/>
    </row>
    <row r="139" spans="2:18" x14ac:dyDescent="0.25">
      <c r="B139" s="167" t="s">
        <v>13</v>
      </c>
      <c r="C139" s="538" t="s">
        <v>52</v>
      </c>
      <c r="D139" s="538">
        <v>113</v>
      </c>
      <c r="Q139" s="171">
        <f t="shared" si="8"/>
        <v>0</v>
      </c>
      <c r="R139" s="541"/>
    </row>
    <row r="140" spans="2:18" x14ac:dyDescent="0.25">
      <c r="B140" s="167" t="s">
        <v>53</v>
      </c>
      <c r="C140" s="538" t="s">
        <v>41</v>
      </c>
      <c r="D140" s="538">
        <v>113</v>
      </c>
      <c r="E140" s="171">
        <v>3482.9300000000003</v>
      </c>
      <c r="F140" s="171">
        <v>3278.9500000000003</v>
      </c>
      <c r="G140" s="171">
        <v>3885.95</v>
      </c>
      <c r="H140" s="171">
        <v>2503.23</v>
      </c>
      <c r="I140" s="171">
        <v>1789.82</v>
      </c>
      <c r="J140" s="171">
        <v>521.11</v>
      </c>
      <c r="K140" s="171">
        <v>302.45</v>
      </c>
      <c r="L140" s="171">
        <v>135.69000000000003</v>
      </c>
      <c r="M140" s="171">
        <v>122.33</v>
      </c>
      <c r="N140" s="171">
        <v>500.67</v>
      </c>
      <c r="O140" s="171">
        <v>2338.0300000000002</v>
      </c>
      <c r="P140" s="171">
        <v>3501.24</v>
      </c>
      <c r="Q140" s="171">
        <f>-SUM(E140:P140)</f>
        <v>-22362.400000000001</v>
      </c>
      <c r="R140" s="541"/>
    </row>
    <row r="141" spans="2:18" x14ac:dyDescent="0.25">
      <c r="B141" s="167" t="s">
        <v>54</v>
      </c>
      <c r="C141" s="538" t="s">
        <v>43</v>
      </c>
      <c r="D141" s="538">
        <v>113</v>
      </c>
      <c r="E141" s="171">
        <v>3278.9500000000003</v>
      </c>
      <c r="F141" s="171">
        <v>3885.95</v>
      </c>
      <c r="G141" s="171">
        <v>2503.23</v>
      </c>
      <c r="H141" s="171">
        <v>1789.82</v>
      </c>
      <c r="I141" s="171">
        <v>521.11</v>
      </c>
      <c r="J141" s="171">
        <v>302.45</v>
      </c>
      <c r="K141" s="171">
        <v>135.69000000000003</v>
      </c>
      <c r="L141" s="171">
        <v>122.33</v>
      </c>
      <c r="M141" s="171">
        <v>500.67</v>
      </c>
      <c r="N141" s="171">
        <v>2338.0300000000002</v>
      </c>
      <c r="O141" s="171">
        <v>3501.24</v>
      </c>
      <c r="P141" s="171">
        <v>4024.61</v>
      </c>
      <c r="Q141" s="171">
        <f t="shared" si="8"/>
        <v>22904.080000000002</v>
      </c>
      <c r="R141" s="541"/>
    </row>
    <row r="142" spans="2:18" x14ac:dyDescent="0.25">
      <c r="B142" s="167" t="s">
        <v>30</v>
      </c>
      <c r="C142" s="538" t="s">
        <v>44</v>
      </c>
      <c r="D142" s="538">
        <v>113</v>
      </c>
      <c r="E142" s="171">
        <v>2477.5</v>
      </c>
      <c r="F142" s="171">
        <v>2877.9199999999992</v>
      </c>
      <c r="G142" s="171">
        <v>1873.3900000000003</v>
      </c>
      <c r="H142" s="171">
        <v>1384.6899999999998</v>
      </c>
      <c r="I142" s="171">
        <v>422.97000000000014</v>
      </c>
      <c r="J142" s="171">
        <v>252.63</v>
      </c>
      <c r="K142" s="171">
        <v>129.04</v>
      </c>
      <c r="L142" s="171">
        <v>116.19999999999997</v>
      </c>
      <c r="M142" s="171">
        <v>408.34000000000003</v>
      </c>
      <c r="N142" s="171">
        <v>1803.63</v>
      </c>
      <c r="O142" s="171">
        <v>2672.2699999999995</v>
      </c>
      <c r="P142" s="171">
        <v>3094.98</v>
      </c>
      <c r="Q142" s="171">
        <f t="shared" si="8"/>
        <v>17513.560000000001</v>
      </c>
      <c r="R142" s="541"/>
    </row>
    <row r="143" spans="2:18" x14ac:dyDescent="0.25">
      <c r="B143" s="542" t="s">
        <v>45</v>
      </c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>
        <f t="shared" si="8"/>
        <v>0</v>
      </c>
      <c r="R143" s="541"/>
    </row>
    <row r="144" spans="2:18" x14ac:dyDescent="0.25">
      <c r="B144" s="542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>
        <f t="shared" si="8"/>
        <v>0</v>
      </c>
      <c r="R144" s="541"/>
    </row>
    <row r="145" spans="2:18" x14ac:dyDescent="0.25">
      <c r="B145" s="540" t="s">
        <v>175</v>
      </c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1">
        <f t="shared" si="8"/>
        <v>0</v>
      </c>
      <c r="R145" s="541"/>
    </row>
    <row r="146" spans="2:18" x14ac:dyDescent="0.25">
      <c r="B146" s="167" t="s">
        <v>31</v>
      </c>
      <c r="C146" s="538" t="s">
        <v>35</v>
      </c>
      <c r="D146" s="538">
        <v>75</v>
      </c>
      <c r="E146" s="171">
        <v>79</v>
      </c>
      <c r="F146" s="171">
        <v>7</v>
      </c>
      <c r="G146" s="171">
        <v>0</v>
      </c>
      <c r="H146" s="171">
        <v>0</v>
      </c>
      <c r="I146" s="171">
        <v>128</v>
      </c>
      <c r="J146" s="171">
        <v>151</v>
      </c>
      <c r="K146" s="171">
        <v>0</v>
      </c>
      <c r="L146" s="171">
        <v>163</v>
      </c>
      <c r="M146" s="171">
        <v>0</v>
      </c>
      <c r="N146" s="171">
        <v>0</v>
      </c>
      <c r="O146" s="171">
        <v>0</v>
      </c>
      <c r="P146" s="171">
        <v>0</v>
      </c>
      <c r="Q146" s="171">
        <f t="shared" si="8"/>
        <v>528</v>
      </c>
      <c r="R146" s="541"/>
    </row>
    <row r="147" spans="2:18" x14ac:dyDescent="0.25">
      <c r="B147" s="167" t="s">
        <v>36</v>
      </c>
      <c r="C147" s="538" t="s">
        <v>37</v>
      </c>
      <c r="D147" s="538">
        <v>75</v>
      </c>
      <c r="E147" s="171">
        <v>0</v>
      </c>
      <c r="F147" s="171">
        <v>0</v>
      </c>
      <c r="G147" s="171">
        <v>0</v>
      </c>
      <c r="H147" s="171">
        <v>0</v>
      </c>
      <c r="I147" s="171">
        <v>0</v>
      </c>
      <c r="J147" s="171">
        <v>0</v>
      </c>
      <c r="K147" s="171">
        <v>0</v>
      </c>
      <c r="L147" s="171">
        <v>0</v>
      </c>
      <c r="M147" s="171">
        <v>0</v>
      </c>
      <c r="N147" s="171">
        <v>0</v>
      </c>
      <c r="O147" s="171">
        <v>0</v>
      </c>
      <c r="P147" s="171">
        <v>0</v>
      </c>
      <c r="Q147" s="171">
        <f t="shared" si="8"/>
        <v>0</v>
      </c>
      <c r="R147" s="541"/>
    </row>
    <row r="148" spans="2:18" x14ac:dyDescent="0.25">
      <c r="B148" s="167" t="s">
        <v>38</v>
      </c>
      <c r="C148" s="538" t="s">
        <v>39</v>
      </c>
      <c r="D148" s="538">
        <v>75</v>
      </c>
      <c r="E148" s="171">
        <v>0</v>
      </c>
      <c r="F148" s="171">
        <v>0</v>
      </c>
      <c r="G148" s="171">
        <v>0</v>
      </c>
      <c r="H148" s="188">
        <v>0</v>
      </c>
      <c r="I148" s="188">
        <v>0</v>
      </c>
      <c r="J148" s="188">
        <v>0</v>
      </c>
      <c r="K148" s="188">
        <v>0</v>
      </c>
      <c r="L148" s="188">
        <v>0</v>
      </c>
      <c r="M148" s="188">
        <v>0</v>
      </c>
      <c r="N148" s="188">
        <v>0</v>
      </c>
      <c r="O148" s="188">
        <v>0</v>
      </c>
      <c r="P148" s="188">
        <v>0</v>
      </c>
      <c r="Q148" s="171">
        <f t="shared" si="8"/>
        <v>0</v>
      </c>
      <c r="R148" s="541"/>
    </row>
    <row r="149" spans="2:18" x14ac:dyDescent="0.25">
      <c r="B149" s="167" t="s">
        <v>40</v>
      </c>
      <c r="C149" s="538" t="s">
        <v>41</v>
      </c>
      <c r="D149" s="538">
        <v>75</v>
      </c>
      <c r="E149" s="171">
        <v>79</v>
      </c>
      <c r="F149" s="171">
        <v>7</v>
      </c>
      <c r="G149" s="171">
        <v>0</v>
      </c>
      <c r="H149" s="188">
        <v>0</v>
      </c>
      <c r="I149" s="188">
        <v>128</v>
      </c>
      <c r="J149" s="188">
        <v>151</v>
      </c>
      <c r="K149" s="188">
        <v>0</v>
      </c>
      <c r="L149" s="188">
        <v>163</v>
      </c>
      <c r="M149" s="188">
        <v>0</v>
      </c>
      <c r="N149" s="188">
        <v>0</v>
      </c>
      <c r="O149" s="188">
        <v>0</v>
      </c>
      <c r="P149" s="188">
        <v>0</v>
      </c>
      <c r="Q149" s="171">
        <f t="shared" si="8"/>
        <v>528</v>
      </c>
      <c r="R149" s="541"/>
    </row>
    <row r="150" spans="2:18" x14ac:dyDescent="0.25">
      <c r="B150" s="167" t="s">
        <v>42</v>
      </c>
      <c r="C150" s="538" t="s">
        <v>43</v>
      </c>
      <c r="D150" s="538">
        <v>75</v>
      </c>
      <c r="E150" s="171">
        <v>7</v>
      </c>
      <c r="F150" s="171">
        <v>0</v>
      </c>
      <c r="G150" s="171">
        <v>0</v>
      </c>
      <c r="H150" s="188">
        <v>128</v>
      </c>
      <c r="I150" s="188">
        <v>151</v>
      </c>
      <c r="J150" s="188">
        <v>0</v>
      </c>
      <c r="K150" s="188">
        <v>163</v>
      </c>
      <c r="L150" s="188">
        <v>0</v>
      </c>
      <c r="M150" s="188">
        <v>411</v>
      </c>
      <c r="N150" s="188">
        <v>0</v>
      </c>
      <c r="O150" s="188">
        <v>0</v>
      </c>
      <c r="P150" s="188">
        <v>0</v>
      </c>
      <c r="Q150" s="171">
        <f t="shared" si="8"/>
        <v>860</v>
      </c>
      <c r="R150" s="541"/>
    </row>
    <row r="151" spans="2:18" x14ac:dyDescent="0.25">
      <c r="B151" s="167" t="s">
        <v>33</v>
      </c>
      <c r="C151" s="538" t="s">
        <v>44</v>
      </c>
      <c r="D151" s="538">
        <v>75</v>
      </c>
      <c r="E151" s="171">
        <v>7</v>
      </c>
      <c r="F151" s="171">
        <v>0</v>
      </c>
      <c r="G151" s="171">
        <v>0</v>
      </c>
      <c r="H151" s="188">
        <v>128</v>
      </c>
      <c r="I151" s="188">
        <v>151</v>
      </c>
      <c r="J151" s="188">
        <v>0</v>
      </c>
      <c r="K151" s="188">
        <v>163</v>
      </c>
      <c r="L151" s="188">
        <v>0</v>
      </c>
      <c r="M151" s="188">
        <v>411</v>
      </c>
      <c r="N151" s="188">
        <v>0</v>
      </c>
      <c r="O151" s="188">
        <v>0</v>
      </c>
      <c r="P151" s="188">
        <v>0</v>
      </c>
      <c r="Q151" s="171">
        <f t="shared" si="8"/>
        <v>860</v>
      </c>
      <c r="R151" s="541"/>
    </row>
    <row r="152" spans="2:18" x14ac:dyDescent="0.25">
      <c r="B152" s="542" t="s">
        <v>45</v>
      </c>
      <c r="E152" s="171"/>
      <c r="F152" s="171"/>
      <c r="G152" s="171"/>
      <c r="H152" s="188"/>
      <c r="I152" s="188"/>
      <c r="J152" s="188"/>
      <c r="K152" s="188"/>
      <c r="L152" s="188"/>
      <c r="M152" s="188"/>
      <c r="N152" s="188"/>
      <c r="O152" s="188"/>
      <c r="P152" s="188"/>
      <c r="Q152" s="171">
        <f t="shared" si="8"/>
        <v>0</v>
      </c>
      <c r="R152" s="541"/>
    </row>
    <row r="153" spans="2:18" x14ac:dyDescent="0.25">
      <c r="B153" s="167" t="s">
        <v>46</v>
      </c>
      <c r="C153" s="538" t="s">
        <v>35</v>
      </c>
      <c r="D153" s="538">
        <v>110</v>
      </c>
      <c r="E153" s="171">
        <v>110.31</v>
      </c>
      <c r="F153" s="171">
        <v>64.459999999999994</v>
      </c>
      <c r="G153" s="171">
        <v>60</v>
      </c>
      <c r="H153" s="188">
        <v>60</v>
      </c>
      <c r="I153" s="188">
        <v>151.29</v>
      </c>
      <c r="J153" s="188">
        <v>167.68</v>
      </c>
      <c r="K153" s="188">
        <v>60</v>
      </c>
      <c r="L153" s="188">
        <v>176.24</v>
      </c>
      <c r="M153" s="188">
        <v>60</v>
      </c>
      <c r="N153" s="188">
        <v>353.09</v>
      </c>
      <c r="O153" s="188">
        <v>286.06</v>
      </c>
      <c r="P153" s="188">
        <v>433.68</v>
      </c>
      <c r="Q153" s="171">
        <f t="shared" si="8"/>
        <v>1982.81</v>
      </c>
      <c r="R153" s="541"/>
    </row>
    <row r="154" spans="2:18" x14ac:dyDescent="0.25">
      <c r="B154" s="167" t="s">
        <v>47</v>
      </c>
      <c r="C154" s="538" t="s">
        <v>37</v>
      </c>
      <c r="D154" s="538">
        <v>110</v>
      </c>
      <c r="E154" s="171">
        <v>0</v>
      </c>
      <c r="F154" s="171">
        <v>0</v>
      </c>
      <c r="G154" s="171">
        <v>0</v>
      </c>
      <c r="H154" s="188">
        <v>0</v>
      </c>
      <c r="I154" s="188">
        <v>0</v>
      </c>
      <c r="J154" s="188">
        <v>0</v>
      </c>
      <c r="K154" s="188">
        <v>0</v>
      </c>
      <c r="L154" s="188">
        <v>0</v>
      </c>
      <c r="M154" s="188">
        <v>0</v>
      </c>
      <c r="N154" s="188">
        <v>0</v>
      </c>
      <c r="O154" s="188">
        <v>0</v>
      </c>
      <c r="P154" s="188">
        <v>0</v>
      </c>
      <c r="Q154" s="171">
        <f t="shared" si="8"/>
        <v>0</v>
      </c>
      <c r="R154" s="541"/>
    </row>
    <row r="155" spans="2:18" x14ac:dyDescent="0.25">
      <c r="B155" s="167" t="s">
        <v>48</v>
      </c>
      <c r="C155" s="538" t="s">
        <v>39</v>
      </c>
      <c r="D155" s="538">
        <v>110</v>
      </c>
      <c r="E155" s="171">
        <v>0</v>
      </c>
      <c r="F155" s="171">
        <v>0</v>
      </c>
      <c r="G155" s="171">
        <v>0</v>
      </c>
      <c r="H155" s="188">
        <v>0</v>
      </c>
      <c r="I155" s="188">
        <v>0</v>
      </c>
      <c r="J155" s="188">
        <v>0</v>
      </c>
      <c r="K155" s="188">
        <v>0</v>
      </c>
      <c r="L155" s="188">
        <v>0</v>
      </c>
      <c r="M155" s="188">
        <v>0</v>
      </c>
      <c r="N155" s="188">
        <v>0</v>
      </c>
      <c r="O155" s="188">
        <v>0</v>
      </c>
      <c r="P155" s="188">
        <v>0</v>
      </c>
      <c r="Q155" s="171">
        <f t="shared" si="8"/>
        <v>0</v>
      </c>
      <c r="R155" s="541"/>
    </row>
    <row r="156" spans="2:18" x14ac:dyDescent="0.25">
      <c r="B156" s="167" t="s">
        <v>49</v>
      </c>
      <c r="C156" s="538" t="s">
        <v>50</v>
      </c>
      <c r="D156" s="538">
        <v>110</v>
      </c>
      <c r="E156" s="171">
        <v>496.98</v>
      </c>
      <c r="F156" s="171">
        <v>423.12</v>
      </c>
      <c r="G156" s="171">
        <v>397.9</v>
      </c>
      <c r="H156" s="188">
        <v>266.26</v>
      </c>
      <c r="I156" s="188">
        <v>183.26</v>
      </c>
      <c r="J156" s="188">
        <v>189.53</v>
      </c>
      <c r="K156" s="188">
        <v>123.4</v>
      </c>
      <c r="L156" s="188">
        <v>161.43</v>
      </c>
      <c r="M156" s="188">
        <v>136.33000000000001</v>
      </c>
      <c r="N156" s="188">
        <v>374.05</v>
      </c>
      <c r="O156" s="188">
        <v>220.38</v>
      </c>
      <c r="P156" s="188">
        <v>383.84</v>
      </c>
      <c r="Q156" s="171">
        <f t="shared" si="8"/>
        <v>3356.48</v>
      </c>
      <c r="R156" s="541"/>
    </row>
    <row r="157" spans="2:18" x14ac:dyDescent="0.25">
      <c r="B157" s="167" t="s">
        <v>191</v>
      </c>
      <c r="C157" s="538" t="s">
        <v>51</v>
      </c>
      <c r="D157" s="538">
        <v>110</v>
      </c>
      <c r="E157" s="171">
        <v>-0.15</v>
      </c>
      <c r="F157" s="171">
        <v>-0.01</v>
      </c>
      <c r="G157" s="171">
        <v>0</v>
      </c>
      <c r="H157" s="188">
        <v>-0.41</v>
      </c>
      <c r="I157" s="188">
        <v>-0.69</v>
      </c>
      <c r="J157" s="188">
        <v>-0.24</v>
      </c>
      <c r="K157" s="188">
        <v>-0.52</v>
      </c>
      <c r="L157" s="188">
        <v>-0.26</v>
      </c>
      <c r="M157" s="188">
        <v>-1.32</v>
      </c>
      <c r="N157" s="188">
        <v>-1.69</v>
      </c>
      <c r="O157" s="188">
        <v>2.36</v>
      </c>
      <c r="P157" s="188">
        <v>0.74</v>
      </c>
      <c r="Q157" s="171">
        <f t="shared" si="8"/>
        <v>-2.1899999999999995</v>
      </c>
      <c r="R157" s="541"/>
    </row>
    <row r="158" spans="2:18" x14ac:dyDescent="0.25">
      <c r="B158" s="167" t="s">
        <v>78</v>
      </c>
      <c r="C158" s="538" t="s">
        <v>77</v>
      </c>
      <c r="D158" s="538">
        <v>110</v>
      </c>
      <c r="E158" s="171">
        <v>0</v>
      </c>
      <c r="F158" s="171">
        <v>0</v>
      </c>
      <c r="G158" s="171">
        <v>0</v>
      </c>
      <c r="H158" s="188">
        <v>0</v>
      </c>
      <c r="I158" s="188">
        <v>0</v>
      </c>
      <c r="J158" s="188">
        <v>0</v>
      </c>
      <c r="K158" s="188">
        <v>0</v>
      </c>
      <c r="L158" s="188">
        <v>0</v>
      </c>
      <c r="M158" s="188">
        <v>0</v>
      </c>
      <c r="N158" s="188">
        <v>0</v>
      </c>
      <c r="O158" s="188">
        <v>0</v>
      </c>
      <c r="P158" s="188">
        <v>0</v>
      </c>
      <c r="Q158" s="171">
        <f t="shared" si="8"/>
        <v>0</v>
      </c>
      <c r="R158" s="541"/>
    </row>
    <row r="159" spans="2:18" x14ac:dyDescent="0.25">
      <c r="B159" s="167" t="s">
        <v>13</v>
      </c>
      <c r="C159" s="538" t="s">
        <v>52</v>
      </c>
      <c r="D159" s="538">
        <v>110</v>
      </c>
      <c r="E159" s="171">
        <v>0</v>
      </c>
      <c r="F159" s="171">
        <v>0</v>
      </c>
      <c r="G159" s="171">
        <v>0</v>
      </c>
      <c r="H159" s="188">
        <v>0</v>
      </c>
      <c r="I159" s="188">
        <v>0</v>
      </c>
      <c r="J159" s="188">
        <v>0</v>
      </c>
      <c r="K159" s="188">
        <v>0</v>
      </c>
      <c r="L159" s="188">
        <v>0</v>
      </c>
      <c r="M159" s="188">
        <v>24</v>
      </c>
      <c r="N159" s="188">
        <v>-24</v>
      </c>
      <c r="O159" s="188">
        <v>0</v>
      </c>
      <c r="P159" s="188">
        <v>0</v>
      </c>
      <c r="Q159" s="171">
        <f t="shared" si="8"/>
        <v>0</v>
      </c>
      <c r="R159" s="541"/>
    </row>
    <row r="160" spans="2:18" x14ac:dyDescent="0.25">
      <c r="B160" s="167" t="s">
        <v>53</v>
      </c>
      <c r="C160" s="538" t="s">
        <v>41</v>
      </c>
      <c r="D160" s="538">
        <v>110</v>
      </c>
      <c r="E160" s="171">
        <v>-110.18</v>
      </c>
      <c r="F160" s="171">
        <v>-64.45</v>
      </c>
      <c r="G160" s="171">
        <v>-60</v>
      </c>
      <c r="H160" s="188">
        <v>-60</v>
      </c>
      <c r="I160" s="188">
        <v>-151.07</v>
      </c>
      <c r="J160" s="188">
        <v>-167.42</v>
      </c>
      <c r="K160" s="188">
        <v>-60</v>
      </c>
      <c r="L160" s="188">
        <v>-175.96</v>
      </c>
      <c r="M160" s="188">
        <v>-60</v>
      </c>
      <c r="N160" s="188">
        <v>-352.39</v>
      </c>
      <c r="O160" s="188">
        <v>-285.52</v>
      </c>
      <c r="P160" s="188">
        <v>-432.86</v>
      </c>
      <c r="Q160" s="171">
        <f t="shared" si="8"/>
        <v>-1979.85</v>
      </c>
      <c r="R160" s="541"/>
    </row>
    <row r="161" spans="2:18" x14ac:dyDescent="0.25">
      <c r="B161" s="167" t="s">
        <v>54</v>
      </c>
      <c r="C161" s="538" t="s">
        <v>43</v>
      </c>
      <c r="D161" s="538">
        <v>110</v>
      </c>
      <c r="E161" s="171">
        <v>64.45</v>
      </c>
      <c r="F161" s="171">
        <v>60</v>
      </c>
      <c r="G161" s="171">
        <v>60</v>
      </c>
      <c r="H161" s="188">
        <v>151.07</v>
      </c>
      <c r="I161" s="188">
        <v>167.42</v>
      </c>
      <c r="J161" s="188">
        <v>60</v>
      </c>
      <c r="K161" s="188">
        <v>175.96</v>
      </c>
      <c r="L161" s="188">
        <v>60</v>
      </c>
      <c r="M161" s="188">
        <v>352.39</v>
      </c>
      <c r="N161" s="188">
        <v>285.52</v>
      </c>
      <c r="O161" s="188">
        <v>432.86</v>
      </c>
      <c r="P161" s="188">
        <v>258.19</v>
      </c>
      <c r="Q161" s="171">
        <f t="shared" si="8"/>
        <v>2127.86</v>
      </c>
      <c r="R161" s="541"/>
    </row>
    <row r="162" spans="2:18" x14ac:dyDescent="0.25">
      <c r="B162" s="167" t="s">
        <v>30</v>
      </c>
      <c r="C162" s="538" t="s">
        <v>44</v>
      </c>
      <c r="D162" s="538">
        <v>110</v>
      </c>
      <c r="E162" s="171">
        <f>SUM(E153:E161)</f>
        <v>561.41</v>
      </c>
      <c r="F162" s="171">
        <f t="shared" ref="F162:P162" si="15">SUM(F153:F161)</f>
        <v>483.12</v>
      </c>
      <c r="G162" s="171">
        <f t="shared" si="15"/>
        <v>457.9</v>
      </c>
      <c r="H162" s="188">
        <f>SUM(H153:H161)</f>
        <v>416.91999999999996</v>
      </c>
      <c r="I162" s="188">
        <f t="shared" si="15"/>
        <v>350.20999999999992</v>
      </c>
      <c r="J162" s="188">
        <f t="shared" si="15"/>
        <v>249.55000000000004</v>
      </c>
      <c r="K162" s="188">
        <f t="shared" si="15"/>
        <v>298.84000000000003</v>
      </c>
      <c r="L162" s="188">
        <f t="shared" si="15"/>
        <v>221.45000000000002</v>
      </c>
      <c r="M162" s="188">
        <f t="shared" si="15"/>
        <v>511.4</v>
      </c>
      <c r="N162" s="188">
        <f t="shared" si="15"/>
        <v>634.57999999999993</v>
      </c>
      <c r="O162" s="188">
        <f t="shared" si="15"/>
        <v>656.1400000000001</v>
      </c>
      <c r="P162" s="188">
        <f t="shared" si="15"/>
        <v>643.58999999999992</v>
      </c>
      <c r="Q162" s="171">
        <f>SUM(E162:P162)</f>
        <v>5485.1100000000006</v>
      </c>
      <c r="R162" s="541"/>
    </row>
    <row r="163" spans="2:18" x14ac:dyDescent="0.25">
      <c r="B163" s="542" t="s">
        <v>45</v>
      </c>
      <c r="E163" s="171"/>
      <c r="F163" s="171"/>
      <c r="G163" s="171"/>
      <c r="H163" s="188"/>
      <c r="I163" s="188"/>
      <c r="J163" s="188"/>
      <c r="K163" s="188"/>
      <c r="L163" s="188"/>
      <c r="M163" s="188"/>
      <c r="N163" s="188"/>
      <c r="O163" s="188"/>
      <c r="P163" s="188"/>
      <c r="Q163" s="171">
        <f t="shared" si="8"/>
        <v>0</v>
      </c>
      <c r="R163" s="541"/>
    </row>
    <row r="164" spans="2:18" x14ac:dyDescent="0.25">
      <c r="B164" s="542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541"/>
    </row>
    <row r="165" spans="2:18" x14ac:dyDescent="0.25">
      <c r="B165" s="540" t="s">
        <v>110</v>
      </c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1">
        <f t="shared" si="8"/>
        <v>0</v>
      </c>
      <c r="R165" s="541"/>
    </row>
    <row r="166" spans="2:18" x14ac:dyDescent="0.25">
      <c r="B166" s="167" t="s">
        <v>31</v>
      </c>
      <c r="C166" s="538" t="s">
        <v>35</v>
      </c>
      <c r="D166" s="538">
        <v>77</v>
      </c>
      <c r="E166" s="171">
        <v>260482</v>
      </c>
      <c r="F166" s="171">
        <v>258811</v>
      </c>
      <c r="G166" s="171">
        <v>270184</v>
      </c>
      <c r="H166" s="171">
        <v>248145</v>
      </c>
      <c r="I166" s="171">
        <v>191467</v>
      </c>
      <c r="J166" s="171">
        <v>142256</v>
      </c>
      <c r="K166" s="171">
        <v>110987</v>
      </c>
      <c r="L166" s="171">
        <v>120028</v>
      </c>
      <c r="M166" s="171">
        <v>93626</v>
      </c>
      <c r="N166" s="171">
        <v>111442</v>
      </c>
      <c r="O166" s="171">
        <v>232820</v>
      </c>
      <c r="P166" s="171">
        <v>230233</v>
      </c>
      <c r="Q166" s="171">
        <f t="shared" si="8"/>
        <v>2270481</v>
      </c>
      <c r="R166" s="541"/>
    </row>
    <row r="167" spans="2:18" x14ac:dyDescent="0.25">
      <c r="B167" s="167" t="s">
        <v>36</v>
      </c>
      <c r="C167" s="538" t="s">
        <v>37</v>
      </c>
      <c r="D167" s="538">
        <v>77</v>
      </c>
      <c r="E167" s="171">
        <v>0</v>
      </c>
      <c r="F167" s="171">
        <v>0</v>
      </c>
      <c r="G167" s="171">
        <v>0</v>
      </c>
      <c r="H167" s="171">
        <v>0</v>
      </c>
      <c r="I167" s="171">
        <v>0</v>
      </c>
      <c r="J167" s="171">
        <v>0</v>
      </c>
      <c r="K167" s="171">
        <v>0</v>
      </c>
      <c r="L167" s="171">
        <v>0</v>
      </c>
      <c r="M167" s="171">
        <v>0</v>
      </c>
      <c r="N167" s="171">
        <v>0</v>
      </c>
      <c r="O167" s="171">
        <v>0</v>
      </c>
      <c r="P167" s="171">
        <v>0</v>
      </c>
      <c r="Q167" s="171">
        <f t="shared" si="8"/>
        <v>0</v>
      </c>
      <c r="R167" s="541"/>
    </row>
    <row r="168" spans="2:18" x14ac:dyDescent="0.25">
      <c r="B168" s="167" t="s">
        <v>38</v>
      </c>
      <c r="C168" s="538" t="s">
        <v>39</v>
      </c>
      <c r="D168" s="538">
        <v>77</v>
      </c>
      <c r="E168" s="171">
        <v>0</v>
      </c>
      <c r="F168" s="171">
        <v>0</v>
      </c>
      <c r="G168" s="171">
        <v>0</v>
      </c>
      <c r="H168" s="171">
        <v>0</v>
      </c>
      <c r="I168" s="171">
        <v>0</v>
      </c>
      <c r="J168" s="171">
        <v>0</v>
      </c>
      <c r="K168" s="171">
        <v>0</v>
      </c>
      <c r="L168" s="171">
        <v>0</v>
      </c>
      <c r="M168" s="171">
        <v>0</v>
      </c>
      <c r="N168" s="171">
        <v>0</v>
      </c>
      <c r="O168" s="171">
        <v>0</v>
      </c>
      <c r="P168" s="171">
        <v>0</v>
      </c>
      <c r="Q168" s="171">
        <f t="shared" si="8"/>
        <v>0</v>
      </c>
      <c r="R168" s="541"/>
    </row>
    <row r="169" spans="2:18" x14ac:dyDescent="0.25">
      <c r="B169" s="167" t="s">
        <v>40</v>
      </c>
      <c r="C169" s="538" t="s">
        <v>41</v>
      </c>
      <c r="D169" s="538">
        <v>77</v>
      </c>
      <c r="E169" s="171">
        <v>260482</v>
      </c>
      <c r="F169" s="171">
        <v>258811</v>
      </c>
      <c r="G169" s="171">
        <v>270184</v>
      </c>
      <c r="H169" s="171">
        <v>248145</v>
      </c>
      <c r="I169" s="171">
        <v>191467</v>
      </c>
      <c r="J169" s="171">
        <v>142256</v>
      </c>
      <c r="K169" s="171">
        <v>110987</v>
      </c>
      <c r="L169" s="171">
        <v>120028</v>
      </c>
      <c r="M169" s="171">
        <v>93626</v>
      </c>
      <c r="N169" s="171">
        <v>111442</v>
      </c>
      <c r="O169" s="171">
        <v>232820</v>
      </c>
      <c r="P169" s="171">
        <v>230233</v>
      </c>
      <c r="Q169" s="171">
        <f t="shared" si="8"/>
        <v>2270481</v>
      </c>
      <c r="R169" s="541"/>
    </row>
    <row r="170" spans="2:18" x14ac:dyDescent="0.25">
      <c r="B170" s="167" t="s">
        <v>42</v>
      </c>
      <c r="C170" s="538" t="s">
        <v>43</v>
      </c>
      <c r="D170" s="538">
        <v>77</v>
      </c>
      <c r="E170" s="171">
        <v>258811</v>
      </c>
      <c r="F170" s="171">
        <v>270184</v>
      </c>
      <c r="G170" s="171">
        <v>248145</v>
      </c>
      <c r="H170" s="171">
        <v>191467</v>
      </c>
      <c r="I170" s="171">
        <v>142256</v>
      </c>
      <c r="J170" s="171">
        <v>110987</v>
      </c>
      <c r="K170" s="171">
        <v>120028</v>
      </c>
      <c r="L170" s="171">
        <v>93626</v>
      </c>
      <c r="M170" s="171">
        <v>111442</v>
      </c>
      <c r="N170" s="171">
        <v>232820</v>
      </c>
      <c r="O170" s="171">
        <v>230233</v>
      </c>
      <c r="P170" s="171">
        <v>254015</v>
      </c>
      <c r="Q170" s="171">
        <f t="shared" si="8"/>
        <v>2264014</v>
      </c>
      <c r="R170" s="541"/>
    </row>
    <row r="171" spans="2:18" x14ac:dyDescent="0.25">
      <c r="B171" s="167" t="s">
        <v>33</v>
      </c>
      <c r="C171" s="538" t="s">
        <v>44</v>
      </c>
      <c r="D171" s="538">
        <v>77</v>
      </c>
      <c r="E171" s="171">
        <v>258811</v>
      </c>
      <c r="F171" s="171">
        <v>270184</v>
      </c>
      <c r="G171" s="171">
        <v>248145</v>
      </c>
      <c r="H171" s="171">
        <v>191467</v>
      </c>
      <c r="I171" s="171">
        <v>142256</v>
      </c>
      <c r="J171" s="171">
        <v>110987</v>
      </c>
      <c r="K171" s="171">
        <v>120028</v>
      </c>
      <c r="L171" s="171">
        <v>93626</v>
      </c>
      <c r="M171" s="171">
        <v>111442</v>
      </c>
      <c r="N171" s="171">
        <v>232820</v>
      </c>
      <c r="O171" s="171">
        <v>230234</v>
      </c>
      <c r="P171" s="171">
        <v>254014</v>
      </c>
      <c r="Q171" s="171">
        <f t="shared" si="8"/>
        <v>2264014</v>
      </c>
      <c r="R171" s="541"/>
    </row>
    <row r="172" spans="2:18" x14ac:dyDescent="0.25">
      <c r="B172" s="542" t="s">
        <v>45</v>
      </c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>
        <f t="shared" si="8"/>
        <v>0</v>
      </c>
      <c r="R172" s="541"/>
    </row>
    <row r="173" spans="2:18" x14ac:dyDescent="0.25">
      <c r="B173" s="167" t="s">
        <v>46</v>
      </c>
      <c r="C173" s="538" t="s">
        <v>35</v>
      </c>
      <c r="D173" s="538">
        <v>121</v>
      </c>
      <c r="E173" s="171">
        <v>133452.63</v>
      </c>
      <c r="F173" s="171">
        <v>132641.73000000001</v>
      </c>
      <c r="G173" s="171">
        <v>138156.16</v>
      </c>
      <c r="H173" s="171">
        <v>127236.72</v>
      </c>
      <c r="I173" s="171">
        <v>113617.97</v>
      </c>
      <c r="J173" s="171">
        <v>85436.04</v>
      </c>
      <c r="K173" s="171">
        <v>67458.759999999995</v>
      </c>
      <c r="L173" s="171">
        <v>74035.460000000006</v>
      </c>
      <c r="M173" s="171">
        <v>57805.31</v>
      </c>
      <c r="N173" s="171">
        <v>67921.81</v>
      </c>
      <c r="O173" s="171">
        <v>138946.76999999999</v>
      </c>
      <c r="P173" s="171">
        <v>151680.69</v>
      </c>
      <c r="Q173" s="171">
        <f t="shared" si="8"/>
        <v>1288390.05</v>
      </c>
      <c r="R173" s="541"/>
    </row>
    <row r="174" spans="2:18" x14ac:dyDescent="0.25">
      <c r="B174" s="167" t="s">
        <v>47</v>
      </c>
      <c r="C174" s="538" t="s">
        <v>37</v>
      </c>
      <c r="D174" s="538">
        <v>121</v>
      </c>
      <c r="E174" s="171">
        <v>0</v>
      </c>
      <c r="F174" s="171">
        <v>0</v>
      </c>
      <c r="G174" s="171">
        <v>0</v>
      </c>
      <c r="H174" s="171">
        <v>0</v>
      </c>
      <c r="I174" s="171">
        <v>0</v>
      </c>
      <c r="J174" s="171">
        <v>0</v>
      </c>
      <c r="K174" s="171">
        <v>0</v>
      </c>
      <c r="L174" s="171">
        <v>0</v>
      </c>
      <c r="M174" s="171">
        <v>0</v>
      </c>
      <c r="N174" s="171">
        <v>0</v>
      </c>
      <c r="O174" s="171">
        <v>0</v>
      </c>
      <c r="P174" s="171">
        <v>0</v>
      </c>
      <c r="Q174" s="171">
        <f t="shared" si="8"/>
        <v>0</v>
      </c>
      <c r="R174" s="541"/>
    </row>
    <row r="175" spans="2:18" x14ac:dyDescent="0.25">
      <c r="B175" s="167" t="s">
        <v>48</v>
      </c>
      <c r="C175" s="538" t="s">
        <v>39</v>
      </c>
      <c r="D175" s="538">
        <v>121</v>
      </c>
      <c r="E175" s="171">
        <v>0</v>
      </c>
      <c r="F175" s="171">
        <v>0</v>
      </c>
      <c r="G175" s="171">
        <v>0</v>
      </c>
      <c r="H175" s="171">
        <v>0</v>
      </c>
      <c r="I175" s="171">
        <v>0</v>
      </c>
      <c r="J175" s="171">
        <v>0</v>
      </c>
      <c r="K175" s="171">
        <v>0</v>
      </c>
      <c r="L175" s="171">
        <v>0</v>
      </c>
      <c r="M175" s="171">
        <v>0</v>
      </c>
      <c r="N175" s="171">
        <v>0</v>
      </c>
      <c r="O175" s="171">
        <v>0</v>
      </c>
      <c r="P175" s="171">
        <v>0</v>
      </c>
      <c r="Q175" s="171">
        <f t="shared" ref="Q175:Q238" si="16">SUM(E175:P175)</f>
        <v>0</v>
      </c>
      <c r="R175" s="541"/>
    </row>
    <row r="176" spans="2:18" x14ac:dyDescent="0.25">
      <c r="B176" s="167" t="s">
        <v>49</v>
      </c>
      <c r="C176" s="538" t="s">
        <v>50</v>
      </c>
      <c r="D176" s="538">
        <v>121</v>
      </c>
      <c r="E176" s="171">
        <v>6134.82</v>
      </c>
      <c r="F176" s="171">
        <v>5877.68</v>
      </c>
      <c r="G176" s="171">
        <v>1311.99</v>
      </c>
      <c r="H176" s="171">
        <v>3377.2</v>
      </c>
      <c r="I176" s="171">
        <v>1427.35</v>
      </c>
      <c r="J176" s="171">
        <v>1049.79</v>
      </c>
      <c r="K176" s="171">
        <v>-778.55</v>
      </c>
      <c r="L176" s="171">
        <v>2424.73</v>
      </c>
      <c r="M176" s="171">
        <v>-1380.48</v>
      </c>
      <c r="N176" s="171">
        <v>17308.79</v>
      </c>
      <c r="O176" s="171">
        <v>-18739.09</v>
      </c>
      <c r="P176" s="171">
        <v>2045.34</v>
      </c>
      <c r="Q176" s="171">
        <f t="shared" si="16"/>
        <v>20059.57</v>
      </c>
      <c r="R176" s="541"/>
    </row>
    <row r="177" spans="1:18" x14ac:dyDescent="0.25">
      <c r="B177" s="167" t="s">
        <v>191</v>
      </c>
      <c r="C177" s="538" t="s">
        <v>51</v>
      </c>
      <c r="D177" s="538">
        <v>121</v>
      </c>
      <c r="E177" s="171">
        <v>-2071.31</v>
      </c>
      <c r="F177" s="171">
        <v>-2155.9</v>
      </c>
      <c r="G177" s="171">
        <v>-1995.96</v>
      </c>
      <c r="H177" s="171">
        <v>-1559.51</v>
      </c>
      <c r="I177" s="171">
        <v>-1162.1600000000001</v>
      </c>
      <c r="J177" s="171">
        <v>-903.22</v>
      </c>
      <c r="K177" s="171">
        <v>-955.79</v>
      </c>
      <c r="L177" s="171">
        <v>-761.94</v>
      </c>
      <c r="M177" s="171">
        <v>-882.81</v>
      </c>
      <c r="N177" s="171">
        <v>-1803.09</v>
      </c>
      <c r="O177" s="171">
        <v>-4502.32</v>
      </c>
      <c r="P177" s="171">
        <v>-4952.04</v>
      </c>
      <c r="Q177" s="171">
        <f t="shared" si="16"/>
        <v>-23706.05</v>
      </c>
      <c r="R177" s="541"/>
    </row>
    <row r="178" spans="1:18" x14ac:dyDescent="0.25">
      <c r="B178" s="167" t="s">
        <v>78</v>
      </c>
      <c r="C178" s="538" t="s">
        <v>77</v>
      </c>
      <c r="D178" s="538">
        <v>121</v>
      </c>
      <c r="E178" s="171">
        <v>0</v>
      </c>
      <c r="F178" s="171">
        <v>0</v>
      </c>
      <c r="G178" s="171">
        <v>0</v>
      </c>
      <c r="H178" s="171">
        <v>0</v>
      </c>
      <c r="I178" s="171">
        <v>0</v>
      </c>
      <c r="J178" s="171">
        <v>0</v>
      </c>
      <c r="K178" s="171">
        <v>0</v>
      </c>
      <c r="L178" s="171">
        <v>0</v>
      </c>
      <c r="M178" s="171">
        <v>0</v>
      </c>
      <c r="N178" s="171">
        <v>0</v>
      </c>
      <c r="O178" s="171">
        <v>0</v>
      </c>
      <c r="P178" s="171">
        <v>0</v>
      </c>
      <c r="Q178" s="171">
        <f t="shared" si="16"/>
        <v>0</v>
      </c>
      <c r="R178" s="541"/>
    </row>
    <row r="179" spans="1:18" x14ac:dyDescent="0.25">
      <c r="B179" s="167" t="s">
        <v>13</v>
      </c>
      <c r="C179" s="538" t="s">
        <v>52</v>
      </c>
      <c r="D179" s="538">
        <v>121</v>
      </c>
      <c r="E179" s="171">
        <v>0</v>
      </c>
      <c r="F179" s="171">
        <v>0</v>
      </c>
      <c r="G179" s="171">
        <v>0</v>
      </c>
      <c r="H179" s="171">
        <v>0</v>
      </c>
      <c r="I179" s="171">
        <v>0</v>
      </c>
      <c r="J179" s="171">
        <v>0</v>
      </c>
      <c r="K179" s="171">
        <v>0</v>
      </c>
      <c r="L179" s="171">
        <v>0</v>
      </c>
      <c r="M179" s="171">
        <v>0</v>
      </c>
      <c r="N179" s="171">
        <v>0</v>
      </c>
      <c r="O179" s="171">
        <v>0</v>
      </c>
      <c r="P179" s="171">
        <v>0</v>
      </c>
      <c r="Q179" s="171">
        <f t="shared" si="16"/>
        <v>0</v>
      </c>
      <c r="R179" s="541"/>
    </row>
    <row r="180" spans="1:18" x14ac:dyDescent="0.25">
      <c r="B180" s="167" t="s">
        <v>53</v>
      </c>
      <c r="C180" s="538" t="s">
        <v>41</v>
      </c>
      <c r="D180" s="538">
        <v>121</v>
      </c>
      <c r="E180" s="171">
        <v>133319.79</v>
      </c>
      <c r="F180" s="171">
        <v>132509.73000000001</v>
      </c>
      <c r="G180" s="171">
        <v>138018.36000000002</v>
      </c>
      <c r="H180" s="171">
        <v>126942.28</v>
      </c>
      <c r="I180" s="171">
        <v>113520.33</v>
      </c>
      <c r="J180" s="171">
        <v>85363.5</v>
      </c>
      <c r="K180" s="171">
        <v>67402.159999999989</v>
      </c>
      <c r="L180" s="171">
        <v>73974.240000000005</v>
      </c>
      <c r="M180" s="171">
        <v>57757.549999999996</v>
      </c>
      <c r="N180" s="171">
        <v>67864.97</v>
      </c>
      <c r="O180" s="171">
        <v>138828.03</v>
      </c>
      <c r="P180" s="171">
        <v>151565.56</v>
      </c>
      <c r="Q180" s="171">
        <f>-SUM(E180:P180)</f>
        <v>-1287066.5</v>
      </c>
      <c r="R180" s="541"/>
    </row>
    <row r="181" spans="1:18" x14ac:dyDescent="0.25">
      <c r="B181" s="167" t="s">
        <v>54</v>
      </c>
      <c r="C181" s="538" t="s">
        <v>43</v>
      </c>
      <c r="D181" s="538">
        <v>121</v>
      </c>
      <c r="E181" s="171">
        <v>132509.73000000001</v>
      </c>
      <c r="F181" s="171">
        <v>138018.36000000002</v>
      </c>
      <c r="G181" s="171">
        <v>126942.28</v>
      </c>
      <c r="H181" s="171">
        <v>113520.33</v>
      </c>
      <c r="I181" s="171">
        <v>85363.5</v>
      </c>
      <c r="J181" s="171">
        <v>67402.159999999989</v>
      </c>
      <c r="K181" s="171">
        <v>73974.240000000005</v>
      </c>
      <c r="L181" s="171">
        <v>57757.549999999996</v>
      </c>
      <c r="M181" s="171">
        <v>67864.97</v>
      </c>
      <c r="N181" s="171">
        <v>138828.03</v>
      </c>
      <c r="O181" s="171">
        <v>151565.56</v>
      </c>
      <c r="P181" s="171">
        <v>166995.06999999998</v>
      </c>
      <c r="Q181" s="171">
        <f t="shared" si="16"/>
        <v>1320741.78</v>
      </c>
      <c r="R181" s="541"/>
    </row>
    <row r="182" spans="1:18" x14ac:dyDescent="0.25">
      <c r="B182" s="167" t="s">
        <v>30</v>
      </c>
      <c r="C182" s="538" t="s">
        <v>44</v>
      </c>
      <c r="D182" s="538">
        <v>121</v>
      </c>
      <c r="E182" s="171">
        <v>136706.08000000002</v>
      </c>
      <c r="F182" s="171">
        <v>141872.14000000001</v>
      </c>
      <c r="G182" s="171">
        <v>126396.10999999999</v>
      </c>
      <c r="H182" s="171">
        <v>115632.46</v>
      </c>
      <c r="I182" s="171">
        <v>85726.33</v>
      </c>
      <c r="J182" s="171">
        <v>67621.269999999975</v>
      </c>
      <c r="K182" s="171">
        <v>72296.500000000015</v>
      </c>
      <c r="L182" s="171">
        <v>59481.55999999999</v>
      </c>
      <c r="M182" s="171">
        <v>65649.440000000002</v>
      </c>
      <c r="N182" s="171">
        <v>154390.57</v>
      </c>
      <c r="O182" s="171">
        <v>128442.88999999998</v>
      </c>
      <c r="P182" s="171">
        <v>164203.49999999997</v>
      </c>
      <c r="Q182" s="171">
        <f t="shared" si="16"/>
        <v>1318418.8499999999</v>
      </c>
      <c r="R182" s="541"/>
    </row>
    <row r="183" spans="1:18" x14ac:dyDescent="0.25">
      <c r="B183" s="542" t="s">
        <v>45</v>
      </c>
      <c r="E183" s="171"/>
      <c r="F183" s="171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541"/>
    </row>
    <row r="184" spans="1:18" x14ac:dyDescent="0.25">
      <c r="B184" s="542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541"/>
    </row>
    <row r="185" spans="1:18" x14ac:dyDescent="0.25">
      <c r="A185" s="545" t="s">
        <v>103</v>
      </c>
      <c r="B185" s="540" t="s">
        <v>102</v>
      </c>
      <c r="C185" s="538" t="s">
        <v>34</v>
      </c>
      <c r="D185" s="538">
        <v>79</v>
      </c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1"/>
      <c r="R185" s="541"/>
    </row>
    <row r="186" spans="1:18" x14ac:dyDescent="0.25">
      <c r="A186" s="545" t="s">
        <v>109</v>
      </c>
      <c r="B186" s="167" t="s">
        <v>31</v>
      </c>
      <c r="C186" s="538" t="s">
        <v>35</v>
      </c>
      <c r="D186" s="538">
        <v>79</v>
      </c>
      <c r="E186" s="171">
        <v>29346851</v>
      </c>
      <c r="F186" s="171">
        <v>31076934</v>
      </c>
      <c r="G186" s="171">
        <v>30225230</v>
      </c>
      <c r="H186" s="171">
        <v>29413222</v>
      </c>
      <c r="I186" s="171">
        <v>27861922</v>
      </c>
      <c r="J186" s="171">
        <v>29822871</v>
      </c>
      <c r="K186" s="171">
        <v>27060192</v>
      </c>
      <c r="L186" s="171">
        <v>26087226</v>
      </c>
      <c r="M186" s="171">
        <v>28179207</v>
      </c>
      <c r="N186" s="171">
        <v>32200088</v>
      </c>
      <c r="O186" s="171">
        <v>33622269</v>
      </c>
      <c r="P186" s="171">
        <v>29817626</v>
      </c>
      <c r="Q186" s="171">
        <f t="shared" si="16"/>
        <v>354713638</v>
      </c>
      <c r="R186" s="541"/>
    </row>
    <row r="187" spans="1:18" x14ac:dyDescent="0.25">
      <c r="A187" s="546">
        <v>4861</v>
      </c>
      <c r="B187" s="167" t="s">
        <v>36</v>
      </c>
      <c r="C187" s="538" t="s">
        <v>37</v>
      </c>
      <c r="D187" s="538">
        <v>79</v>
      </c>
      <c r="E187" s="171">
        <v>0</v>
      </c>
      <c r="F187" s="171">
        <v>0</v>
      </c>
      <c r="G187" s="171">
        <v>0</v>
      </c>
      <c r="H187" s="171">
        <v>0</v>
      </c>
      <c r="I187" s="171">
        <v>0</v>
      </c>
      <c r="J187" s="171">
        <v>0</v>
      </c>
      <c r="K187" s="171">
        <v>0</v>
      </c>
      <c r="L187" s="171">
        <v>0</v>
      </c>
      <c r="M187" s="171">
        <v>0</v>
      </c>
      <c r="N187" s="171">
        <v>0</v>
      </c>
      <c r="O187" s="171">
        <v>0</v>
      </c>
      <c r="P187" s="171">
        <v>0</v>
      </c>
      <c r="Q187" s="171">
        <f t="shared" si="16"/>
        <v>0</v>
      </c>
      <c r="R187" s="541"/>
    </row>
    <row r="188" spans="1:18" x14ac:dyDescent="0.25">
      <c r="B188" s="167" t="s">
        <v>38</v>
      </c>
      <c r="C188" s="538" t="s">
        <v>39</v>
      </c>
      <c r="D188" s="538">
        <v>79</v>
      </c>
      <c r="E188" s="171">
        <v>0</v>
      </c>
      <c r="F188" s="171">
        <v>0</v>
      </c>
      <c r="G188" s="171">
        <v>0</v>
      </c>
      <c r="H188" s="171">
        <v>0</v>
      </c>
      <c r="I188" s="171">
        <v>0</v>
      </c>
      <c r="J188" s="171">
        <v>0</v>
      </c>
      <c r="K188" s="171">
        <v>0</v>
      </c>
      <c r="L188" s="171">
        <v>0</v>
      </c>
      <c r="M188" s="171">
        <v>0</v>
      </c>
      <c r="N188" s="171">
        <v>0</v>
      </c>
      <c r="O188" s="171">
        <v>0</v>
      </c>
      <c r="P188" s="171">
        <v>0</v>
      </c>
      <c r="Q188" s="171">
        <f t="shared" si="16"/>
        <v>0</v>
      </c>
      <c r="R188" s="541"/>
    </row>
    <row r="189" spans="1:18" x14ac:dyDescent="0.25">
      <c r="B189" s="167" t="s">
        <v>40</v>
      </c>
      <c r="C189" s="538" t="s">
        <v>41</v>
      </c>
      <c r="D189" s="538">
        <v>79</v>
      </c>
      <c r="E189" s="171">
        <v>29346851</v>
      </c>
      <c r="F189" s="171">
        <v>31076934</v>
      </c>
      <c r="G189" s="171">
        <v>30225230</v>
      </c>
      <c r="H189" s="171">
        <v>29441177</v>
      </c>
      <c r="I189" s="171">
        <v>27861922</v>
      </c>
      <c r="J189" s="171">
        <v>29822871</v>
      </c>
      <c r="K189" s="171">
        <v>27060192</v>
      </c>
      <c r="L189" s="171">
        <v>26075307</v>
      </c>
      <c r="M189" s="171">
        <v>28179207</v>
      </c>
      <c r="N189" s="171">
        <v>31412664</v>
      </c>
      <c r="O189" s="171">
        <v>33622137</v>
      </c>
      <c r="P189" s="171">
        <v>29790523</v>
      </c>
      <c r="Q189" s="171">
        <f t="shared" si="16"/>
        <v>353915015</v>
      </c>
      <c r="R189" s="541"/>
    </row>
    <row r="190" spans="1:18" x14ac:dyDescent="0.25">
      <c r="B190" s="167" t="s">
        <v>42</v>
      </c>
      <c r="C190" s="538" t="s">
        <v>43</v>
      </c>
      <c r="D190" s="538">
        <v>79</v>
      </c>
      <c r="E190" s="171">
        <v>31076934</v>
      </c>
      <c r="F190" s="171">
        <v>30225230</v>
      </c>
      <c r="G190" s="171">
        <v>29441177</v>
      </c>
      <c r="H190" s="171">
        <v>27861922</v>
      </c>
      <c r="I190" s="171">
        <v>29822871</v>
      </c>
      <c r="J190" s="171">
        <v>27060192</v>
      </c>
      <c r="K190" s="171">
        <v>26075307</v>
      </c>
      <c r="L190" s="171">
        <v>28179207</v>
      </c>
      <c r="M190" s="171">
        <v>31412664</v>
      </c>
      <c r="N190" s="171">
        <v>33622137</v>
      </c>
      <c r="O190" s="171">
        <v>29790523</v>
      </c>
      <c r="P190" s="171">
        <v>31590271</v>
      </c>
      <c r="Q190" s="171">
        <f t="shared" si="16"/>
        <v>356158435</v>
      </c>
      <c r="R190" s="541"/>
    </row>
    <row r="191" spans="1:18" x14ac:dyDescent="0.25">
      <c r="B191" s="167" t="s">
        <v>33</v>
      </c>
      <c r="C191" s="538" t="s">
        <v>44</v>
      </c>
      <c r="D191" s="538">
        <v>79</v>
      </c>
      <c r="E191" s="171">
        <v>31076934</v>
      </c>
      <c r="F191" s="171">
        <v>30225230</v>
      </c>
      <c r="G191" s="171">
        <v>29441177</v>
      </c>
      <c r="H191" s="171">
        <v>27833967</v>
      </c>
      <c r="I191" s="171">
        <v>29822871</v>
      </c>
      <c r="J191" s="171">
        <v>27060192</v>
      </c>
      <c r="K191" s="171">
        <v>26075307</v>
      </c>
      <c r="L191" s="171">
        <v>28191126</v>
      </c>
      <c r="M191" s="171">
        <v>31412664</v>
      </c>
      <c r="N191" s="171">
        <v>34409561</v>
      </c>
      <c r="O191" s="171">
        <v>29790656</v>
      </c>
      <c r="P191" s="171">
        <v>31617373</v>
      </c>
      <c r="Q191" s="171">
        <f t="shared" si="16"/>
        <v>356957058</v>
      </c>
      <c r="R191" s="541"/>
    </row>
    <row r="192" spans="1:18" x14ac:dyDescent="0.25">
      <c r="B192" s="542" t="s">
        <v>45</v>
      </c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>
        <f t="shared" si="16"/>
        <v>0</v>
      </c>
      <c r="R192" s="541"/>
    </row>
    <row r="193" spans="1:18" x14ac:dyDescent="0.25">
      <c r="B193" s="167" t="s">
        <v>46</v>
      </c>
      <c r="C193" s="538" t="s">
        <v>35</v>
      </c>
      <c r="D193" s="538">
        <v>123</v>
      </c>
      <c r="E193" s="171">
        <v>1164258.1200000001</v>
      </c>
      <c r="F193" s="171">
        <v>1214333.8799999999</v>
      </c>
      <c r="G193" s="171">
        <v>1204288.18</v>
      </c>
      <c r="H193" s="171">
        <v>1180255.27</v>
      </c>
      <c r="I193" s="171">
        <v>1129778.7</v>
      </c>
      <c r="J193" s="171">
        <v>1129080.8400000001</v>
      </c>
      <c r="K193" s="171">
        <v>1108647.58</v>
      </c>
      <c r="L193" s="171">
        <v>1072997.6499999999</v>
      </c>
      <c r="M193" s="171">
        <v>1103921.6100000001</v>
      </c>
      <c r="N193" s="171">
        <v>1201377.8799999999</v>
      </c>
      <c r="O193" s="171">
        <v>1222339.1399999999</v>
      </c>
      <c r="P193" s="171">
        <v>1151276.54</v>
      </c>
      <c r="Q193" s="171">
        <f t="shared" si="16"/>
        <v>13882555.389999997</v>
      </c>
      <c r="R193" s="541"/>
    </row>
    <row r="194" spans="1:18" x14ac:dyDescent="0.25">
      <c r="B194" s="167" t="s">
        <v>47</v>
      </c>
      <c r="C194" s="538" t="s">
        <v>37</v>
      </c>
      <c r="D194" s="538">
        <v>123</v>
      </c>
      <c r="E194" s="171">
        <v>0</v>
      </c>
      <c r="F194" s="171">
        <v>0</v>
      </c>
      <c r="G194" s="171">
        <v>0</v>
      </c>
      <c r="H194" s="171">
        <v>0</v>
      </c>
      <c r="I194" s="171">
        <v>0</v>
      </c>
      <c r="J194" s="171">
        <v>0</v>
      </c>
      <c r="K194" s="171">
        <v>0</v>
      </c>
      <c r="L194" s="171">
        <v>0</v>
      </c>
      <c r="M194" s="171">
        <v>0</v>
      </c>
      <c r="N194" s="171">
        <v>0</v>
      </c>
      <c r="O194" s="171">
        <v>0</v>
      </c>
      <c r="P194" s="171">
        <v>0</v>
      </c>
      <c r="Q194" s="171">
        <f t="shared" si="16"/>
        <v>0</v>
      </c>
      <c r="R194" s="541"/>
    </row>
    <row r="195" spans="1:18" x14ac:dyDescent="0.25">
      <c r="B195" s="167" t="s">
        <v>48</v>
      </c>
      <c r="C195" s="538" t="s">
        <v>39</v>
      </c>
      <c r="D195" s="538">
        <v>123</v>
      </c>
      <c r="E195" s="171">
        <v>0</v>
      </c>
      <c r="F195" s="171">
        <v>0</v>
      </c>
      <c r="G195" s="171">
        <v>0</v>
      </c>
      <c r="H195" s="171">
        <v>0</v>
      </c>
      <c r="I195" s="171">
        <v>0</v>
      </c>
      <c r="J195" s="171">
        <v>0</v>
      </c>
      <c r="K195" s="171">
        <v>0</v>
      </c>
      <c r="L195" s="171">
        <v>0</v>
      </c>
      <c r="M195" s="171">
        <v>0</v>
      </c>
      <c r="N195" s="171">
        <v>0</v>
      </c>
      <c r="O195" s="171">
        <v>0</v>
      </c>
      <c r="P195" s="171">
        <v>0</v>
      </c>
      <c r="Q195" s="171">
        <f t="shared" si="16"/>
        <v>0</v>
      </c>
      <c r="R195" s="541"/>
    </row>
    <row r="196" spans="1:18" x14ac:dyDescent="0.25">
      <c r="B196" s="167" t="s">
        <v>49</v>
      </c>
      <c r="C196" s="538" t="s">
        <v>50</v>
      </c>
      <c r="D196" s="538">
        <v>123</v>
      </c>
      <c r="E196" s="171">
        <v>0</v>
      </c>
      <c r="F196" s="171">
        <v>0</v>
      </c>
      <c r="G196" s="171">
        <v>0</v>
      </c>
      <c r="H196" s="171">
        <v>0</v>
      </c>
      <c r="I196" s="171">
        <v>0</v>
      </c>
      <c r="J196" s="171">
        <v>0</v>
      </c>
      <c r="K196" s="171">
        <v>0</v>
      </c>
      <c r="L196" s="171">
        <v>0</v>
      </c>
      <c r="M196" s="171">
        <v>0</v>
      </c>
      <c r="N196" s="171">
        <v>0</v>
      </c>
      <c r="O196" s="171">
        <v>0</v>
      </c>
      <c r="P196" s="171">
        <v>0</v>
      </c>
      <c r="Q196" s="171">
        <f t="shared" si="16"/>
        <v>0</v>
      </c>
      <c r="R196" s="541"/>
    </row>
    <row r="197" spans="1:18" x14ac:dyDescent="0.25">
      <c r="B197" s="167" t="s">
        <v>191</v>
      </c>
      <c r="C197" s="538" t="s">
        <v>51</v>
      </c>
      <c r="D197" s="538">
        <v>123</v>
      </c>
      <c r="E197" s="171">
        <v>-8804.06</v>
      </c>
      <c r="F197" s="171">
        <v>-9323.08</v>
      </c>
      <c r="G197" s="171">
        <v>-9067.57</v>
      </c>
      <c r="H197" s="171">
        <v>-8823.9699999999993</v>
      </c>
      <c r="I197" s="171">
        <v>-8358.58</v>
      </c>
      <c r="J197" s="171">
        <v>-8946.86</v>
      </c>
      <c r="K197" s="171">
        <v>-8118.06</v>
      </c>
      <c r="L197" s="171">
        <v>-7826.17</v>
      </c>
      <c r="M197" s="171">
        <v>-8453.76</v>
      </c>
      <c r="N197" s="171">
        <v>-9660.0300000000007</v>
      </c>
      <c r="O197" s="171">
        <v>-10086.68</v>
      </c>
      <c r="P197" s="171">
        <v>-8647.11</v>
      </c>
      <c r="Q197" s="171">
        <f t="shared" si="16"/>
        <v>-106115.93000000001</v>
      </c>
      <c r="R197" s="541"/>
    </row>
    <row r="198" spans="1:18" x14ac:dyDescent="0.25">
      <c r="B198" s="167" t="s">
        <v>78</v>
      </c>
      <c r="C198" s="538" t="s">
        <v>77</v>
      </c>
      <c r="D198" s="538">
        <v>123</v>
      </c>
      <c r="E198" s="171">
        <v>0</v>
      </c>
      <c r="F198" s="171">
        <v>0</v>
      </c>
      <c r="G198" s="171">
        <v>0</v>
      </c>
      <c r="H198" s="171">
        <v>0</v>
      </c>
      <c r="I198" s="171">
        <v>0</v>
      </c>
      <c r="J198" s="171">
        <v>0</v>
      </c>
      <c r="K198" s="171">
        <v>0</v>
      </c>
      <c r="L198" s="171">
        <v>0</v>
      </c>
      <c r="M198" s="171">
        <v>0</v>
      </c>
      <c r="N198" s="171">
        <v>0</v>
      </c>
      <c r="O198" s="171">
        <v>0</v>
      </c>
      <c r="P198" s="171">
        <v>0</v>
      </c>
      <c r="Q198" s="171">
        <f t="shared" si="16"/>
        <v>0</v>
      </c>
      <c r="R198" s="541"/>
    </row>
    <row r="199" spans="1:18" x14ac:dyDescent="0.25">
      <c r="B199" s="167" t="s">
        <v>13</v>
      </c>
      <c r="C199" s="538" t="s">
        <v>52</v>
      </c>
      <c r="D199" s="538">
        <v>123</v>
      </c>
      <c r="E199" s="171">
        <v>0</v>
      </c>
      <c r="F199" s="171">
        <v>0</v>
      </c>
      <c r="G199" s="171">
        <v>0</v>
      </c>
      <c r="H199" s="171">
        <v>-7.76</v>
      </c>
      <c r="I199" s="171">
        <v>7.76</v>
      </c>
      <c r="J199" s="171">
        <v>0</v>
      </c>
      <c r="K199" s="171">
        <v>0</v>
      </c>
      <c r="L199" s="171">
        <v>0</v>
      </c>
      <c r="M199" s="171">
        <v>0</v>
      </c>
      <c r="N199" s="171">
        <v>0</v>
      </c>
      <c r="O199" s="171">
        <v>0</v>
      </c>
      <c r="P199" s="171">
        <v>0</v>
      </c>
      <c r="Q199" s="171">
        <f t="shared" si="16"/>
        <v>0</v>
      </c>
      <c r="R199" s="541"/>
    </row>
    <row r="200" spans="1:18" x14ac:dyDescent="0.25">
      <c r="B200" s="167" t="s">
        <v>53</v>
      </c>
      <c r="C200" s="538" t="s">
        <v>41</v>
      </c>
      <c r="D200" s="538">
        <v>123</v>
      </c>
      <c r="E200" s="171">
        <v>1155160.6200000001</v>
      </c>
      <c r="F200" s="171">
        <v>1204700.0399999998</v>
      </c>
      <c r="G200" s="171">
        <v>1192516.44</v>
      </c>
      <c r="H200" s="171">
        <v>1172014.7400000002</v>
      </c>
      <c r="I200" s="171">
        <v>1121149.2699999998</v>
      </c>
      <c r="J200" s="171">
        <v>1118474.8699999999</v>
      </c>
      <c r="K200" s="171">
        <v>1100258.8900000001</v>
      </c>
      <c r="L200" s="171">
        <v>1060899.6299999999</v>
      </c>
      <c r="M200" s="171">
        <v>1091246.4099999999</v>
      </c>
      <c r="N200" s="171">
        <v>1135607.5799999998</v>
      </c>
      <c r="O200" s="171">
        <v>1211909.0799999998</v>
      </c>
      <c r="P200" s="171">
        <v>1139950.28</v>
      </c>
      <c r="Q200" s="171">
        <f>-SUM(E200:P200)</f>
        <v>-13703887.85</v>
      </c>
      <c r="R200" s="541"/>
    </row>
    <row r="201" spans="1:18" x14ac:dyDescent="0.25">
      <c r="B201" s="167" t="s">
        <v>54</v>
      </c>
      <c r="C201" s="538" t="s">
        <v>43</v>
      </c>
      <c r="D201" s="538">
        <v>123</v>
      </c>
      <c r="E201" s="171">
        <v>1204700.0399999998</v>
      </c>
      <c r="F201" s="171">
        <v>1192516.44</v>
      </c>
      <c r="G201" s="171">
        <v>1172014.7400000002</v>
      </c>
      <c r="H201" s="171">
        <v>1121149.2699999998</v>
      </c>
      <c r="I201" s="171">
        <v>1118474.8699999999</v>
      </c>
      <c r="J201" s="171">
        <v>1100258.8900000001</v>
      </c>
      <c r="K201" s="171">
        <v>1060899.6299999999</v>
      </c>
      <c r="L201" s="171">
        <v>1091246.4099999999</v>
      </c>
      <c r="M201" s="171">
        <v>1135607.5799999998</v>
      </c>
      <c r="N201" s="171">
        <v>1211909.0799999998</v>
      </c>
      <c r="O201" s="171">
        <v>1139950.28</v>
      </c>
      <c r="P201" s="171">
        <v>1153795.03</v>
      </c>
      <c r="Q201" s="171">
        <f t="shared" si="16"/>
        <v>13702522.259999998</v>
      </c>
      <c r="R201" s="541"/>
    </row>
    <row r="202" spans="1:18" x14ac:dyDescent="0.25">
      <c r="B202" s="167" t="s">
        <v>30</v>
      </c>
      <c r="C202" s="538" t="s">
        <v>44</v>
      </c>
      <c r="D202" s="538">
        <v>123</v>
      </c>
      <c r="E202" s="171">
        <v>1204993.4799999997</v>
      </c>
      <c r="F202" s="171">
        <v>1192827.2</v>
      </c>
      <c r="G202" s="171">
        <v>1174718.9100000001</v>
      </c>
      <c r="H202" s="171">
        <v>1120558.0699999996</v>
      </c>
      <c r="I202" s="171">
        <v>1118753.48</v>
      </c>
      <c r="J202" s="171">
        <v>1101918.0000000002</v>
      </c>
      <c r="K202" s="171">
        <v>1061170.2599999998</v>
      </c>
      <c r="L202" s="171">
        <v>1095518.26</v>
      </c>
      <c r="M202" s="171">
        <v>1139829.02</v>
      </c>
      <c r="N202" s="171">
        <v>1268019.3499999999</v>
      </c>
      <c r="O202" s="171">
        <v>1140293.6600000001</v>
      </c>
      <c r="P202" s="171">
        <v>1156474.18</v>
      </c>
      <c r="Q202" s="171">
        <f t="shared" si="16"/>
        <v>13775073.869999997</v>
      </c>
      <c r="R202" s="541"/>
    </row>
    <row r="203" spans="1:18" x14ac:dyDescent="0.25">
      <c r="A203" s="544"/>
      <c r="B203" s="542" t="s">
        <v>45</v>
      </c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541"/>
    </row>
    <row r="204" spans="1:18" x14ac:dyDescent="0.25">
      <c r="E204" s="547"/>
      <c r="F204" s="171"/>
      <c r="G204" s="171"/>
      <c r="H204" s="171"/>
      <c r="I204" s="171"/>
      <c r="J204" s="171"/>
      <c r="K204" s="171"/>
      <c r="L204" s="171"/>
      <c r="M204" s="171"/>
      <c r="N204" s="547"/>
      <c r="O204" s="171"/>
      <c r="P204" s="171"/>
      <c r="Q204" s="171"/>
      <c r="R204" s="541"/>
    </row>
    <row r="205" spans="1:18" x14ac:dyDescent="0.25">
      <c r="B205" s="540" t="s">
        <v>108</v>
      </c>
      <c r="C205" s="538" t="s">
        <v>34</v>
      </c>
      <c r="D205" s="538">
        <v>83</v>
      </c>
      <c r="E205" s="540"/>
      <c r="F205" s="171"/>
      <c r="G205" s="171"/>
      <c r="H205" s="171"/>
      <c r="I205" s="171"/>
      <c r="J205" s="171"/>
      <c r="K205" s="171"/>
      <c r="L205" s="171"/>
      <c r="M205" s="171"/>
      <c r="N205" s="540"/>
      <c r="O205" s="171"/>
      <c r="P205" s="171"/>
      <c r="Q205" s="171"/>
      <c r="R205" s="541"/>
    </row>
    <row r="206" spans="1:18" x14ac:dyDescent="0.25">
      <c r="B206" s="167" t="s">
        <v>31</v>
      </c>
      <c r="C206" s="538" t="s">
        <v>35</v>
      </c>
      <c r="D206" s="538">
        <v>83</v>
      </c>
      <c r="E206" s="167">
        <v>2617891</v>
      </c>
      <c r="F206" s="171">
        <v>3202152</v>
      </c>
      <c r="G206" s="171">
        <v>2316555</v>
      </c>
      <c r="H206" s="171">
        <v>2298407</v>
      </c>
      <c r="I206" s="171">
        <v>2069826</v>
      </c>
      <c r="J206" s="171">
        <v>1973660</v>
      </c>
      <c r="K206" s="171">
        <v>2265713</v>
      </c>
      <c r="L206" s="171">
        <v>2468668</v>
      </c>
      <c r="M206" s="171">
        <v>2310615</v>
      </c>
      <c r="N206" s="167">
        <v>2238144</v>
      </c>
      <c r="O206" s="171">
        <v>2832256</v>
      </c>
      <c r="P206" s="171">
        <v>3143984</v>
      </c>
      <c r="Q206" s="171">
        <f t="shared" si="16"/>
        <v>29737871</v>
      </c>
      <c r="R206" s="541"/>
    </row>
    <row r="207" spans="1:18" x14ac:dyDescent="0.25">
      <c r="B207" s="167" t="s">
        <v>36</v>
      </c>
      <c r="C207" s="538" t="s">
        <v>37</v>
      </c>
      <c r="D207" s="538">
        <v>83</v>
      </c>
      <c r="E207" s="167">
        <v>0</v>
      </c>
      <c r="F207" s="171">
        <v>0</v>
      </c>
      <c r="G207" s="171">
        <v>0</v>
      </c>
      <c r="H207" s="171">
        <v>0</v>
      </c>
      <c r="I207" s="171">
        <v>0</v>
      </c>
      <c r="J207" s="171">
        <v>0</v>
      </c>
      <c r="K207" s="171">
        <v>0</v>
      </c>
      <c r="L207" s="171">
        <v>0</v>
      </c>
      <c r="M207" s="171">
        <v>0</v>
      </c>
      <c r="N207" s="167">
        <v>0</v>
      </c>
      <c r="O207" s="171">
        <v>0</v>
      </c>
      <c r="P207" s="171">
        <v>0</v>
      </c>
      <c r="Q207" s="171">
        <f t="shared" si="16"/>
        <v>0</v>
      </c>
      <c r="R207" s="541"/>
    </row>
    <row r="208" spans="1:18" x14ac:dyDescent="0.25">
      <c r="B208" s="167" t="s">
        <v>38</v>
      </c>
      <c r="C208" s="538" t="s">
        <v>39</v>
      </c>
      <c r="D208" s="538">
        <v>83</v>
      </c>
      <c r="E208" s="167">
        <v>0</v>
      </c>
      <c r="F208" s="171">
        <v>0</v>
      </c>
      <c r="G208" s="171">
        <v>0</v>
      </c>
      <c r="H208" s="171">
        <v>0</v>
      </c>
      <c r="I208" s="171">
        <v>0</v>
      </c>
      <c r="J208" s="171">
        <v>0</v>
      </c>
      <c r="K208" s="171">
        <v>0</v>
      </c>
      <c r="L208" s="171">
        <v>0</v>
      </c>
      <c r="M208" s="171">
        <v>0</v>
      </c>
      <c r="N208" s="167">
        <v>0</v>
      </c>
      <c r="O208" s="171">
        <v>0</v>
      </c>
      <c r="P208" s="171">
        <v>0</v>
      </c>
      <c r="Q208" s="171">
        <f t="shared" si="16"/>
        <v>0</v>
      </c>
      <c r="R208" s="541"/>
    </row>
    <row r="209" spans="2:18" x14ac:dyDescent="0.25">
      <c r="B209" s="167" t="s">
        <v>40</v>
      </c>
      <c r="C209" s="538" t="s">
        <v>41</v>
      </c>
      <c r="D209" s="538">
        <v>83</v>
      </c>
      <c r="E209" s="167">
        <v>2617891</v>
      </c>
      <c r="F209" s="171">
        <v>3202152</v>
      </c>
      <c r="G209" s="171">
        <v>2316555</v>
      </c>
      <c r="H209" s="171">
        <v>2298407</v>
      </c>
      <c r="I209" s="171">
        <v>2069826</v>
      </c>
      <c r="J209" s="171">
        <v>1973660</v>
      </c>
      <c r="K209" s="171">
        <v>2265713</v>
      </c>
      <c r="L209" s="171">
        <v>2468668</v>
      </c>
      <c r="M209" s="171">
        <v>2310615</v>
      </c>
      <c r="N209" s="167">
        <v>2238144</v>
      </c>
      <c r="O209" s="171">
        <v>2832256</v>
      </c>
      <c r="P209" s="171">
        <v>3143984</v>
      </c>
      <c r="Q209" s="171">
        <f t="shared" si="16"/>
        <v>29737871</v>
      </c>
      <c r="R209" s="541"/>
    </row>
    <row r="210" spans="2:18" x14ac:dyDescent="0.25">
      <c r="B210" s="167" t="s">
        <v>42</v>
      </c>
      <c r="C210" s="538" t="s">
        <v>43</v>
      </c>
      <c r="D210" s="538">
        <v>83</v>
      </c>
      <c r="E210" s="167">
        <v>3202152</v>
      </c>
      <c r="F210" s="171">
        <v>2316555</v>
      </c>
      <c r="G210" s="171">
        <v>2298407</v>
      </c>
      <c r="H210" s="171">
        <v>2069826</v>
      </c>
      <c r="I210" s="171">
        <v>1973660</v>
      </c>
      <c r="J210" s="171">
        <v>2265713</v>
      </c>
      <c r="K210" s="171">
        <v>2468668</v>
      </c>
      <c r="L210" s="171">
        <v>2310615</v>
      </c>
      <c r="M210" s="171">
        <v>2238144</v>
      </c>
      <c r="N210" s="167">
        <v>2832256</v>
      </c>
      <c r="O210" s="171">
        <v>3143984</v>
      </c>
      <c r="P210" s="171">
        <v>4182562</v>
      </c>
      <c r="Q210" s="171">
        <f t="shared" si="16"/>
        <v>31302542</v>
      </c>
      <c r="R210" s="541"/>
    </row>
    <row r="211" spans="2:18" x14ac:dyDescent="0.25">
      <c r="B211" s="167" t="s">
        <v>33</v>
      </c>
      <c r="C211" s="538" t="s">
        <v>44</v>
      </c>
      <c r="D211" s="538">
        <v>83</v>
      </c>
      <c r="E211" s="167">
        <v>3202152</v>
      </c>
      <c r="F211" s="171">
        <v>2316555</v>
      </c>
      <c r="G211" s="171">
        <v>2298407</v>
      </c>
      <c r="H211" s="171">
        <v>2069826</v>
      </c>
      <c r="I211" s="171">
        <v>1973660</v>
      </c>
      <c r="J211" s="171">
        <v>2265713</v>
      </c>
      <c r="K211" s="171">
        <v>2468668</v>
      </c>
      <c r="L211" s="171">
        <v>2310615</v>
      </c>
      <c r="M211" s="171">
        <v>2238144</v>
      </c>
      <c r="N211" s="167">
        <v>2832256</v>
      </c>
      <c r="O211" s="171">
        <v>3143984</v>
      </c>
      <c r="P211" s="171">
        <v>4182562</v>
      </c>
      <c r="Q211" s="171">
        <f t="shared" si="16"/>
        <v>31302542</v>
      </c>
      <c r="R211" s="541"/>
    </row>
    <row r="212" spans="2:18" x14ac:dyDescent="0.25">
      <c r="B212" s="542" t="s">
        <v>45</v>
      </c>
      <c r="E212" s="547"/>
      <c r="F212" s="171"/>
      <c r="G212" s="171"/>
      <c r="H212" s="171"/>
      <c r="I212" s="171"/>
      <c r="J212" s="171"/>
      <c r="K212" s="171"/>
      <c r="L212" s="171"/>
      <c r="M212" s="171"/>
      <c r="N212" s="547"/>
      <c r="O212" s="171"/>
      <c r="P212" s="171"/>
      <c r="Q212" s="171">
        <f t="shared" si="16"/>
        <v>0</v>
      </c>
      <c r="R212" s="541"/>
    </row>
    <row r="213" spans="2:18" x14ac:dyDescent="0.25">
      <c r="B213" s="167" t="s">
        <v>46</v>
      </c>
      <c r="C213" s="538" t="s">
        <v>35</v>
      </c>
      <c r="D213" s="538">
        <v>127</v>
      </c>
      <c r="E213" s="167">
        <v>55636.07</v>
      </c>
      <c r="F213" s="171">
        <v>65308.51</v>
      </c>
      <c r="G213" s="171">
        <v>50714.1</v>
      </c>
      <c r="H213" s="171">
        <v>50388</v>
      </c>
      <c r="I213" s="171">
        <v>46753.73</v>
      </c>
      <c r="J213" s="171">
        <v>45253.22</v>
      </c>
      <c r="K213" s="171">
        <v>49810.21</v>
      </c>
      <c r="L213" s="171">
        <v>53464.14</v>
      </c>
      <c r="M213" s="171">
        <v>50975.199999999997</v>
      </c>
      <c r="N213" s="167">
        <v>49833.97</v>
      </c>
      <c r="O213" s="171">
        <v>59551.97</v>
      </c>
      <c r="P213" s="171">
        <v>65326.559999999998</v>
      </c>
      <c r="Q213" s="171">
        <f t="shared" si="16"/>
        <v>643015.67999999993</v>
      </c>
      <c r="R213" s="541"/>
    </row>
    <row r="214" spans="2:18" x14ac:dyDescent="0.25">
      <c r="B214" s="167" t="s">
        <v>47</v>
      </c>
      <c r="C214" s="538" t="s">
        <v>37</v>
      </c>
      <c r="D214" s="538">
        <v>127</v>
      </c>
      <c r="E214" s="167">
        <v>0</v>
      </c>
      <c r="F214" s="171">
        <v>0</v>
      </c>
      <c r="G214" s="171">
        <v>0</v>
      </c>
      <c r="H214" s="171">
        <v>0</v>
      </c>
      <c r="I214" s="171">
        <v>0</v>
      </c>
      <c r="J214" s="171">
        <v>0</v>
      </c>
      <c r="K214" s="171">
        <v>0</v>
      </c>
      <c r="L214" s="171">
        <v>0</v>
      </c>
      <c r="M214" s="171">
        <v>0</v>
      </c>
      <c r="N214" s="167">
        <v>0</v>
      </c>
      <c r="O214" s="171">
        <v>0</v>
      </c>
      <c r="P214" s="171">
        <v>0</v>
      </c>
      <c r="Q214" s="171">
        <f t="shared" si="16"/>
        <v>0</v>
      </c>
      <c r="R214" s="541"/>
    </row>
    <row r="215" spans="2:18" x14ac:dyDescent="0.25">
      <c r="B215" s="167" t="s">
        <v>48</v>
      </c>
      <c r="C215" s="538" t="s">
        <v>39</v>
      </c>
      <c r="D215" s="538">
        <v>127</v>
      </c>
      <c r="E215" s="167">
        <v>0</v>
      </c>
      <c r="F215" s="171">
        <v>0</v>
      </c>
      <c r="G215" s="171">
        <v>0</v>
      </c>
      <c r="H215" s="171">
        <v>0</v>
      </c>
      <c r="I215" s="171">
        <v>0</v>
      </c>
      <c r="J215" s="171">
        <v>0</v>
      </c>
      <c r="K215" s="171">
        <v>0</v>
      </c>
      <c r="L215" s="171">
        <v>0</v>
      </c>
      <c r="M215" s="171">
        <v>0</v>
      </c>
      <c r="N215" s="167">
        <v>0</v>
      </c>
      <c r="O215" s="171">
        <v>0</v>
      </c>
      <c r="P215" s="171">
        <v>0</v>
      </c>
      <c r="Q215" s="171">
        <f t="shared" si="16"/>
        <v>0</v>
      </c>
      <c r="R215" s="541"/>
    </row>
    <row r="216" spans="2:18" x14ac:dyDescent="0.25">
      <c r="B216" s="167" t="s">
        <v>49</v>
      </c>
      <c r="C216" s="538" t="s">
        <v>50</v>
      </c>
      <c r="D216" s="538">
        <v>127</v>
      </c>
      <c r="E216" s="167">
        <v>0</v>
      </c>
      <c r="F216" s="171">
        <v>0</v>
      </c>
      <c r="G216" s="171">
        <v>0</v>
      </c>
      <c r="H216" s="171">
        <v>0</v>
      </c>
      <c r="I216" s="171">
        <v>0</v>
      </c>
      <c r="J216" s="171">
        <v>0</v>
      </c>
      <c r="K216" s="171">
        <v>0</v>
      </c>
      <c r="L216" s="171">
        <v>0</v>
      </c>
      <c r="M216" s="171">
        <v>0</v>
      </c>
      <c r="N216" s="167">
        <v>0</v>
      </c>
      <c r="O216" s="171">
        <v>0</v>
      </c>
      <c r="P216" s="171">
        <v>0</v>
      </c>
      <c r="Q216" s="171">
        <f t="shared" si="16"/>
        <v>0</v>
      </c>
      <c r="R216" s="541"/>
    </row>
    <row r="217" spans="2:18" x14ac:dyDescent="0.25">
      <c r="B217" s="167" t="s">
        <v>191</v>
      </c>
      <c r="C217" s="538" t="s">
        <v>51</v>
      </c>
      <c r="D217" s="538">
        <v>127</v>
      </c>
      <c r="E217" s="167">
        <v>0</v>
      </c>
      <c r="F217" s="171">
        <v>0</v>
      </c>
      <c r="G217" s="171">
        <v>0</v>
      </c>
      <c r="H217" s="171">
        <v>0</v>
      </c>
      <c r="I217" s="171">
        <v>0</v>
      </c>
      <c r="J217" s="171">
        <v>0</v>
      </c>
      <c r="K217" s="171">
        <v>0</v>
      </c>
      <c r="L217" s="171">
        <v>0</v>
      </c>
      <c r="M217" s="171">
        <v>0</v>
      </c>
      <c r="N217" s="167">
        <v>0</v>
      </c>
      <c r="O217" s="171">
        <v>0</v>
      </c>
      <c r="P217" s="171">
        <v>0</v>
      </c>
      <c r="Q217" s="171">
        <f t="shared" si="16"/>
        <v>0</v>
      </c>
      <c r="R217" s="541"/>
    </row>
    <row r="218" spans="2:18" x14ac:dyDescent="0.25">
      <c r="B218" s="167" t="s">
        <v>78</v>
      </c>
      <c r="C218" s="538" t="s">
        <v>77</v>
      </c>
      <c r="D218" s="538">
        <v>127</v>
      </c>
      <c r="E218" s="167">
        <v>0</v>
      </c>
      <c r="F218" s="171">
        <v>0</v>
      </c>
      <c r="G218" s="171">
        <v>0</v>
      </c>
      <c r="H218" s="171">
        <v>0</v>
      </c>
      <c r="I218" s="171">
        <v>0</v>
      </c>
      <c r="J218" s="171">
        <v>0</v>
      </c>
      <c r="K218" s="171">
        <v>0</v>
      </c>
      <c r="L218" s="171">
        <v>0</v>
      </c>
      <c r="M218" s="171">
        <v>0</v>
      </c>
      <c r="N218" s="167">
        <v>0</v>
      </c>
      <c r="O218" s="171">
        <v>0</v>
      </c>
      <c r="P218" s="171">
        <v>0</v>
      </c>
      <c r="Q218" s="171">
        <f t="shared" si="16"/>
        <v>0</v>
      </c>
      <c r="R218" s="541"/>
    </row>
    <row r="219" spans="2:18" x14ac:dyDescent="0.25">
      <c r="B219" s="167" t="s">
        <v>13</v>
      </c>
      <c r="C219" s="538" t="s">
        <v>52</v>
      </c>
      <c r="D219" s="538">
        <v>127</v>
      </c>
      <c r="E219" s="167">
        <v>0</v>
      </c>
      <c r="F219" s="171">
        <v>0</v>
      </c>
      <c r="G219" s="171">
        <v>0</v>
      </c>
      <c r="H219" s="171">
        <v>0</v>
      </c>
      <c r="I219" s="171">
        <v>0</v>
      </c>
      <c r="J219" s="171">
        <v>0</v>
      </c>
      <c r="K219" s="171">
        <v>0</v>
      </c>
      <c r="L219" s="171">
        <v>0</v>
      </c>
      <c r="M219" s="171">
        <v>0</v>
      </c>
      <c r="N219" s="167">
        <v>0</v>
      </c>
      <c r="O219" s="171">
        <v>0</v>
      </c>
      <c r="P219" s="171">
        <v>0</v>
      </c>
      <c r="Q219" s="171">
        <f t="shared" si="16"/>
        <v>0</v>
      </c>
      <c r="R219" s="541"/>
    </row>
    <row r="220" spans="2:18" x14ac:dyDescent="0.25">
      <c r="B220" s="167" t="s">
        <v>53</v>
      </c>
      <c r="C220" s="538" t="s">
        <v>41</v>
      </c>
      <c r="D220" s="538">
        <v>127</v>
      </c>
      <c r="E220" s="167">
        <v>55636.07</v>
      </c>
      <c r="F220" s="167">
        <v>65308.51</v>
      </c>
      <c r="G220" s="167">
        <v>50714.1</v>
      </c>
      <c r="H220" s="167">
        <v>50388</v>
      </c>
      <c r="I220" s="167">
        <v>46753.73</v>
      </c>
      <c r="J220" s="167">
        <v>45253.22</v>
      </c>
      <c r="K220" s="167">
        <v>49810.21</v>
      </c>
      <c r="L220" s="167">
        <v>53464.14</v>
      </c>
      <c r="M220" s="167">
        <v>50975.199999999997</v>
      </c>
      <c r="N220" s="167">
        <v>49833.97</v>
      </c>
      <c r="O220" s="167">
        <v>59551.97</v>
      </c>
      <c r="P220" s="167">
        <v>65326.559999999998</v>
      </c>
      <c r="Q220" s="171">
        <f>-SUM(E220:P220)</f>
        <v>-643015.67999999993</v>
      </c>
      <c r="R220" s="541"/>
    </row>
    <row r="221" spans="2:18" x14ac:dyDescent="0.25">
      <c r="B221" s="167" t="s">
        <v>54</v>
      </c>
      <c r="C221" s="538" t="s">
        <v>43</v>
      </c>
      <c r="D221" s="538">
        <v>127</v>
      </c>
      <c r="E221" s="167">
        <v>65308.51</v>
      </c>
      <c r="F221" s="167">
        <v>50714.1</v>
      </c>
      <c r="G221" s="167">
        <v>50388</v>
      </c>
      <c r="H221" s="167">
        <v>46753.73</v>
      </c>
      <c r="I221" s="167">
        <v>45253.22</v>
      </c>
      <c r="J221" s="167">
        <v>49810.21</v>
      </c>
      <c r="K221" s="167">
        <v>53464.14</v>
      </c>
      <c r="L221" s="167">
        <v>50975.199999999997</v>
      </c>
      <c r="M221" s="167">
        <v>49833.97</v>
      </c>
      <c r="N221" s="167">
        <v>59551.97</v>
      </c>
      <c r="O221" s="167">
        <v>65326.559999999998</v>
      </c>
      <c r="P221" s="167">
        <v>85416.41</v>
      </c>
      <c r="Q221" s="171">
        <f t="shared" si="16"/>
        <v>672796.02000000014</v>
      </c>
      <c r="R221" s="541"/>
    </row>
    <row r="222" spans="2:18" x14ac:dyDescent="0.25">
      <c r="B222" s="167" t="s">
        <v>30</v>
      </c>
      <c r="C222" s="538" t="s">
        <v>44</v>
      </c>
      <c r="D222" s="538">
        <v>127</v>
      </c>
      <c r="E222" s="167">
        <v>65308.51</v>
      </c>
      <c r="F222" s="167">
        <v>50714.1</v>
      </c>
      <c r="G222" s="167">
        <v>50388</v>
      </c>
      <c r="H222" s="167">
        <v>46753.73</v>
      </c>
      <c r="I222" s="167">
        <v>45253.22</v>
      </c>
      <c r="J222" s="167">
        <v>49810.21</v>
      </c>
      <c r="K222" s="167">
        <v>53464.14</v>
      </c>
      <c r="L222" s="167">
        <v>50975.199999999997</v>
      </c>
      <c r="M222" s="167">
        <v>49833.97</v>
      </c>
      <c r="N222" s="167">
        <v>59551.97</v>
      </c>
      <c r="O222" s="167">
        <v>65326.559999999998</v>
      </c>
      <c r="P222" s="167">
        <v>85416.41</v>
      </c>
      <c r="Q222" s="171">
        <f t="shared" si="16"/>
        <v>672796.02000000014</v>
      </c>
      <c r="R222" s="541"/>
    </row>
    <row r="223" spans="2:18" x14ac:dyDescent="0.25">
      <c r="B223" s="542" t="s">
        <v>45</v>
      </c>
      <c r="E223" s="547"/>
      <c r="N223" s="547"/>
      <c r="Q223" s="171"/>
      <c r="R223" s="541"/>
    </row>
    <row r="224" spans="2:18" x14ac:dyDescent="0.25">
      <c r="Q224" s="171"/>
      <c r="R224" s="541"/>
    </row>
    <row r="225" spans="1:18" x14ac:dyDescent="0.25">
      <c r="A225" s="544"/>
      <c r="B225" s="540" t="s">
        <v>107</v>
      </c>
      <c r="C225" s="538" t="s">
        <v>34</v>
      </c>
      <c r="D225" s="538">
        <v>84</v>
      </c>
      <c r="E225" s="540"/>
      <c r="N225" s="540"/>
      <c r="Q225" s="171"/>
      <c r="R225" s="541"/>
    </row>
    <row r="226" spans="1:18" x14ac:dyDescent="0.25">
      <c r="B226" s="167" t="s">
        <v>31</v>
      </c>
      <c r="C226" s="538" t="s">
        <v>35</v>
      </c>
      <c r="D226" s="538">
        <v>84</v>
      </c>
      <c r="E226" s="167">
        <v>938576</v>
      </c>
      <c r="F226" s="167">
        <v>2041529</v>
      </c>
      <c r="G226" s="167">
        <v>2359414</v>
      </c>
      <c r="H226" s="167">
        <v>2520690</v>
      </c>
      <c r="I226" s="167">
        <v>2845634</v>
      </c>
      <c r="J226" s="167">
        <v>2219500</v>
      </c>
      <c r="K226" s="167">
        <v>2090677</v>
      </c>
      <c r="L226" s="167">
        <v>2697591</v>
      </c>
      <c r="M226" s="167">
        <v>2677115</v>
      </c>
      <c r="N226" s="167">
        <v>2457018</v>
      </c>
      <c r="O226" s="167">
        <v>2779753</v>
      </c>
      <c r="P226" s="167">
        <v>2719510</v>
      </c>
      <c r="Q226" s="171">
        <f t="shared" si="16"/>
        <v>28347007</v>
      </c>
      <c r="R226" s="541"/>
    </row>
    <row r="227" spans="1:18" x14ac:dyDescent="0.25">
      <c r="B227" s="167" t="s">
        <v>36</v>
      </c>
      <c r="C227" s="538" t="s">
        <v>37</v>
      </c>
      <c r="D227" s="538">
        <v>84</v>
      </c>
      <c r="E227" s="167">
        <v>0</v>
      </c>
      <c r="F227" s="167">
        <v>0</v>
      </c>
      <c r="G227" s="167">
        <v>0</v>
      </c>
      <c r="H227" s="167">
        <v>0</v>
      </c>
      <c r="I227" s="167">
        <v>0</v>
      </c>
      <c r="J227" s="167">
        <v>0</v>
      </c>
      <c r="K227" s="167">
        <v>0</v>
      </c>
      <c r="L227" s="167">
        <v>0</v>
      </c>
      <c r="M227" s="167">
        <v>0</v>
      </c>
      <c r="N227" s="167">
        <v>0</v>
      </c>
      <c r="O227" s="167">
        <v>0</v>
      </c>
      <c r="P227" s="167">
        <v>0</v>
      </c>
      <c r="Q227" s="171">
        <f t="shared" si="16"/>
        <v>0</v>
      </c>
      <c r="R227" s="541"/>
    </row>
    <row r="228" spans="1:18" x14ac:dyDescent="0.25">
      <c r="B228" s="167" t="s">
        <v>38</v>
      </c>
      <c r="C228" s="538" t="s">
        <v>39</v>
      </c>
      <c r="D228" s="538">
        <v>84</v>
      </c>
      <c r="E228" s="167">
        <v>0</v>
      </c>
      <c r="F228" s="167">
        <v>0</v>
      </c>
      <c r="G228" s="167">
        <v>0</v>
      </c>
      <c r="H228" s="167">
        <v>0</v>
      </c>
      <c r="I228" s="167">
        <v>0</v>
      </c>
      <c r="J228" s="167">
        <v>0</v>
      </c>
      <c r="K228" s="167">
        <v>0</v>
      </c>
      <c r="L228" s="167">
        <v>0</v>
      </c>
      <c r="M228" s="167">
        <v>0</v>
      </c>
      <c r="N228" s="167">
        <v>0</v>
      </c>
      <c r="O228" s="167">
        <v>0</v>
      </c>
      <c r="P228" s="167">
        <v>0</v>
      </c>
      <c r="Q228" s="171">
        <f t="shared" si="16"/>
        <v>0</v>
      </c>
      <c r="R228" s="541"/>
    </row>
    <row r="229" spans="1:18" x14ac:dyDescent="0.25">
      <c r="B229" s="167" t="s">
        <v>40</v>
      </c>
      <c r="C229" s="538" t="s">
        <v>41</v>
      </c>
      <c r="D229" s="538">
        <v>84</v>
      </c>
      <c r="E229" s="167">
        <v>938576</v>
      </c>
      <c r="F229" s="167">
        <v>2041529</v>
      </c>
      <c r="G229" s="167">
        <v>2359414</v>
      </c>
      <c r="H229" s="167">
        <v>2520690</v>
      </c>
      <c r="I229" s="167">
        <v>2845634</v>
      </c>
      <c r="J229" s="167">
        <v>2219500</v>
      </c>
      <c r="K229" s="167">
        <v>2090677</v>
      </c>
      <c r="L229" s="167">
        <v>2697591</v>
      </c>
      <c r="M229" s="167">
        <v>2677115</v>
      </c>
      <c r="N229" s="167">
        <v>2457018</v>
      </c>
      <c r="O229" s="167">
        <v>2779753</v>
      </c>
      <c r="P229" s="167">
        <v>2719510</v>
      </c>
      <c r="Q229" s="171">
        <f t="shared" si="16"/>
        <v>28347007</v>
      </c>
      <c r="R229" s="541"/>
    </row>
    <row r="230" spans="1:18" x14ac:dyDescent="0.25">
      <c r="B230" s="167" t="s">
        <v>42</v>
      </c>
      <c r="C230" s="538" t="s">
        <v>43</v>
      </c>
      <c r="D230" s="538">
        <v>84</v>
      </c>
      <c r="E230" s="167">
        <v>2041529</v>
      </c>
      <c r="F230" s="167">
        <v>2359414</v>
      </c>
      <c r="G230" s="167">
        <v>2520690</v>
      </c>
      <c r="H230" s="167">
        <v>2845634</v>
      </c>
      <c r="I230" s="167">
        <v>2219500</v>
      </c>
      <c r="J230" s="167">
        <v>2090677</v>
      </c>
      <c r="K230" s="167">
        <v>2697591</v>
      </c>
      <c r="L230" s="167">
        <v>2677115</v>
      </c>
      <c r="M230" s="167">
        <v>2457018</v>
      </c>
      <c r="N230" s="167">
        <v>2779753</v>
      </c>
      <c r="O230" s="167">
        <v>2719510</v>
      </c>
      <c r="P230" s="167">
        <v>2894369</v>
      </c>
      <c r="Q230" s="171">
        <f t="shared" si="16"/>
        <v>30302800</v>
      </c>
      <c r="R230" s="541"/>
    </row>
    <row r="231" spans="1:18" x14ac:dyDescent="0.25">
      <c r="B231" s="167" t="s">
        <v>33</v>
      </c>
      <c r="C231" s="538" t="s">
        <v>44</v>
      </c>
      <c r="D231" s="538">
        <v>84</v>
      </c>
      <c r="E231" s="167">
        <v>2041529</v>
      </c>
      <c r="F231" s="167">
        <v>2359414</v>
      </c>
      <c r="G231" s="167">
        <v>2520690</v>
      </c>
      <c r="H231" s="167">
        <v>2845634</v>
      </c>
      <c r="I231" s="167">
        <v>2219500</v>
      </c>
      <c r="J231" s="167">
        <v>2090677</v>
      </c>
      <c r="K231" s="167">
        <v>2697591</v>
      </c>
      <c r="L231" s="167">
        <v>2677115</v>
      </c>
      <c r="M231" s="167">
        <v>2457018</v>
      </c>
      <c r="N231" s="167">
        <v>2779753</v>
      </c>
      <c r="O231" s="167">
        <v>2719510</v>
      </c>
      <c r="P231" s="167">
        <v>2894369</v>
      </c>
      <c r="Q231" s="171">
        <f t="shared" si="16"/>
        <v>30302800</v>
      </c>
      <c r="R231" s="541"/>
    </row>
    <row r="232" spans="1:18" x14ac:dyDescent="0.25">
      <c r="B232" s="542" t="s">
        <v>45</v>
      </c>
      <c r="E232" s="547"/>
      <c r="N232" s="547"/>
      <c r="Q232" s="171">
        <f t="shared" si="16"/>
        <v>0</v>
      </c>
      <c r="R232" s="541"/>
    </row>
    <row r="233" spans="1:18" x14ac:dyDescent="0.25">
      <c r="B233" s="167" t="s">
        <v>46</v>
      </c>
      <c r="C233" s="538" t="s">
        <v>35</v>
      </c>
      <c r="D233" s="538">
        <v>128</v>
      </c>
      <c r="E233" s="167">
        <v>19185.240000000002</v>
      </c>
      <c r="F233" s="167">
        <v>38509.06</v>
      </c>
      <c r="G233" s="167">
        <v>44078.43</v>
      </c>
      <c r="H233" s="167">
        <v>46903.99</v>
      </c>
      <c r="I233" s="167">
        <v>52597.03</v>
      </c>
      <c r="J233" s="167">
        <v>41627.129999999997</v>
      </c>
      <c r="K233" s="167">
        <v>39370.129999999997</v>
      </c>
      <c r="L233" s="167">
        <v>50003.32</v>
      </c>
      <c r="M233" s="167">
        <v>49644.58</v>
      </c>
      <c r="N233" s="167">
        <v>45788.46</v>
      </c>
      <c r="O233" s="167">
        <v>50534.76</v>
      </c>
      <c r="P233" s="167">
        <v>49498.98</v>
      </c>
      <c r="Q233" s="171">
        <f t="shared" si="16"/>
        <v>527741.1100000001</v>
      </c>
      <c r="R233" s="541"/>
    </row>
    <row r="234" spans="1:18" x14ac:dyDescent="0.25">
      <c r="B234" s="167" t="s">
        <v>47</v>
      </c>
      <c r="C234" s="538" t="s">
        <v>37</v>
      </c>
      <c r="D234" s="538">
        <v>128</v>
      </c>
      <c r="E234" s="167">
        <v>0</v>
      </c>
      <c r="F234" s="167">
        <v>0</v>
      </c>
      <c r="G234" s="167">
        <v>0</v>
      </c>
      <c r="H234" s="167">
        <v>0</v>
      </c>
      <c r="I234" s="167">
        <v>0</v>
      </c>
      <c r="J234" s="167">
        <v>0</v>
      </c>
      <c r="K234" s="167">
        <v>0</v>
      </c>
      <c r="L234" s="167">
        <v>0</v>
      </c>
      <c r="M234" s="167">
        <v>0</v>
      </c>
      <c r="N234" s="167">
        <v>0</v>
      </c>
      <c r="O234" s="167">
        <v>0</v>
      </c>
      <c r="P234" s="167">
        <v>0</v>
      </c>
      <c r="Q234" s="171">
        <f t="shared" si="16"/>
        <v>0</v>
      </c>
      <c r="R234" s="541"/>
    </row>
    <row r="235" spans="1:18" x14ac:dyDescent="0.25">
      <c r="B235" s="167" t="s">
        <v>48</v>
      </c>
      <c r="C235" s="538" t="s">
        <v>39</v>
      </c>
      <c r="D235" s="538">
        <v>128</v>
      </c>
      <c r="E235" s="167">
        <v>0</v>
      </c>
      <c r="F235" s="167">
        <v>0</v>
      </c>
      <c r="G235" s="167">
        <v>0</v>
      </c>
      <c r="H235" s="167">
        <v>0</v>
      </c>
      <c r="I235" s="167">
        <v>0</v>
      </c>
      <c r="J235" s="167">
        <v>0</v>
      </c>
      <c r="K235" s="167">
        <v>0</v>
      </c>
      <c r="L235" s="167">
        <v>0</v>
      </c>
      <c r="M235" s="167">
        <v>0</v>
      </c>
      <c r="N235" s="167">
        <v>0</v>
      </c>
      <c r="O235" s="167">
        <v>0</v>
      </c>
      <c r="P235" s="167">
        <v>0</v>
      </c>
      <c r="Q235" s="171">
        <f t="shared" si="16"/>
        <v>0</v>
      </c>
      <c r="R235" s="541"/>
    </row>
    <row r="236" spans="1:18" x14ac:dyDescent="0.25">
      <c r="B236" s="167" t="s">
        <v>49</v>
      </c>
      <c r="C236" s="538" t="s">
        <v>50</v>
      </c>
      <c r="D236" s="538">
        <v>128</v>
      </c>
      <c r="E236" s="167">
        <v>0</v>
      </c>
      <c r="F236" s="167">
        <v>0</v>
      </c>
      <c r="G236" s="167">
        <v>0</v>
      </c>
      <c r="H236" s="167">
        <v>0</v>
      </c>
      <c r="I236" s="167">
        <v>0</v>
      </c>
      <c r="J236" s="167">
        <v>0</v>
      </c>
      <c r="K236" s="167">
        <v>0</v>
      </c>
      <c r="L236" s="167">
        <v>0</v>
      </c>
      <c r="M236" s="167">
        <v>0</v>
      </c>
      <c r="N236" s="167">
        <v>0</v>
      </c>
      <c r="O236" s="167">
        <v>0</v>
      </c>
      <c r="P236" s="167">
        <v>0</v>
      </c>
      <c r="Q236" s="171">
        <f t="shared" si="16"/>
        <v>0</v>
      </c>
      <c r="R236" s="541"/>
    </row>
    <row r="237" spans="1:18" x14ac:dyDescent="0.25">
      <c r="B237" s="167" t="s">
        <v>191</v>
      </c>
      <c r="C237" s="538" t="s">
        <v>51</v>
      </c>
      <c r="D237" s="538">
        <v>128</v>
      </c>
      <c r="E237" s="167">
        <v>0</v>
      </c>
      <c r="F237" s="167">
        <v>0</v>
      </c>
      <c r="G237" s="167">
        <v>0</v>
      </c>
      <c r="H237" s="167">
        <v>0</v>
      </c>
      <c r="I237" s="167">
        <v>0</v>
      </c>
      <c r="J237" s="167">
        <v>0</v>
      </c>
      <c r="K237" s="167">
        <v>0</v>
      </c>
      <c r="L237" s="167">
        <v>0</v>
      </c>
      <c r="M237" s="167">
        <v>0</v>
      </c>
      <c r="N237" s="167">
        <v>0</v>
      </c>
      <c r="O237" s="167">
        <v>0</v>
      </c>
      <c r="P237" s="167">
        <v>0</v>
      </c>
      <c r="Q237" s="171">
        <f t="shared" si="16"/>
        <v>0</v>
      </c>
      <c r="R237" s="541"/>
    </row>
    <row r="238" spans="1:18" x14ac:dyDescent="0.25">
      <c r="B238" s="167" t="s">
        <v>78</v>
      </c>
      <c r="C238" s="538" t="s">
        <v>77</v>
      </c>
      <c r="D238" s="538">
        <v>128</v>
      </c>
      <c r="E238" s="167">
        <v>0</v>
      </c>
      <c r="F238" s="167">
        <v>0</v>
      </c>
      <c r="G238" s="167">
        <v>0</v>
      </c>
      <c r="H238" s="167">
        <v>0</v>
      </c>
      <c r="I238" s="167">
        <v>0</v>
      </c>
      <c r="J238" s="167">
        <v>0</v>
      </c>
      <c r="K238" s="167">
        <v>0</v>
      </c>
      <c r="L238" s="167">
        <v>0</v>
      </c>
      <c r="M238" s="167">
        <v>0</v>
      </c>
      <c r="N238" s="167">
        <v>0</v>
      </c>
      <c r="O238" s="167">
        <v>0</v>
      </c>
      <c r="P238" s="167">
        <v>0</v>
      </c>
      <c r="Q238" s="171">
        <f t="shared" si="16"/>
        <v>0</v>
      </c>
      <c r="R238" s="541"/>
    </row>
    <row r="239" spans="1:18" x14ac:dyDescent="0.25">
      <c r="B239" s="167" t="s">
        <v>13</v>
      </c>
      <c r="C239" s="538" t="s">
        <v>52</v>
      </c>
      <c r="D239" s="538">
        <v>128</v>
      </c>
      <c r="E239" s="167">
        <v>0</v>
      </c>
      <c r="F239" s="167">
        <v>0</v>
      </c>
      <c r="G239" s="167">
        <v>0</v>
      </c>
      <c r="H239" s="167">
        <v>0</v>
      </c>
      <c r="I239" s="167">
        <v>0</v>
      </c>
      <c r="J239" s="167">
        <v>0</v>
      </c>
      <c r="K239" s="167">
        <v>0</v>
      </c>
      <c r="L239" s="167">
        <v>0</v>
      </c>
      <c r="M239" s="167">
        <v>0</v>
      </c>
      <c r="N239" s="167">
        <v>0</v>
      </c>
      <c r="O239" s="167">
        <v>0</v>
      </c>
      <c r="P239" s="167">
        <v>0</v>
      </c>
      <c r="Q239" s="171">
        <f t="shared" ref="Q239:Q302" si="17">SUM(E239:P239)</f>
        <v>0</v>
      </c>
      <c r="R239" s="541"/>
    </row>
    <row r="240" spans="1:18" x14ac:dyDescent="0.25">
      <c r="B240" s="167" t="s">
        <v>53</v>
      </c>
      <c r="C240" s="538" t="s">
        <v>41</v>
      </c>
      <c r="D240" s="538">
        <v>128</v>
      </c>
      <c r="E240" s="167">
        <v>19185.240000000002</v>
      </c>
      <c r="F240" s="167">
        <v>38509.06</v>
      </c>
      <c r="G240" s="167">
        <v>44078.43</v>
      </c>
      <c r="H240" s="167">
        <v>46903.99</v>
      </c>
      <c r="I240" s="167">
        <v>52597.03</v>
      </c>
      <c r="J240" s="167">
        <v>41627.129999999997</v>
      </c>
      <c r="K240" s="167">
        <v>39370.129999999997</v>
      </c>
      <c r="L240" s="167">
        <v>50003.32</v>
      </c>
      <c r="M240" s="167">
        <v>49644.58</v>
      </c>
      <c r="N240" s="167">
        <v>45788.46</v>
      </c>
      <c r="O240" s="167">
        <v>50534.76</v>
      </c>
      <c r="P240" s="167">
        <v>49498.98</v>
      </c>
      <c r="Q240" s="171">
        <f>-SUM(E240:P240)</f>
        <v>-527741.1100000001</v>
      </c>
      <c r="R240" s="541"/>
    </row>
    <row r="241" spans="2:18" x14ac:dyDescent="0.25">
      <c r="B241" s="167" t="s">
        <v>54</v>
      </c>
      <c r="C241" s="538" t="s">
        <v>43</v>
      </c>
      <c r="D241" s="538">
        <v>128</v>
      </c>
      <c r="E241" s="167">
        <v>38509.06</v>
      </c>
      <c r="F241" s="167">
        <v>44078.43</v>
      </c>
      <c r="G241" s="167">
        <v>46903.99</v>
      </c>
      <c r="H241" s="167">
        <v>52597.03</v>
      </c>
      <c r="I241" s="167">
        <v>41627.129999999997</v>
      </c>
      <c r="J241" s="167">
        <v>39370.129999999997</v>
      </c>
      <c r="K241" s="167">
        <v>50003.32</v>
      </c>
      <c r="L241" s="167">
        <v>49644.58</v>
      </c>
      <c r="M241" s="167">
        <v>45788.46</v>
      </c>
      <c r="N241" s="167">
        <v>50534.76</v>
      </c>
      <c r="O241" s="167">
        <v>49498.98</v>
      </c>
      <c r="P241" s="167">
        <v>52505.4</v>
      </c>
      <c r="Q241" s="171">
        <f t="shared" si="17"/>
        <v>561061.27</v>
      </c>
      <c r="R241" s="541"/>
    </row>
    <row r="242" spans="2:18" x14ac:dyDescent="0.25">
      <c r="B242" s="167" t="s">
        <v>30</v>
      </c>
      <c r="C242" s="538" t="s">
        <v>44</v>
      </c>
      <c r="D242" s="538">
        <v>128</v>
      </c>
      <c r="E242" s="167">
        <v>38509.06</v>
      </c>
      <c r="F242" s="167">
        <v>44078.43</v>
      </c>
      <c r="G242" s="167">
        <v>46903.99</v>
      </c>
      <c r="H242" s="167">
        <v>52597.03</v>
      </c>
      <c r="I242" s="167">
        <v>41627.129999999997</v>
      </c>
      <c r="J242" s="167">
        <v>39370.129999999997</v>
      </c>
      <c r="K242" s="167">
        <v>50003.32</v>
      </c>
      <c r="L242" s="167">
        <v>49644.58</v>
      </c>
      <c r="M242" s="167">
        <v>45788.46</v>
      </c>
      <c r="N242" s="167">
        <v>50534.76</v>
      </c>
      <c r="O242" s="167">
        <v>49498.98</v>
      </c>
      <c r="P242" s="167">
        <v>52505.4</v>
      </c>
      <c r="Q242" s="171">
        <f t="shared" si="17"/>
        <v>561061.27</v>
      </c>
      <c r="R242" s="541"/>
    </row>
    <row r="243" spans="2:18" x14ac:dyDescent="0.25">
      <c r="B243" s="542" t="s">
        <v>45</v>
      </c>
      <c r="E243" s="547"/>
      <c r="N243" s="547"/>
      <c r="Q243" s="171"/>
      <c r="R243" s="541"/>
    </row>
    <row r="244" spans="2:18" x14ac:dyDescent="0.25">
      <c r="E244" s="547"/>
      <c r="N244" s="547"/>
      <c r="Q244" s="171"/>
      <c r="R244" s="541"/>
    </row>
    <row r="245" spans="2:18" x14ac:dyDescent="0.25">
      <c r="B245" s="540" t="s">
        <v>106</v>
      </c>
      <c r="C245" s="538" t="s">
        <v>34</v>
      </c>
      <c r="D245" s="538">
        <v>85</v>
      </c>
      <c r="F245" s="170"/>
      <c r="G245" s="170"/>
      <c r="H245" s="170"/>
      <c r="I245" s="170"/>
      <c r="J245" s="170"/>
      <c r="K245" s="170"/>
      <c r="L245" s="170"/>
      <c r="M245" s="170"/>
      <c r="O245" s="170"/>
      <c r="P245" s="170"/>
      <c r="Q245" s="171"/>
      <c r="R245" s="541"/>
    </row>
    <row r="246" spans="2:18" x14ac:dyDescent="0.25">
      <c r="B246" s="167" t="s">
        <v>31</v>
      </c>
      <c r="C246" s="538" t="s">
        <v>35</v>
      </c>
      <c r="D246" s="538">
        <v>85</v>
      </c>
      <c r="E246" s="167">
        <v>765472</v>
      </c>
      <c r="F246" s="171">
        <v>835418</v>
      </c>
      <c r="G246" s="171">
        <v>735036</v>
      </c>
      <c r="H246" s="171">
        <v>848257</v>
      </c>
      <c r="I246" s="171">
        <v>769998</v>
      </c>
      <c r="J246" s="171">
        <v>453427</v>
      </c>
      <c r="K246" s="171">
        <v>759078</v>
      </c>
      <c r="L246" s="171">
        <v>656415</v>
      </c>
      <c r="M246" s="171">
        <v>629970</v>
      </c>
      <c r="N246" s="167">
        <v>700843</v>
      </c>
      <c r="O246" s="171">
        <v>787046</v>
      </c>
      <c r="P246" s="171">
        <v>758864</v>
      </c>
      <c r="Q246" s="171">
        <f t="shared" si="17"/>
        <v>8699824</v>
      </c>
      <c r="R246" s="541"/>
    </row>
    <row r="247" spans="2:18" x14ac:dyDescent="0.25">
      <c r="B247" s="167" t="s">
        <v>36</v>
      </c>
      <c r="C247" s="538" t="s">
        <v>37</v>
      </c>
      <c r="D247" s="538">
        <v>85</v>
      </c>
      <c r="E247" s="167">
        <v>0</v>
      </c>
      <c r="F247" s="171">
        <v>0</v>
      </c>
      <c r="G247" s="171">
        <v>0</v>
      </c>
      <c r="H247" s="171">
        <v>0</v>
      </c>
      <c r="I247" s="171">
        <v>0</v>
      </c>
      <c r="J247" s="171">
        <v>0</v>
      </c>
      <c r="K247" s="171">
        <v>0</v>
      </c>
      <c r="L247" s="171">
        <v>0</v>
      </c>
      <c r="M247" s="171">
        <v>0</v>
      </c>
      <c r="N247" s="167">
        <v>0</v>
      </c>
      <c r="O247" s="171">
        <v>0</v>
      </c>
      <c r="P247" s="171">
        <v>0</v>
      </c>
      <c r="Q247" s="171">
        <f t="shared" si="17"/>
        <v>0</v>
      </c>
      <c r="R247" s="541"/>
    </row>
    <row r="248" spans="2:18" x14ac:dyDescent="0.25">
      <c r="B248" s="167" t="s">
        <v>38</v>
      </c>
      <c r="C248" s="538" t="s">
        <v>39</v>
      </c>
      <c r="D248" s="538">
        <v>85</v>
      </c>
      <c r="E248" s="167">
        <v>0</v>
      </c>
      <c r="F248" s="171">
        <v>0</v>
      </c>
      <c r="G248" s="171">
        <v>0</v>
      </c>
      <c r="H248" s="171">
        <v>0</v>
      </c>
      <c r="I248" s="171">
        <v>0</v>
      </c>
      <c r="J248" s="171">
        <v>0</v>
      </c>
      <c r="K248" s="171">
        <v>0</v>
      </c>
      <c r="L248" s="171">
        <v>0</v>
      </c>
      <c r="M248" s="171">
        <v>0</v>
      </c>
      <c r="N248" s="167">
        <v>0</v>
      </c>
      <c r="O248" s="171">
        <v>0</v>
      </c>
      <c r="P248" s="171">
        <v>0</v>
      </c>
      <c r="Q248" s="171">
        <f t="shared" si="17"/>
        <v>0</v>
      </c>
      <c r="R248" s="541"/>
    </row>
    <row r="249" spans="2:18" x14ac:dyDescent="0.25">
      <c r="B249" s="167" t="s">
        <v>40</v>
      </c>
      <c r="C249" s="538" t="s">
        <v>41</v>
      </c>
      <c r="D249" s="538">
        <v>85</v>
      </c>
      <c r="E249" s="167">
        <v>765472</v>
      </c>
      <c r="F249" s="171">
        <v>835418</v>
      </c>
      <c r="G249" s="171">
        <v>735036</v>
      </c>
      <c r="H249" s="171">
        <v>848257</v>
      </c>
      <c r="I249" s="171">
        <v>769998</v>
      </c>
      <c r="J249" s="171">
        <v>453427</v>
      </c>
      <c r="K249" s="171">
        <v>759078</v>
      </c>
      <c r="L249" s="171">
        <v>656415</v>
      </c>
      <c r="M249" s="171">
        <v>629970</v>
      </c>
      <c r="N249" s="167">
        <v>700843</v>
      </c>
      <c r="O249" s="171">
        <v>787046</v>
      </c>
      <c r="P249" s="171">
        <v>758864</v>
      </c>
      <c r="Q249" s="171">
        <f t="shared" si="17"/>
        <v>8699824</v>
      </c>
      <c r="R249" s="541"/>
    </row>
    <row r="250" spans="2:18" x14ac:dyDescent="0.25">
      <c r="B250" s="167" t="s">
        <v>42</v>
      </c>
      <c r="C250" s="538" t="s">
        <v>43</v>
      </c>
      <c r="D250" s="538">
        <v>85</v>
      </c>
      <c r="E250" s="167">
        <v>835418</v>
      </c>
      <c r="F250" s="171">
        <v>735036</v>
      </c>
      <c r="G250" s="171">
        <v>848257</v>
      </c>
      <c r="H250" s="171">
        <v>769998</v>
      </c>
      <c r="I250" s="171">
        <v>453427</v>
      </c>
      <c r="J250" s="171">
        <v>759078</v>
      </c>
      <c r="K250" s="171">
        <v>656415</v>
      </c>
      <c r="L250" s="171">
        <v>629970</v>
      </c>
      <c r="M250" s="171">
        <v>700843</v>
      </c>
      <c r="N250" s="167">
        <v>787046</v>
      </c>
      <c r="O250" s="171">
        <v>758864</v>
      </c>
      <c r="P250" s="171">
        <v>777031</v>
      </c>
      <c r="Q250" s="171">
        <f t="shared" si="17"/>
        <v>8711383</v>
      </c>
      <c r="R250" s="541"/>
    </row>
    <row r="251" spans="2:18" x14ac:dyDescent="0.25">
      <c r="B251" s="167" t="s">
        <v>33</v>
      </c>
      <c r="C251" s="538" t="s">
        <v>44</v>
      </c>
      <c r="D251" s="538">
        <v>85</v>
      </c>
      <c r="E251" s="167">
        <v>835418</v>
      </c>
      <c r="F251" s="171">
        <v>735036</v>
      </c>
      <c r="G251" s="171">
        <v>848257</v>
      </c>
      <c r="H251" s="171">
        <v>769998</v>
      </c>
      <c r="I251" s="171">
        <v>453427</v>
      </c>
      <c r="J251" s="171">
        <v>759078</v>
      </c>
      <c r="K251" s="171">
        <v>656415</v>
      </c>
      <c r="L251" s="171">
        <v>629970</v>
      </c>
      <c r="M251" s="171">
        <v>700843</v>
      </c>
      <c r="N251" s="167">
        <v>787046</v>
      </c>
      <c r="O251" s="171">
        <v>758864</v>
      </c>
      <c r="P251" s="171">
        <v>777031</v>
      </c>
      <c r="Q251" s="171">
        <f t="shared" si="17"/>
        <v>8711383</v>
      </c>
      <c r="R251" s="541"/>
    </row>
    <row r="252" spans="2:18" x14ac:dyDescent="0.25">
      <c r="B252" s="542" t="s">
        <v>45</v>
      </c>
      <c r="F252" s="171"/>
      <c r="G252" s="171"/>
      <c r="H252" s="171"/>
      <c r="I252" s="171"/>
      <c r="J252" s="171"/>
      <c r="K252" s="171"/>
      <c r="L252" s="171"/>
      <c r="M252" s="171"/>
      <c r="O252" s="171"/>
      <c r="P252" s="171"/>
      <c r="Q252" s="171">
        <f t="shared" si="17"/>
        <v>0</v>
      </c>
      <c r="R252" s="541"/>
    </row>
    <row r="253" spans="2:18" x14ac:dyDescent="0.25">
      <c r="B253" s="167" t="s">
        <v>46</v>
      </c>
      <c r="C253" s="538" t="s">
        <v>35</v>
      </c>
      <c r="D253" s="538">
        <v>129</v>
      </c>
      <c r="E253" s="167">
        <v>12588.28</v>
      </c>
      <c r="F253" s="171">
        <v>13464.21</v>
      </c>
      <c r="G253" s="171">
        <v>12207.13</v>
      </c>
      <c r="H253" s="171">
        <v>13624.98</v>
      </c>
      <c r="I253" s="171">
        <v>12644.95</v>
      </c>
      <c r="J253" s="171">
        <v>8680.59</v>
      </c>
      <c r="K253" s="171">
        <v>12508.2</v>
      </c>
      <c r="L253" s="171">
        <v>11222.57</v>
      </c>
      <c r="M253" s="171">
        <v>10891.41</v>
      </c>
      <c r="N253" s="167">
        <v>11778.94</v>
      </c>
      <c r="O253" s="171">
        <v>13010.91</v>
      </c>
      <c r="P253" s="171">
        <v>12652.54</v>
      </c>
      <c r="Q253" s="171">
        <f t="shared" si="17"/>
        <v>145274.71</v>
      </c>
      <c r="R253" s="541"/>
    </row>
    <row r="254" spans="2:18" x14ac:dyDescent="0.25">
      <c r="B254" s="167" t="s">
        <v>47</v>
      </c>
      <c r="C254" s="538" t="s">
        <v>37</v>
      </c>
      <c r="D254" s="538">
        <v>129</v>
      </c>
      <c r="E254" s="167">
        <v>0</v>
      </c>
      <c r="F254" s="171">
        <v>0</v>
      </c>
      <c r="G254" s="171">
        <v>0</v>
      </c>
      <c r="H254" s="171">
        <v>0</v>
      </c>
      <c r="I254" s="171">
        <v>0</v>
      </c>
      <c r="J254" s="171">
        <v>0</v>
      </c>
      <c r="K254" s="171">
        <v>0</v>
      </c>
      <c r="L254" s="171">
        <v>0</v>
      </c>
      <c r="M254" s="171">
        <v>0</v>
      </c>
      <c r="N254" s="167">
        <v>0</v>
      </c>
      <c r="O254" s="171">
        <v>0</v>
      </c>
      <c r="P254" s="171">
        <v>0</v>
      </c>
      <c r="Q254" s="171">
        <f t="shared" si="17"/>
        <v>0</v>
      </c>
      <c r="R254" s="541"/>
    </row>
    <row r="255" spans="2:18" x14ac:dyDescent="0.25">
      <c r="B255" s="167" t="s">
        <v>48</v>
      </c>
      <c r="C255" s="538" t="s">
        <v>39</v>
      </c>
      <c r="D255" s="538">
        <v>129</v>
      </c>
      <c r="E255" s="167">
        <v>0</v>
      </c>
      <c r="F255" s="171">
        <v>0</v>
      </c>
      <c r="G255" s="171">
        <v>0</v>
      </c>
      <c r="H255" s="171">
        <v>0</v>
      </c>
      <c r="I255" s="171">
        <v>0</v>
      </c>
      <c r="J255" s="171">
        <v>0</v>
      </c>
      <c r="K255" s="171">
        <v>0</v>
      </c>
      <c r="L255" s="171">
        <v>0</v>
      </c>
      <c r="M255" s="171">
        <v>0</v>
      </c>
      <c r="N255" s="167">
        <v>0</v>
      </c>
      <c r="O255" s="171">
        <v>0</v>
      </c>
      <c r="P255" s="171">
        <v>0</v>
      </c>
      <c r="Q255" s="171">
        <f t="shared" si="17"/>
        <v>0</v>
      </c>
      <c r="R255" s="541"/>
    </row>
    <row r="256" spans="2:18" x14ac:dyDescent="0.25">
      <c r="B256" s="167" t="s">
        <v>49</v>
      </c>
      <c r="C256" s="538" t="s">
        <v>50</v>
      </c>
      <c r="D256" s="538">
        <v>129</v>
      </c>
      <c r="E256" s="167">
        <v>0</v>
      </c>
      <c r="F256" s="171">
        <v>0</v>
      </c>
      <c r="G256" s="171">
        <v>0</v>
      </c>
      <c r="H256" s="171">
        <v>0</v>
      </c>
      <c r="I256" s="171">
        <v>0</v>
      </c>
      <c r="J256" s="171">
        <v>0</v>
      </c>
      <c r="K256" s="171">
        <v>0</v>
      </c>
      <c r="L256" s="171">
        <v>0</v>
      </c>
      <c r="M256" s="171">
        <v>0</v>
      </c>
      <c r="N256" s="167">
        <v>0</v>
      </c>
      <c r="O256" s="171">
        <v>0</v>
      </c>
      <c r="P256" s="171">
        <v>0</v>
      </c>
      <c r="Q256" s="171">
        <f t="shared" si="17"/>
        <v>0</v>
      </c>
      <c r="R256" s="541"/>
    </row>
    <row r="257" spans="2:18" x14ac:dyDescent="0.25">
      <c r="B257" s="167" t="s">
        <v>191</v>
      </c>
      <c r="C257" s="538" t="s">
        <v>51</v>
      </c>
      <c r="D257" s="538">
        <v>129</v>
      </c>
      <c r="E257" s="167">
        <v>0</v>
      </c>
      <c r="F257" s="171">
        <v>0</v>
      </c>
      <c r="G257" s="171">
        <v>0</v>
      </c>
      <c r="H257" s="171">
        <v>0</v>
      </c>
      <c r="I257" s="171">
        <v>0</v>
      </c>
      <c r="J257" s="171">
        <v>0</v>
      </c>
      <c r="K257" s="171">
        <v>0</v>
      </c>
      <c r="L257" s="171">
        <v>0</v>
      </c>
      <c r="M257" s="171">
        <v>0</v>
      </c>
      <c r="N257" s="167">
        <v>0</v>
      </c>
      <c r="O257" s="171">
        <v>0</v>
      </c>
      <c r="P257" s="171">
        <v>0</v>
      </c>
      <c r="Q257" s="171">
        <f t="shared" si="17"/>
        <v>0</v>
      </c>
      <c r="R257" s="541"/>
    </row>
    <row r="258" spans="2:18" x14ac:dyDescent="0.25">
      <c r="B258" s="167" t="s">
        <v>78</v>
      </c>
      <c r="C258" s="538" t="s">
        <v>77</v>
      </c>
      <c r="D258" s="538">
        <v>129</v>
      </c>
      <c r="E258" s="167">
        <v>0</v>
      </c>
      <c r="F258" s="171">
        <v>0</v>
      </c>
      <c r="G258" s="171">
        <v>0</v>
      </c>
      <c r="H258" s="171">
        <v>0</v>
      </c>
      <c r="I258" s="171">
        <v>0</v>
      </c>
      <c r="J258" s="171">
        <v>0</v>
      </c>
      <c r="K258" s="171">
        <v>0</v>
      </c>
      <c r="L258" s="171">
        <v>0</v>
      </c>
      <c r="M258" s="171">
        <v>0</v>
      </c>
      <c r="N258" s="167">
        <v>0</v>
      </c>
      <c r="O258" s="171">
        <v>0</v>
      </c>
      <c r="P258" s="171">
        <v>0</v>
      </c>
      <c r="Q258" s="171">
        <f t="shared" si="17"/>
        <v>0</v>
      </c>
      <c r="R258" s="541"/>
    </row>
    <row r="259" spans="2:18" x14ac:dyDescent="0.25">
      <c r="B259" s="167" t="s">
        <v>13</v>
      </c>
      <c r="C259" s="538" t="s">
        <v>52</v>
      </c>
      <c r="D259" s="538">
        <v>129</v>
      </c>
      <c r="E259" s="167">
        <v>0</v>
      </c>
      <c r="F259" s="171">
        <v>0</v>
      </c>
      <c r="G259" s="171">
        <v>0</v>
      </c>
      <c r="H259" s="171">
        <v>0</v>
      </c>
      <c r="I259" s="171">
        <v>0</v>
      </c>
      <c r="J259" s="171">
        <v>0</v>
      </c>
      <c r="K259" s="171">
        <v>0</v>
      </c>
      <c r="L259" s="171">
        <v>0</v>
      </c>
      <c r="M259" s="171">
        <v>0</v>
      </c>
      <c r="N259" s="167">
        <v>0</v>
      </c>
      <c r="O259" s="171">
        <v>0</v>
      </c>
      <c r="P259" s="171">
        <v>0</v>
      </c>
      <c r="Q259" s="171">
        <f t="shared" si="17"/>
        <v>0</v>
      </c>
      <c r="R259" s="541"/>
    </row>
    <row r="260" spans="2:18" x14ac:dyDescent="0.25">
      <c r="B260" s="167" t="s">
        <v>53</v>
      </c>
      <c r="C260" s="538" t="s">
        <v>41</v>
      </c>
      <c r="D260" s="538">
        <v>129</v>
      </c>
      <c r="E260" s="167">
        <v>12588.28</v>
      </c>
      <c r="F260" s="171">
        <v>13464.21</v>
      </c>
      <c r="G260" s="171">
        <v>12207.13</v>
      </c>
      <c r="H260" s="171">
        <v>13624.98</v>
      </c>
      <c r="I260" s="171">
        <v>12644.95</v>
      </c>
      <c r="J260" s="171">
        <v>8680.59</v>
      </c>
      <c r="K260" s="171">
        <v>12508.2</v>
      </c>
      <c r="L260" s="171">
        <v>11222.57</v>
      </c>
      <c r="M260" s="171">
        <v>10891.41</v>
      </c>
      <c r="N260" s="167">
        <v>11778.94</v>
      </c>
      <c r="O260" s="171">
        <v>13010.91</v>
      </c>
      <c r="P260" s="171">
        <v>12652.54</v>
      </c>
      <c r="Q260" s="171">
        <f>-SUM(E260:P260)</f>
        <v>-145274.71</v>
      </c>
      <c r="R260" s="541"/>
    </row>
    <row r="261" spans="2:18" x14ac:dyDescent="0.25">
      <c r="B261" s="167" t="s">
        <v>54</v>
      </c>
      <c r="C261" s="538" t="s">
        <v>43</v>
      </c>
      <c r="D261" s="538">
        <v>129</v>
      </c>
      <c r="E261" s="167">
        <v>13464.21</v>
      </c>
      <c r="F261" s="171">
        <v>12207.13</v>
      </c>
      <c r="G261" s="171">
        <v>13624.98</v>
      </c>
      <c r="H261" s="171">
        <v>12644.95</v>
      </c>
      <c r="I261" s="171">
        <v>8680.59</v>
      </c>
      <c r="J261" s="171">
        <v>12508.2</v>
      </c>
      <c r="K261" s="171">
        <v>11222.57</v>
      </c>
      <c r="L261" s="171">
        <v>10891.41</v>
      </c>
      <c r="M261" s="171">
        <v>11778.94</v>
      </c>
      <c r="N261" s="167">
        <v>13010.91</v>
      </c>
      <c r="O261" s="171">
        <v>12652.54</v>
      </c>
      <c r="P261" s="171">
        <v>12883.55</v>
      </c>
      <c r="Q261" s="171">
        <f t="shared" si="17"/>
        <v>145569.97999999998</v>
      </c>
      <c r="R261" s="541"/>
    </row>
    <row r="262" spans="2:18" x14ac:dyDescent="0.25">
      <c r="B262" s="167" t="s">
        <v>30</v>
      </c>
      <c r="C262" s="538" t="s">
        <v>44</v>
      </c>
      <c r="D262" s="538">
        <v>129</v>
      </c>
      <c r="E262" s="167">
        <v>13464.21</v>
      </c>
      <c r="F262" s="171">
        <v>12207.13</v>
      </c>
      <c r="G262" s="171">
        <v>13624.98</v>
      </c>
      <c r="H262" s="171">
        <v>12644.95</v>
      </c>
      <c r="I262" s="171">
        <v>8680.59</v>
      </c>
      <c r="J262" s="171">
        <v>12508.2</v>
      </c>
      <c r="K262" s="171">
        <v>11222.57</v>
      </c>
      <c r="L262" s="171">
        <v>10891.41</v>
      </c>
      <c r="M262" s="171">
        <v>11778.94</v>
      </c>
      <c r="N262" s="167">
        <v>13010.91</v>
      </c>
      <c r="O262" s="171">
        <v>12652.54</v>
      </c>
      <c r="P262" s="171">
        <v>12883.55</v>
      </c>
      <c r="Q262" s="171">
        <f t="shared" si="17"/>
        <v>145569.97999999998</v>
      </c>
      <c r="R262" s="541"/>
    </row>
    <row r="263" spans="2:18" x14ac:dyDescent="0.25">
      <c r="B263" s="542" t="s">
        <v>45</v>
      </c>
      <c r="F263" s="171"/>
      <c r="G263" s="171"/>
      <c r="H263" s="171"/>
      <c r="I263" s="171"/>
      <c r="J263" s="171"/>
      <c r="K263" s="171"/>
      <c r="L263" s="171"/>
      <c r="M263" s="171"/>
      <c r="O263" s="171"/>
      <c r="P263" s="171"/>
      <c r="Q263" s="171"/>
      <c r="R263" s="541"/>
    </row>
    <row r="264" spans="2:18" x14ac:dyDescent="0.25">
      <c r="F264" s="171"/>
      <c r="G264" s="171"/>
      <c r="H264" s="171"/>
      <c r="I264" s="171"/>
      <c r="J264" s="171"/>
      <c r="K264" s="171"/>
      <c r="L264" s="171"/>
      <c r="M264" s="171"/>
      <c r="O264" s="171"/>
      <c r="P264" s="171"/>
      <c r="Q264" s="171"/>
      <c r="R264" s="541"/>
    </row>
    <row r="265" spans="2:18" x14ac:dyDescent="0.25">
      <c r="B265" s="540" t="s">
        <v>105</v>
      </c>
      <c r="C265" s="538" t="s">
        <v>34</v>
      </c>
      <c r="D265" s="538">
        <v>86</v>
      </c>
      <c r="F265" s="171"/>
      <c r="G265" s="171"/>
      <c r="H265" s="171"/>
      <c r="I265" s="171"/>
      <c r="J265" s="171"/>
      <c r="K265" s="171"/>
      <c r="L265" s="171"/>
      <c r="M265" s="171"/>
      <c r="O265" s="171"/>
      <c r="P265" s="171"/>
      <c r="Q265" s="171"/>
      <c r="R265" s="541"/>
    </row>
    <row r="266" spans="2:18" x14ac:dyDescent="0.25">
      <c r="B266" s="167" t="s">
        <v>31</v>
      </c>
      <c r="C266" s="538" t="s">
        <v>35</v>
      </c>
      <c r="D266" s="538">
        <v>86</v>
      </c>
      <c r="E266" s="167">
        <v>502419</v>
      </c>
      <c r="F266" s="171">
        <v>564041</v>
      </c>
      <c r="G266" s="171">
        <v>538901</v>
      </c>
      <c r="H266" s="171">
        <v>538257</v>
      </c>
      <c r="I266" s="171">
        <v>397319</v>
      </c>
      <c r="J266" s="171">
        <v>390685</v>
      </c>
      <c r="K266" s="171">
        <v>327788</v>
      </c>
      <c r="L266" s="171">
        <v>339569</v>
      </c>
      <c r="M266" s="171">
        <v>278437</v>
      </c>
      <c r="N266" s="167">
        <v>318250</v>
      </c>
      <c r="O266" s="171">
        <v>348739</v>
      </c>
      <c r="P266" s="171">
        <v>325444</v>
      </c>
      <c r="Q266" s="171">
        <f t="shared" si="17"/>
        <v>4869849</v>
      </c>
      <c r="R266" s="541"/>
    </row>
    <row r="267" spans="2:18" x14ac:dyDescent="0.25">
      <c r="B267" s="167" t="s">
        <v>36</v>
      </c>
      <c r="C267" s="538" t="s">
        <v>37</v>
      </c>
      <c r="D267" s="538">
        <v>86</v>
      </c>
      <c r="E267" s="174">
        <v>0</v>
      </c>
      <c r="F267" s="174">
        <v>0</v>
      </c>
      <c r="G267" s="174">
        <v>0</v>
      </c>
      <c r="H267" s="174">
        <v>0</v>
      </c>
      <c r="I267" s="174">
        <v>0</v>
      </c>
      <c r="J267" s="174">
        <v>0</v>
      </c>
      <c r="K267" s="174">
        <v>0</v>
      </c>
      <c r="L267" s="174">
        <v>0</v>
      </c>
      <c r="M267" s="174">
        <v>0</v>
      </c>
      <c r="N267" s="174">
        <v>0</v>
      </c>
      <c r="O267" s="174">
        <v>0</v>
      </c>
      <c r="P267" s="174">
        <v>0</v>
      </c>
      <c r="Q267" s="171">
        <f t="shared" si="17"/>
        <v>0</v>
      </c>
      <c r="R267" s="541"/>
    </row>
    <row r="268" spans="2:18" x14ac:dyDescent="0.25">
      <c r="B268" s="167" t="s">
        <v>38</v>
      </c>
      <c r="C268" s="538" t="s">
        <v>39</v>
      </c>
      <c r="D268" s="538">
        <v>86</v>
      </c>
      <c r="E268" s="174">
        <v>0</v>
      </c>
      <c r="F268" s="174">
        <v>0</v>
      </c>
      <c r="G268" s="174">
        <v>0</v>
      </c>
      <c r="H268" s="174">
        <v>0</v>
      </c>
      <c r="I268" s="174">
        <v>0</v>
      </c>
      <c r="J268" s="174">
        <v>0</v>
      </c>
      <c r="K268" s="174">
        <v>0</v>
      </c>
      <c r="L268" s="174">
        <v>0</v>
      </c>
      <c r="M268" s="174">
        <v>0</v>
      </c>
      <c r="N268" s="174">
        <v>0</v>
      </c>
      <c r="O268" s="174">
        <v>0</v>
      </c>
      <c r="P268" s="174">
        <v>0</v>
      </c>
      <c r="Q268" s="171">
        <f t="shared" si="17"/>
        <v>0</v>
      </c>
      <c r="R268" s="541"/>
    </row>
    <row r="269" spans="2:18" x14ac:dyDescent="0.25">
      <c r="B269" s="167" t="s">
        <v>40</v>
      </c>
      <c r="C269" s="538" t="s">
        <v>41</v>
      </c>
      <c r="D269" s="538">
        <v>86</v>
      </c>
      <c r="E269" s="167">
        <v>502419</v>
      </c>
      <c r="F269" s="171">
        <v>564041</v>
      </c>
      <c r="G269" s="171">
        <v>538901</v>
      </c>
      <c r="H269" s="171">
        <v>538257</v>
      </c>
      <c r="I269" s="171">
        <v>397319</v>
      </c>
      <c r="J269" s="171">
        <v>390685</v>
      </c>
      <c r="K269" s="171">
        <v>327788</v>
      </c>
      <c r="L269" s="171">
        <v>339569</v>
      </c>
      <c r="M269" s="171">
        <v>278437</v>
      </c>
      <c r="N269" s="167">
        <v>318250</v>
      </c>
      <c r="O269" s="171">
        <v>348739</v>
      </c>
      <c r="P269" s="171">
        <v>325444</v>
      </c>
      <c r="Q269" s="171">
        <f t="shared" si="17"/>
        <v>4869849</v>
      </c>
      <c r="R269" s="541"/>
    </row>
    <row r="270" spans="2:18" x14ac:dyDescent="0.25">
      <c r="B270" s="167" t="s">
        <v>42</v>
      </c>
      <c r="C270" s="538" t="s">
        <v>43</v>
      </c>
      <c r="D270" s="538">
        <v>86</v>
      </c>
      <c r="E270" s="167">
        <v>564041</v>
      </c>
      <c r="F270" s="171">
        <v>538901</v>
      </c>
      <c r="G270" s="171">
        <v>538257</v>
      </c>
      <c r="H270" s="171">
        <v>397319</v>
      </c>
      <c r="I270" s="171">
        <v>390685</v>
      </c>
      <c r="J270" s="171">
        <v>327788</v>
      </c>
      <c r="K270" s="171">
        <v>339569</v>
      </c>
      <c r="L270" s="171">
        <v>278437</v>
      </c>
      <c r="M270" s="171">
        <v>318250</v>
      </c>
      <c r="N270" s="167">
        <v>348739</v>
      </c>
      <c r="O270" s="171">
        <v>325444</v>
      </c>
      <c r="P270" s="171">
        <v>492333</v>
      </c>
      <c r="Q270" s="171">
        <f t="shared" si="17"/>
        <v>4859763</v>
      </c>
      <c r="R270" s="541"/>
    </row>
    <row r="271" spans="2:18" x14ac:dyDescent="0.25">
      <c r="B271" s="167" t="s">
        <v>33</v>
      </c>
      <c r="C271" s="538" t="s">
        <v>44</v>
      </c>
      <c r="D271" s="538">
        <v>86</v>
      </c>
      <c r="E271" s="167">
        <v>564041</v>
      </c>
      <c r="F271" s="171">
        <v>538901</v>
      </c>
      <c r="G271" s="171">
        <v>538257</v>
      </c>
      <c r="H271" s="171">
        <v>397319</v>
      </c>
      <c r="I271" s="171">
        <v>390685</v>
      </c>
      <c r="J271" s="171">
        <v>327788</v>
      </c>
      <c r="K271" s="171">
        <v>339569</v>
      </c>
      <c r="L271" s="171">
        <v>278437</v>
      </c>
      <c r="M271" s="171">
        <v>318250</v>
      </c>
      <c r="N271" s="167">
        <v>348739</v>
      </c>
      <c r="O271" s="171">
        <v>325444</v>
      </c>
      <c r="P271" s="171">
        <v>492333</v>
      </c>
      <c r="Q271" s="171">
        <f t="shared" si="17"/>
        <v>4859763</v>
      </c>
      <c r="R271" s="541"/>
    </row>
    <row r="272" spans="2:18" x14ac:dyDescent="0.25">
      <c r="B272" s="542" t="s">
        <v>45</v>
      </c>
      <c r="F272" s="171"/>
      <c r="G272" s="171"/>
      <c r="H272" s="171"/>
      <c r="I272" s="171"/>
      <c r="J272" s="171"/>
      <c r="K272" s="171"/>
      <c r="L272" s="171"/>
      <c r="M272" s="171"/>
      <c r="O272" s="171"/>
      <c r="P272" s="171"/>
      <c r="Q272" s="171">
        <f t="shared" si="17"/>
        <v>0</v>
      </c>
      <c r="R272" s="541"/>
    </row>
    <row r="273" spans="2:18" x14ac:dyDescent="0.25">
      <c r="B273" s="167" t="s">
        <v>46</v>
      </c>
      <c r="C273" s="538" t="s">
        <v>35</v>
      </c>
      <c r="D273" s="538">
        <v>130</v>
      </c>
      <c r="E273" s="167">
        <v>14287.21</v>
      </c>
      <c r="F273" s="171">
        <v>15453.54</v>
      </c>
      <c r="G273" s="171">
        <v>14977.7</v>
      </c>
      <c r="H273" s="171">
        <v>14965.52</v>
      </c>
      <c r="I273" s="171">
        <v>12297.93</v>
      </c>
      <c r="J273" s="171">
        <v>12172.36</v>
      </c>
      <c r="K273" s="171">
        <v>10981.89</v>
      </c>
      <c r="L273" s="171">
        <v>11204.87</v>
      </c>
      <c r="M273" s="171">
        <v>10047.799999999999</v>
      </c>
      <c r="N273" s="167">
        <v>10801.36</v>
      </c>
      <c r="O273" s="171">
        <v>11481.73</v>
      </c>
      <c r="P273" s="171">
        <v>11033.91</v>
      </c>
      <c r="Q273" s="171">
        <f t="shared" si="17"/>
        <v>149705.82</v>
      </c>
      <c r="R273" s="541"/>
    </row>
    <row r="274" spans="2:18" x14ac:dyDescent="0.25">
      <c r="B274" s="167" t="s">
        <v>47</v>
      </c>
      <c r="C274" s="538" t="s">
        <v>37</v>
      </c>
      <c r="D274" s="538">
        <v>130</v>
      </c>
      <c r="E274" s="167">
        <v>0</v>
      </c>
      <c r="F274" s="171">
        <v>0</v>
      </c>
      <c r="G274" s="171">
        <v>0</v>
      </c>
      <c r="H274" s="171">
        <v>0</v>
      </c>
      <c r="I274" s="171">
        <v>0</v>
      </c>
      <c r="J274" s="171">
        <v>0</v>
      </c>
      <c r="K274" s="171">
        <v>0</v>
      </c>
      <c r="L274" s="171">
        <v>0</v>
      </c>
      <c r="M274" s="171">
        <v>0</v>
      </c>
      <c r="N274" s="167">
        <v>0</v>
      </c>
      <c r="O274" s="171">
        <v>0</v>
      </c>
      <c r="P274" s="171">
        <v>0</v>
      </c>
      <c r="Q274" s="171">
        <f t="shared" si="17"/>
        <v>0</v>
      </c>
      <c r="R274" s="541"/>
    </row>
    <row r="275" spans="2:18" x14ac:dyDescent="0.25">
      <c r="B275" s="167" t="s">
        <v>48</v>
      </c>
      <c r="C275" s="538" t="s">
        <v>39</v>
      </c>
      <c r="D275" s="538">
        <v>130</v>
      </c>
      <c r="E275" s="167">
        <v>0</v>
      </c>
      <c r="F275" s="171">
        <v>0</v>
      </c>
      <c r="G275" s="171">
        <v>0</v>
      </c>
      <c r="H275" s="171">
        <v>0</v>
      </c>
      <c r="I275" s="171">
        <v>0</v>
      </c>
      <c r="J275" s="171">
        <v>0</v>
      </c>
      <c r="K275" s="171">
        <v>0</v>
      </c>
      <c r="L275" s="171">
        <v>0</v>
      </c>
      <c r="M275" s="171">
        <v>0</v>
      </c>
      <c r="N275" s="167">
        <v>0</v>
      </c>
      <c r="O275" s="171">
        <v>0</v>
      </c>
      <c r="P275" s="171">
        <v>0</v>
      </c>
      <c r="Q275" s="171">
        <f t="shared" si="17"/>
        <v>0</v>
      </c>
      <c r="R275" s="541"/>
    </row>
    <row r="276" spans="2:18" x14ac:dyDescent="0.25">
      <c r="B276" s="167" t="s">
        <v>49</v>
      </c>
      <c r="C276" s="538" t="s">
        <v>50</v>
      </c>
      <c r="D276" s="538">
        <v>130</v>
      </c>
      <c r="E276" s="167">
        <v>0</v>
      </c>
      <c r="F276" s="171">
        <v>0</v>
      </c>
      <c r="G276" s="171">
        <v>0</v>
      </c>
      <c r="H276" s="171">
        <v>0</v>
      </c>
      <c r="I276" s="171">
        <v>0</v>
      </c>
      <c r="J276" s="171">
        <v>0</v>
      </c>
      <c r="K276" s="171">
        <v>0</v>
      </c>
      <c r="L276" s="171">
        <v>0</v>
      </c>
      <c r="M276" s="171">
        <v>0</v>
      </c>
      <c r="N276" s="167">
        <v>0</v>
      </c>
      <c r="O276" s="171">
        <v>0</v>
      </c>
      <c r="P276" s="171">
        <v>0</v>
      </c>
      <c r="Q276" s="171">
        <f t="shared" si="17"/>
        <v>0</v>
      </c>
      <c r="R276" s="541"/>
    </row>
    <row r="277" spans="2:18" x14ac:dyDescent="0.25">
      <c r="B277" s="167" t="s">
        <v>191</v>
      </c>
      <c r="C277" s="538" t="s">
        <v>51</v>
      </c>
      <c r="D277" s="538">
        <v>130</v>
      </c>
      <c r="E277" s="167">
        <v>0</v>
      </c>
      <c r="F277" s="171">
        <v>0</v>
      </c>
      <c r="G277" s="171">
        <v>0</v>
      </c>
      <c r="H277" s="171">
        <v>0</v>
      </c>
      <c r="I277" s="171">
        <v>0</v>
      </c>
      <c r="J277" s="171">
        <v>0</v>
      </c>
      <c r="K277" s="171">
        <v>0</v>
      </c>
      <c r="L277" s="171">
        <v>0</v>
      </c>
      <c r="M277" s="171">
        <v>0</v>
      </c>
      <c r="N277" s="167">
        <v>0</v>
      </c>
      <c r="O277" s="171">
        <v>0</v>
      </c>
      <c r="P277" s="171">
        <v>0</v>
      </c>
      <c r="Q277" s="171">
        <f t="shared" si="17"/>
        <v>0</v>
      </c>
      <c r="R277" s="541"/>
    </row>
    <row r="278" spans="2:18" x14ac:dyDescent="0.25">
      <c r="B278" s="167" t="s">
        <v>78</v>
      </c>
      <c r="C278" s="538" t="s">
        <v>77</v>
      </c>
      <c r="D278" s="538">
        <v>130</v>
      </c>
      <c r="E278" s="167">
        <v>0</v>
      </c>
      <c r="F278" s="171">
        <v>0</v>
      </c>
      <c r="G278" s="171">
        <v>0</v>
      </c>
      <c r="H278" s="171">
        <v>0</v>
      </c>
      <c r="I278" s="171">
        <v>0</v>
      </c>
      <c r="J278" s="171">
        <v>0</v>
      </c>
      <c r="K278" s="171">
        <v>0</v>
      </c>
      <c r="L278" s="171">
        <v>0</v>
      </c>
      <c r="M278" s="171">
        <v>0</v>
      </c>
      <c r="N278" s="167">
        <v>0</v>
      </c>
      <c r="O278" s="171">
        <v>0</v>
      </c>
      <c r="P278" s="171">
        <v>0</v>
      </c>
      <c r="Q278" s="171">
        <f t="shared" si="17"/>
        <v>0</v>
      </c>
      <c r="R278" s="541"/>
    </row>
    <row r="279" spans="2:18" x14ac:dyDescent="0.25">
      <c r="B279" s="167" t="s">
        <v>13</v>
      </c>
      <c r="C279" s="538" t="s">
        <v>52</v>
      </c>
      <c r="D279" s="538">
        <v>130</v>
      </c>
      <c r="E279" s="167">
        <v>0</v>
      </c>
      <c r="F279" s="171">
        <v>0</v>
      </c>
      <c r="G279" s="171">
        <v>0</v>
      </c>
      <c r="H279" s="171">
        <v>0</v>
      </c>
      <c r="I279" s="171">
        <v>0</v>
      </c>
      <c r="J279" s="171">
        <v>0</v>
      </c>
      <c r="K279" s="171">
        <v>0</v>
      </c>
      <c r="L279" s="171">
        <v>0</v>
      </c>
      <c r="M279" s="171">
        <v>0</v>
      </c>
      <c r="N279" s="167">
        <v>0</v>
      </c>
      <c r="O279" s="171">
        <v>0</v>
      </c>
      <c r="P279" s="171">
        <v>0</v>
      </c>
      <c r="Q279" s="171">
        <f t="shared" si="17"/>
        <v>0</v>
      </c>
      <c r="R279" s="541"/>
    </row>
    <row r="280" spans="2:18" x14ac:dyDescent="0.25">
      <c r="B280" s="167" t="s">
        <v>53</v>
      </c>
      <c r="C280" s="538" t="s">
        <v>41</v>
      </c>
      <c r="D280" s="538">
        <v>130</v>
      </c>
      <c r="E280" s="167">
        <v>14287.21</v>
      </c>
      <c r="F280" s="171">
        <v>15453.54</v>
      </c>
      <c r="G280" s="171">
        <v>14977.7</v>
      </c>
      <c r="H280" s="171">
        <v>14965.52</v>
      </c>
      <c r="I280" s="171">
        <v>12297.93</v>
      </c>
      <c r="J280" s="171">
        <v>12172.36</v>
      </c>
      <c r="K280" s="171">
        <v>10981.89</v>
      </c>
      <c r="L280" s="171">
        <v>11204.87</v>
      </c>
      <c r="M280" s="171">
        <v>10047.799999999999</v>
      </c>
      <c r="N280" s="167">
        <v>10801.36</v>
      </c>
      <c r="O280" s="171">
        <v>11481.73</v>
      </c>
      <c r="P280" s="171">
        <v>11033.91</v>
      </c>
      <c r="Q280" s="171">
        <f>-SUM(E280:P280)</f>
        <v>-149705.82</v>
      </c>
      <c r="R280" s="541"/>
    </row>
    <row r="281" spans="2:18" x14ac:dyDescent="0.25">
      <c r="B281" s="167" t="s">
        <v>54</v>
      </c>
      <c r="C281" s="538" t="s">
        <v>43</v>
      </c>
      <c r="D281" s="538">
        <v>130</v>
      </c>
      <c r="E281" s="167">
        <v>15453.54</v>
      </c>
      <c r="F281" s="171">
        <v>14977.7</v>
      </c>
      <c r="G281" s="171">
        <v>14965.52</v>
      </c>
      <c r="H281" s="171">
        <v>12297.93</v>
      </c>
      <c r="I281" s="171">
        <v>12172.36</v>
      </c>
      <c r="J281" s="171">
        <v>10981.89</v>
      </c>
      <c r="K281" s="171">
        <v>11204.87</v>
      </c>
      <c r="L281" s="171">
        <v>10047.799999999999</v>
      </c>
      <c r="M281" s="171">
        <v>10801.36</v>
      </c>
      <c r="N281" s="167">
        <v>11481.73</v>
      </c>
      <c r="O281" s="171">
        <v>11033.91</v>
      </c>
      <c r="P281" s="171">
        <v>14242.1</v>
      </c>
      <c r="Q281" s="171">
        <f t="shared" si="17"/>
        <v>149660.71</v>
      </c>
      <c r="R281" s="541"/>
    </row>
    <row r="282" spans="2:18" x14ac:dyDescent="0.25">
      <c r="B282" s="167" t="s">
        <v>30</v>
      </c>
      <c r="C282" s="538" t="s">
        <v>44</v>
      </c>
      <c r="D282" s="538">
        <v>130</v>
      </c>
      <c r="E282" s="167">
        <v>15453.54</v>
      </c>
      <c r="F282" s="171">
        <v>14977.7</v>
      </c>
      <c r="G282" s="171">
        <v>14965.52</v>
      </c>
      <c r="H282" s="171">
        <v>12297.93</v>
      </c>
      <c r="I282" s="171">
        <v>12172.36</v>
      </c>
      <c r="J282" s="171">
        <v>10981.89</v>
      </c>
      <c r="K282" s="171">
        <v>11204.87</v>
      </c>
      <c r="L282" s="171">
        <v>10047.799999999999</v>
      </c>
      <c r="M282" s="171">
        <v>10801.36</v>
      </c>
      <c r="N282" s="167">
        <v>11481.73</v>
      </c>
      <c r="O282" s="171">
        <v>11033.91</v>
      </c>
      <c r="P282" s="171">
        <v>14242.1</v>
      </c>
      <c r="Q282" s="171">
        <f t="shared" si="17"/>
        <v>149660.71</v>
      </c>
      <c r="R282" s="541"/>
    </row>
    <row r="283" spans="2:18" x14ac:dyDescent="0.25">
      <c r="B283" s="542" t="s">
        <v>45</v>
      </c>
      <c r="F283" s="171"/>
      <c r="G283" s="171"/>
      <c r="H283" s="171"/>
      <c r="I283" s="171"/>
      <c r="J283" s="171"/>
      <c r="K283" s="171"/>
      <c r="L283" s="171"/>
      <c r="M283" s="171"/>
      <c r="O283" s="171"/>
      <c r="P283" s="171"/>
      <c r="Q283" s="171"/>
      <c r="R283" s="541"/>
    </row>
    <row r="284" spans="2:18" x14ac:dyDescent="0.25">
      <c r="F284" s="171"/>
      <c r="G284" s="171"/>
      <c r="H284" s="171"/>
      <c r="I284" s="171"/>
      <c r="J284" s="171"/>
      <c r="K284" s="171"/>
      <c r="L284" s="171"/>
      <c r="M284" s="171"/>
      <c r="O284" s="171"/>
      <c r="P284" s="171"/>
      <c r="Q284" s="171"/>
      <c r="R284" s="541"/>
    </row>
    <row r="285" spans="2:18" x14ac:dyDescent="0.25">
      <c r="B285" s="540" t="s">
        <v>104</v>
      </c>
      <c r="C285" s="538" t="s">
        <v>34</v>
      </c>
      <c r="D285" s="538">
        <v>87</v>
      </c>
      <c r="F285" s="171"/>
      <c r="G285" s="171"/>
      <c r="H285" s="171"/>
      <c r="I285" s="171"/>
      <c r="J285" s="171"/>
      <c r="K285" s="171"/>
      <c r="L285" s="171"/>
      <c r="M285" s="171"/>
      <c r="O285" s="171"/>
      <c r="P285" s="171"/>
      <c r="Q285" s="171"/>
      <c r="R285" s="541"/>
    </row>
    <row r="286" spans="2:18" x14ac:dyDescent="0.25">
      <c r="B286" s="167" t="s">
        <v>31</v>
      </c>
      <c r="C286" s="538" t="s">
        <v>35</v>
      </c>
      <c r="D286" s="538">
        <v>87</v>
      </c>
      <c r="E286" s="167">
        <v>1192617</v>
      </c>
      <c r="F286" s="171">
        <v>1220699</v>
      </c>
      <c r="G286" s="171">
        <v>1078245</v>
      </c>
      <c r="H286" s="171">
        <v>1154609</v>
      </c>
      <c r="I286" s="171">
        <v>1061450</v>
      </c>
      <c r="J286" s="171">
        <v>1024594</v>
      </c>
      <c r="K286" s="171">
        <v>937176</v>
      </c>
      <c r="L286" s="171">
        <v>959617</v>
      </c>
      <c r="M286" s="171">
        <v>979527</v>
      </c>
      <c r="N286" s="167">
        <v>880129</v>
      </c>
      <c r="O286" s="171">
        <v>985783</v>
      </c>
      <c r="P286" s="171">
        <v>994562</v>
      </c>
      <c r="Q286" s="171">
        <f t="shared" si="17"/>
        <v>12469008</v>
      </c>
      <c r="R286" s="541"/>
    </row>
    <row r="287" spans="2:18" x14ac:dyDescent="0.25">
      <c r="B287" s="167" t="s">
        <v>36</v>
      </c>
      <c r="C287" s="538" t="s">
        <v>37</v>
      </c>
      <c r="D287" s="538">
        <v>87</v>
      </c>
      <c r="E287" s="167">
        <v>0</v>
      </c>
      <c r="F287" s="171">
        <v>0</v>
      </c>
      <c r="G287" s="171">
        <v>0</v>
      </c>
      <c r="H287" s="171">
        <v>0</v>
      </c>
      <c r="I287" s="171">
        <v>0</v>
      </c>
      <c r="J287" s="171">
        <v>0</v>
      </c>
      <c r="K287" s="171">
        <v>0</v>
      </c>
      <c r="L287" s="171">
        <v>0</v>
      </c>
      <c r="M287" s="171">
        <v>0</v>
      </c>
      <c r="N287" s="167">
        <v>0</v>
      </c>
      <c r="O287" s="171">
        <v>0</v>
      </c>
      <c r="P287" s="171">
        <v>0</v>
      </c>
      <c r="Q287" s="171">
        <f t="shared" si="17"/>
        <v>0</v>
      </c>
      <c r="R287" s="541"/>
    </row>
    <row r="288" spans="2:18" x14ac:dyDescent="0.25">
      <c r="B288" s="167" t="s">
        <v>38</v>
      </c>
      <c r="C288" s="538" t="s">
        <v>39</v>
      </c>
      <c r="D288" s="538">
        <v>87</v>
      </c>
      <c r="E288" s="167">
        <v>0</v>
      </c>
      <c r="F288" s="171">
        <v>0</v>
      </c>
      <c r="G288" s="171">
        <v>0</v>
      </c>
      <c r="H288" s="171">
        <v>0</v>
      </c>
      <c r="I288" s="171">
        <v>0</v>
      </c>
      <c r="J288" s="171">
        <v>0</v>
      </c>
      <c r="K288" s="171">
        <v>0</v>
      </c>
      <c r="L288" s="171">
        <v>0</v>
      </c>
      <c r="M288" s="171">
        <v>0</v>
      </c>
      <c r="N288" s="167">
        <v>0</v>
      </c>
      <c r="O288" s="171">
        <v>0</v>
      </c>
      <c r="P288" s="171">
        <v>0</v>
      </c>
      <c r="Q288" s="171">
        <f t="shared" si="17"/>
        <v>0</v>
      </c>
      <c r="R288" s="541"/>
    </row>
    <row r="289" spans="2:18" x14ac:dyDescent="0.25">
      <c r="B289" s="167" t="s">
        <v>40</v>
      </c>
      <c r="C289" s="538" t="s">
        <v>41</v>
      </c>
      <c r="D289" s="538">
        <v>87</v>
      </c>
      <c r="E289" s="167">
        <v>1192617</v>
      </c>
      <c r="F289" s="171">
        <v>1220699</v>
      </c>
      <c r="G289" s="171">
        <v>1078245</v>
      </c>
      <c r="H289" s="171">
        <v>1154609</v>
      </c>
      <c r="I289" s="171">
        <v>1061450</v>
      </c>
      <c r="J289" s="171">
        <v>1024594</v>
      </c>
      <c r="K289" s="171">
        <v>937176</v>
      </c>
      <c r="L289" s="171">
        <v>959617</v>
      </c>
      <c r="M289" s="171">
        <v>979527</v>
      </c>
      <c r="N289" s="167">
        <v>880129</v>
      </c>
      <c r="O289" s="171">
        <v>985783</v>
      </c>
      <c r="P289" s="171">
        <v>994562</v>
      </c>
      <c r="Q289" s="171">
        <f t="shared" si="17"/>
        <v>12469008</v>
      </c>
      <c r="R289" s="541"/>
    </row>
    <row r="290" spans="2:18" x14ac:dyDescent="0.25">
      <c r="B290" s="167" t="s">
        <v>42</v>
      </c>
      <c r="C290" s="538" t="s">
        <v>43</v>
      </c>
      <c r="D290" s="538">
        <v>87</v>
      </c>
      <c r="E290" s="167">
        <v>1220699</v>
      </c>
      <c r="F290" s="167">
        <v>1078245</v>
      </c>
      <c r="G290" s="167">
        <v>1154609</v>
      </c>
      <c r="H290" s="167">
        <v>1061450</v>
      </c>
      <c r="I290" s="167">
        <v>1024594</v>
      </c>
      <c r="J290" s="167">
        <v>937176</v>
      </c>
      <c r="K290" s="167">
        <v>959617</v>
      </c>
      <c r="L290" s="167">
        <v>979527</v>
      </c>
      <c r="M290" s="167">
        <v>880129</v>
      </c>
      <c r="N290" s="167">
        <v>985783</v>
      </c>
      <c r="O290" s="167">
        <v>994562</v>
      </c>
      <c r="P290" s="167">
        <v>1120091</v>
      </c>
      <c r="Q290" s="171">
        <f t="shared" si="17"/>
        <v>12396482</v>
      </c>
      <c r="R290" s="541"/>
    </row>
    <row r="291" spans="2:18" x14ac:dyDescent="0.25">
      <c r="B291" s="167" t="s">
        <v>33</v>
      </c>
      <c r="C291" s="538" t="s">
        <v>44</v>
      </c>
      <c r="D291" s="538">
        <v>87</v>
      </c>
      <c r="E291" s="167">
        <v>1220699</v>
      </c>
      <c r="F291" s="170">
        <v>1078245</v>
      </c>
      <c r="G291" s="170">
        <v>1154609</v>
      </c>
      <c r="H291" s="170">
        <v>1061450</v>
      </c>
      <c r="I291" s="170">
        <v>1024594</v>
      </c>
      <c r="J291" s="170">
        <v>937176</v>
      </c>
      <c r="K291" s="170">
        <v>959617</v>
      </c>
      <c r="L291" s="170">
        <v>979527</v>
      </c>
      <c r="M291" s="170">
        <v>880129</v>
      </c>
      <c r="N291" s="167">
        <v>985783</v>
      </c>
      <c r="O291" s="170">
        <v>994562</v>
      </c>
      <c r="P291" s="170">
        <v>1120091</v>
      </c>
      <c r="Q291" s="171">
        <f t="shared" si="17"/>
        <v>12396482</v>
      </c>
      <c r="R291" s="541"/>
    </row>
    <row r="292" spans="2:18" x14ac:dyDescent="0.25">
      <c r="B292" s="542" t="s">
        <v>45</v>
      </c>
      <c r="F292" s="171"/>
      <c r="G292" s="171"/>
      <c r="H292" s="171"/>
      <c r="I292" s="171"/>
      <c r="J292" s="171"/>
      <c r="K292" s="171"/>
      <c r="L292" s="171"/>
      <c r="M292" s="171"/>
      <c r="O292" s="171"/>
      <c r="P292" s="171"/>
      <c r="Q292" s="171">
        <f t="shared" si="17"/>
        <v>0</v>
      </c>
      <c r="R292" s="541"/>
    </row>
    <row r="293" spans="2:18" x14ac:dyDescent="0.25">
      <c r="B293" s="167" t="s">
        <v>46</v>
      </c>
      <c r="C293" s="538" t="s">
        <v>35</v>
      </c>
      <c r="D293" s="538">
        <v>131</v>
      </c>
      <c r="E293" s="167">
        <v>21676.04</v>
      </c>
      <c r="F293" s="171">
        <v>22005.7</v>
      </c>
      <c r="G293" s="171">
        <v>20333.400000000001</v>
      </c>
      <c r="H293" s="171">
        <v>21229.85</v>
      </c>
      <c r="I293" s="171">
        <v>20136.25</v>
      </c>
      <c r="J293" s="171">
        <v>19703.59</v>
      </c>
      <c r="K293" s="171">
        <v>18677.37</v>
      </c>
      <c r="L293" s="171">
        <v>18940.810000000001</v>
      </c>
      <c r="M293" s="171">
        <v>19174.53</v>
      </c>
      <c r="N293" s="167">
        <v>18007.68</v>
      </c>
      <c r="O293" s="171">
        <v>19426.59</v>
      </c>
      <c r="P293" s="171">
        <v>19531.23</v>
      </c>
      <c r="Q293" s="171">
        <f t="shared" si="17"/>
        <v>238843.04</v>
      </c>
      <c r="R293" s="541"/>
    </row>
    <row r="294" spans="2:18" x14ac:dyDescent="0.25">
      <c r="B294" s="167" t="s">
        <v>47</v>
      </c>
      <c r="C294" s="538" t="s">
        <v>37</v>
      </c>
      <c r="D294" s="538">
        <v>131</v>
      </c>
      <c r="E294" s="167">
        <v>0</v>
      </c>
      <c r="F294" s="171">
        <v>0</v>
      </c>
      <c r="G294" s="171">
        <v>0</v>
      </c>
      <c r="H294" s="171">
        <v>0</v>
      </c>
      <c r="I294" s="171">
        <v>0</v>
      </c>
      <c r="J294" s="171">
        <v>0</v>
      </c>
      <c r="K294" s="171">
        <v>0</v>
      </c>
      <c r="L294" s="171">
        <v>0</v>
      </c>
      <c r="M294" s="171">
        <v>0</v>
      </c>
      <c r="N294" s="167">
        <v>0</v>
      </c>
      <c r="O294" s="171">
        <v>0</v>
      </c>
      <c r="P294" s="171">
        <v>0</v>
      </c>
      <c r="Q294" s="171">
        <f t="shared" si="17"/>
        <v>0</v>
      </c>
      <c r="R294" s="541"/>
    </row>
    <row r="295" spans="2:18" x14ac:dyDescent="0.25">
      <c r="B295" s="167" t="s">
        <v>48</v>
      </c>
      <c r="C295" s="538" t="s">
        <v>39</v>
      </c>
      <c r="D295" s="538">
        <v>131</v>
      </c>
      <c r="E295" s="167">
        <v>0</v>
      </c>
      <c r="F295" s="171">
        <v>0</v>
      </c>
      <c r="G295" s="171">
        <v>0</v>
      </c>
      <c r="H295" s="171">
        <v>0</v>
      </c>
      <c r="I295" s="171">
        <v>0</v>
      </c>
      <c r="J295" s="171">
        <v>0</v>
      </c>
      <c r="K295" s="171">
        <v>0</v>
      </c>
      <c r="L295" s="171">
        <v>0</v>
      </c>
      <c r="M295" s="171">
        <v>0</v>
      </c>
      <c r="N295" s="167">
        <v>0</v>
      </c>
      <c r="O295" s="171">
        <v>0</v>
      </c>
      <c r="P295" s="171">
        <v>0</v>
      </c>
      <c r="Q295" s="171">
        <f t="shared" si="17"/>
        <v>0</v>
      </c>
      <c r="R295" s="541"/>
    </row>
    <row r="296" spans="2:18" x14ac:dyDescent="0.25">
      <c r="B296" s="167" t="s">
        <v>49</v>
      </c>
      <c r="C296" s="538" t="s">
        <v>50</v>
      </c>
      <c r="D296" s="538">
        <v>131</v>
      </c>
      <c r="E296" s="167">
        <v>0</v>
      </c>
      <c r="F296" s="171">
        <v>0</v>
      </c>
      <c r="G296" s="171">
        <v>0</v>
      </c>
      <c r="H296" s="171">
        <v>0</v>
      </c>
      <c r="I296" s="171">
        <v>0</v>
      </c>
      <c r="J296" s="171">
        <v>0</v>
      </c>
      <c r="K296" s="171">
        <v>0</v>
      </c>
      <c r="L296" s="171">
        <v>0</v>
      </c>
      <c r="M296" s="171">
        <v>0</v>
      </c>
      <c r="N296" s="167">
        <v>0</v>
      </c>
      <c r="O296" s="171">
        <v>0</v>
      </c>
      <c r="P296" s="171">
        <v>0</v>
      </c>
      <c r="Q296" s="171">
        <f t="shared" si="17"/>
        <v>0</v>
      </c>
      <c r="R296" s="541"/>
    </row>
    <row r="297" spans="2:18" x14ac:dyDescent="0.25">
      <c r="B297" s="167" t="s">
        <v>191</v>
      </c>
      <c r="C297" s="538" t="s">
        <v>51</v>
      </c>
      <c r="D297" s="538">
        <v>131</v>
      </c>
      <c r="E297" s="167">
        <v>0</v>
      </c>
      <c r="F297" s="171">
        <v>0</v>
      </c>
      <c r="G297" s="171">
        <v>0</v>
      </c>
      <c r="H297" s="171">
        <v>0</v>
      </c>
      <c r="I297" s="171">
        <v>0</v>
      </c>
      <c r="J297" s="171">
        <v>0</v>
      </c>
      <c r="K297" s="171">
        <v>0</v>
      </c>
      <c r="L297" s="171">
        <v>0</v>
      </c>
      <c r="M297" s="171">
        <v>0</v>
      </c>
      <c r="N297" s="167">
        <v>0</v>
      </c>
      <c r="O297" s="171">
        <v>0</v>
      </c>
      <c r="P297" s="171">
        <v>0</v>
      </c>
      <c r="Q297" s="171">
        <f t="shared" si="17"/>
        <v>0</v>
      </c>
      <c r="R297" s="541"/>
    </row>
    <row r="298" spans="2:18" x14ac:dyDescent="0.25">
      <c r="B298" s="167" t="s">
        <v>78</v>
      </c>
      <c r="C298" s="538" t="s">
        <v>77</v>
      </c>
      <c r="D298" s="538">
        <v>131</v>
      </c>
      <c r="E298" s="167">
        <v>0</v>
      </c>
      <c r="F298" s="171">
        <v>0</v>
      </c>
      <c r="G298" s="171">
        <v>0</v>
      </c>
      <c r="H298" s="171">
        <v>0</v>
      </c>
      <c r="I298" s="171">
        <v>0</v>
      </c>
      <c r="J298" s="171">
        <v>0</v>
      </c>
      <c r="K298" s="171">
        <v>0</v>
      </c>
      <c r="L298" s="171">
        <v>0</v>
      </c>
      <c r="M298" s="171">
        <v>0</v>
      </c>
      <c r="N298" s="167">
        <v>0</v>
      </c>
      <c r="O298" s="171">
        <v>0</v>
      </c>
      <c r="P298" s="171">
        <v>0</v>
      </c>
      <c r="Q298" s="171">
        <f t="shared" si="17"/>
        <v>0</v>
      </c>
      <c r="R298" s="541"/>
    </row>
    <row r="299" spans="2:18" x14ac:dyDescent="0.25">
      <c r="B299" s="167" t="s">
        <v>13</v>
      </c>
      <c r="C299" s="538" t="s">
        <v>52</v>
      </c>
      <c r="D299" s="538">
        <v>131</v>
      </c>
      <c r="E299" s="167">
        <v>0</v>
      </c>
      <c r="F299" s="171">
        <v>0</v>
      </c>
      <c r="G299" s="171">
        <v>0</v>
      </c>
      <c r="H299" s="171">
        <v>0</v>
      </c>
      <c r="I299" s="171">
        <v>0</v>
      </c>
      <c r="J299" s="171">
        <v>0</v>
      </c>
      <c r="K299" s="171">
        <v>0</v>
      </c>
      <c r="L299" s="171">
        <v>0</v>
      </c>
      <c r="M299" s="171">
        <v>0</v>
      </c>
      <c r="N299" s="167">
        <v>0</v>
      </c>
      <c r="O299" s="171">
        <v>0</v>
      </c>
      <c r="P299" s="171">
        <v>0</v>
      </c>
      <c r="Q299" s="171">
        <f t="shared" si="17"/>
        <v>0</v>
      </c>
      <c r="R299" s="541"/>
    </row>
    <row r="300" spans="2:18" x14ac:dyDescent="0.25">
      <c r="B300" s="167" t="s">
        <v>53</v>
      </c>
      <c r="C300" s="538" t="s">
        <v>41</v>
      </c>
      <c r="D300" s="538">
        <v>131</v>
      </c>
      <c r="E300" s="167">
        <v>21676.04</v>
      </c>
      <c r="F300" s="171">
        <v>22005.7</v>
      </c>
      <c r="G300" s="171">
        <v>20333.400000000001</v>
      </c>
      <c r="H300" s="171">
        <v>21229.85</v>
      </c>
      <c r="I300" s="171">
        <v>20136.25</v>
      </c>
      <c r="J300" s="171">
        <v>19703.59</v>
      </c>
      <c r="K300" s="171">
        <v>18677.37</v>
      </c>
      <c r="L300" s="171">
        <v>18940.810000000001</v>
      </c>
      <c r="M300" s="171">
        <v>19174.53</v>
      </c>
      <c r="N300" s="167">
        <v>18007.68</v>
      </c>
      <c r="O300" s="171">
        <v>19426.59</v>
      </c>
      <c r="P300" s="171">
        <v>19531.23</v>
      </c>
      <c r="Q300" s="171">
        <f>-SUM(E300:P300)</f>
        <v>-238843.04</v>
      </c>
      <c r="R300" s="541"/>
    </row>
    <row r="301" spans="2:18" x14ac:dyDescent="0.25">
      <c r="B301" s="167" t="s">
        <v>54</v>
      </c>
      <c r="C301" s="538" t="s">
        <v>43</v>
      </c>
      <c r="D301" s="538">
        <v>131</v>
      </c>
      <c r="E301" s="167">
        <v>22005.7</v>
      </c>
      <c r="F301" s="171">
        <v>20333.400000000001</v>
      </c>
      <c r="G301" s="171">
        <v>21229.85</v>
      </c>
      <c r="H301" s="171">
        <v>20136.25</v>
      </c>
      <c r="I301" s="171">
        <v>19703.59</v>
      </c>
      <c r="J301" s="171">
        <v>18677.37</v>
      </c>
      <c r="K301" s="171">
        <v>18940.810000000001</v>
      </c>
      <c r="L301" s="171">
        <v>19174.53</v>
      </c>
      <c r="M301" s="171">
        <v>18007.68</v>
      </c>
      <c r="N301" s="167">
        <v>19426.59</v>
      </c>
      <c r="O301" s="171">
        <v>19531.23</v>
      </c>
      <c r="P301" s="171">
        <v>21027.59</v>
      </c>
      <c r="Q301" s="171">
        <f t="shared" si="17"/>
        <v>238194.59</v>
      </c>
      <c r="R301" s="541"/>
    </row>
    <row r="302" spans="2:18" x14ac:dyDescent="0.25">
      <c r="B302" s="167" t="s">
        <v>30</v>
      </c>
      <c r="C302" s="538" t="s">
        <v>44</v>
      </c>
      <c r="D302" s="538">
        <v>131</v>
      </c>
      <c r="E302" s="167">
        <v>22005.7</v>
      </c>
      <c r="F302" s="171">
        <v>20333.400000000001</v>
      </c>
      <c r="G302" s="171">
        <v>21229.85</v>
      </c>
      <c r="H302" s="171">
        <v>20136.25</v>
      </c>
      <c r="I302" s="171">
        <v>19703.59</v>
      </c>
      <c r="J302" s="171">
        <v>18677.37</v>
      </c>
      <c r="K302" s="171">
        <v>18940.810000000001</v>
      </c>
      <c r="L302" s="171">
        <v>19174.53</v>
      </c>
      <c r="M302" s="171">
        <v>18007.68</v>
      </c>
      <c r="N302" s="167">
        <v>19426.59</v>
      </c>
      <c r="O302" s="171">
        <v>19531.23</v>
      </c>
      <c r="P302" s="171">
        <v>21027.59</v>
      </c>
      <c r="Q302" s="171">
        <f t="shared" si="17"/>
        <v>238194.59</v>
      </c>
      <c r="R302" s="541"/>
    </row>
    <row r="303" spans="2:18" x14ac:dyDescent="0.25">
      <c r="B303" s="542" t="s">
        <v>45</v>
      </c>
      <c r="F303" s="171"/>
      <c r="G303" s="171"/>
      <c r="H303" s="171"/>
      <c r="I303" s="171"/>
      <c r="J303" s="171"/>
      <c r="K303" s="171"/>
      <c r="L303" s="171"/>
      <c r="M303" s="171"/>
      <c r="O303" s="171"/>
      <c r="P303" s="171"/>
      <c r="Q303" s="171"/>
      <c r="R303" s="541"/>
    </row>
    <row r="304" spans="2:18" x14ac:dyDescent="0.25">
      <c r="F304" s="171"/>
      <c r="G304" s="171"/>
      <c r="H304" s="171"/>
      <c r="I304" s="171"/>
      <c r="J304" s="171"/>
      <c r="K304" s="171"/>
      <c r="L304" s="171"/>
      <c r="M304" s="171"/>
      <c r="O304" s="171"/>
      <c r="P304" s="171"/>
      <c r="Q304" s="171"/>
      <c r="R304" s="541"/>
    </row>
    <row r="305" spans="1:18" x14ac:dyDescent="0.25">
      <c r="A305" s="545" t="s">
        <v>103</v>
      </c>
      <c r="B305" s="540" t="s">
        <v>102</v>
      </c>
      <c r="C305" s="538" t="s">
        <v>34</v>
      </c>
      <c r="D305" s="538">
        <v>89</v>
      </c>
      <c r="F305" s="171"/>
      <c r="G305" s="171"/>
      <c r="H305" s="171"/>
      <c r="I305" s="171"/>
      <c r="J305" s="171"/>
      <c r="K305" s="171"/>
      <c r="L305" s="171"/>
      <c r="M305" s="171"/>
      <c r="O305" s="171"/>
      <c r="P305" s="171"/>
      <c r="Q305" s="171"/>
      <c r="R305" s="541"/>
    </row>
    <row r="306" spans="1:18" x14ac:dyDescent="0.25">
      <c r="A306" s="545" t="s">
        <v>101</v>
      </c>
      <c r="B306" s="167" t="s">
        <v>31</v>
      </c>
      <c r="C306" s="538" t="s">
        <v>35</v>
      </c>
      <c r="D306" s="538">
        <v>89</v>
      </c>
      <c r="E306" s="167">
        <v>14382579</v>
      </c>
      <c r="F306" s="171">
        <v>14944499</v>
      </c>
      <c r="G306" s="171">
        <v>7408861</v>
      </c>
      <c r="H306" s="171">
        <v>9817659</v>
      </c>
      <c r="I306" s="171">
        <v>7594206</v>
      </c>
      <c r="J306" s="171">
        <v>5340649</v>
      </c>
      <c r="K306" s="171">
        <v>7824546</v>
      </c>
      <c r="L306" s="171">
        <v>14501183</v>
      </c>
      <c r="M306" s="171">
        <v>16164686</v>
      </c>
      <c r="N306" s="167">
        <v>15653555</v>
      </c>
      <c r="O306" s="171">
        <v>11066763</v>
      </c>
      <c r="P306" s="171">
        <v>12699045</v>
      </c>
      <c r="Q306" s="171">
        <f t="shared" ref="Q306:Q366" si="18">SUM(E306:P306)</f>
        <v>137398231</v>
      </c>
      <c r="R306" s="541"/>
    </row>
    <row r="307" spans="1:18" x14ac:dyDescent="0.25">
      <c r="A307" s="546">
        <v>4863</v>
      </c>
      <c r="B307" s="167" t="s">
        <v>36</v>
      </c>
      <c r="C307" s="538" t="s">
        <v>37</v>
      </c>
      <c r="D307" s="538">
        <v>89</v>
      </c>
      <c r="E307" s="167">
        <v>0</v>
      </c>
      <c r="F307" s="171">
        <v>0</v>
      </c>
      <c r="G307" s="171">
        <v>0</v>
      </c>
      <c r="H307" s="171">
        <v>0</v>
      </c>
      <c r="I307" s="171">
        <v>0</v>
      </c>
      <c r="J307" s="171">
        <v>0</v>
      </c>
      <c r="K307" s="171">
        <v>0</v>
      </c>
      <c r="L307" s="171">
        <v>0</v>
      </c>
      <c r="M307" s="171">
        <v>0</v>
      </c>
      <c r="N307" s="167">
        <v>0</v>
      </c>
      <c r="O307" s="171">
        <v>0</v>
      </c>
      <c r="P307" s="171">
        <v>0</v>
      </c>
      <c r="Q307" s="171">
        <f t="shared" si="18"/>
        <v>0</v>
      </c>
      <c r="R307" s="541"/>
    </row>
    <row r="308" spans="1:18" x14ac:dyDescent="0.25">
      <c r="B308" s="167" t="s">
        <v>38</v>
      </c>
      <c r="C308" s="538" t="s">
        <v>39</v>
      </c>
      <c r="D308" s="538">
        <v>89</v>
      </c>
      <c r="E308" s="167">
        <v>0</v>
      </c>
      <c r="F308" s="171">
        <v>0</v>
      </c>
      <c r="G308" s="171">
        <v>0</v>
      </c>
      <c r="H308" s="171">
        <v>0</v>
      </c>
      <c r="I308" s="171">
        <v>0</v>
      </c>
      <c r="J308" s="171">
        <v>0</v>
      </c>
      <c r="K308" s="171">
        <v>0</v>
      </c>
      <c r="L308" s="171">
        <v>0</v>
      </c>
      <c r="M308" s="171">
        <v>0</v>
      </c>
      <c r="N308" s="167">
        <v>0</v>
      </c>
      <c r="O308" s="171">
        <v>0</v>
      </c>
      <c r="P308" s="171">
        <v>0</v>
      </c>
      <c r="Q308" s="171">
        <f t="shared" si="18"/>
        <v>0</v>
      </c>
      <c r="R308" s="541"/>
    </row>
    <row r="309" spans="1:18" x14ac:dyDescent="0.25">
      <c r="B309" s="167" t="s">
        <v>40</v>
      </c>
      <c r="C309" s="538" t="s">
        <v>41</v>
      </c>
      <c r="D309" s="538">
        <v>89</v>
      </c>
      <c r="E309" s="167">
        <v>14382579</v>
      </c>
      <c r="F309" s="171">
        <v>14944499</v>
      </c>
      <c r="G309" s="171">
        <v>7408861</v>
      </c>
      <c r="H309" s="171">
        <v>9817659</v>
      </c>
      <c r="I309" s="171">
        <v>7594206</v>
      </c>
      <c r="J309" s="171">
        <v>5340649</v>
      </c>
      <c r="K309" s="171">
        <v>7824546</v>
      </c>
      <c r="L309" s="171">
        <v>14501183</v>
      </c>
      <c r="M309" s="171">
        <v>16164686</v>
      </c>
      <c r="N309" s="167">
        <v>15653966</v>
      </c>
      <c r="O309" s="171">
        <v>11066763</v>
      </c>
      <c r="P309" s="171">
        <v>12699045</v>
      </c>
      <c r="Q309" s="171">
        <f t="shared" si="18"/>
        <v>137398642</v>
      </c>
      <c r="R309" s="541"/>
    </row>
    <row r="310" spans="1:18" x14ac:dyDescent="0.25">
      <c r="B310" s="167" t="s">
        <v>42</v>
      </c>
      <c r="C310" s="538" t="s">
        <v>43</v>
      </c>
      <c r="D310" s="538">
        <v>89</v>
      </c>
      <c r="E310" s="167">
        <v>14944499</v>
      </c>
      <c r="F310" s="171">
        <v>7408861</v>
      </c>
      <c r="G310" s="171">
        <v>9817659</v>
      </c>
      <c r="H310" s="171">
        <v>7594206</v>
      </c>
      <c r="I310" s="171">
        <v>5340649</v>
      </c>
      <c r="J310" s="171">
        <v>7824546</v>
      </c>
      <c r="K310" s="171">
        <v>14501183</v>
      </c>
      <c r="L310" s="171">
        <v>16164686</v>
      </c>
      <c r="M310" s="171">
        <v>15653966</v>
      </c>
      <c r="N310" s="167">
        <v>11066763</v>
      </c>
      <c r="O310" s="171">
        <v>12699045</v>
      </c>
      <c r="P310" s="171">
        <v>14173947</v>
      </c>
      <c r="Q310" s="171">
        <f t="shared" si="18"/>
        <v>137190010</v>
      </c>
      <c r="R310" s="541"/>
    </row>
    <row r="311" spans="1:18" x14ac:dyDescent="0.25">
      <c r="B311" s="167" t="s">
        <v>33</v>
      </c>
      <c r="C311" s="538" t="s">
        <v>44</v>
      </c>
      <c r="D311" s="538">
        <v>89</v>
      </c>
      <c r="E311" s="167">
        <v>14944499</v>
      </c>
      <c r="F311" s="171">
        <v>7408861</v>
      </c>
      <c r="G311" s="171">
        <v>9817659</v>
      </c>
      <c r="H311" s="171">
        <v>7594206</v>
      </c>
      <c r="I311" s="171">
        <v>5340649</v>
      </c>
      <c r="J311" s="171">
        <v>7824546</v>
      </c>
      <c r="K311" s="171">
        <v>14501183</v>
      </c>
      <c r="L311" s="171">
        <v>16164686</v>
      </c>
      <c r="M311" s="171">
        <v>15653966</v>
      </c>
      <c r="N311" s="167">
        <v>11066352</v>
      </c>
      <c r="O311" s="171">
        <v>12699046</v>
      </c>
      <c r="P311" s="171">
        <v>14173946</v>
      </c>
      <c r="Q311" s="171">
        <f t="shared" si="18"/>
        <v>137189599</v>
      </c>
      <c r="R311" s="541"/>
    </row>
    <row r="312" spans="1:18" x14ac:dyDescent="0.25">
      <c r="B312" s="542" t="s">
        <v>45</v>
      </c>
      <c r="F312" s="171"/>
      <c r="G312" s="171"/>
      <c r="H312" s="171"/>
      <c r="I312" s="171"/>
      <c r="J312" s="171"/>
      <c r="K312" s="171"/>
      <c r="L312" s="171"/>
      <c r="M312" s="171"/>
      <c r="O312" s="171"/>
      <c r="P312" s="171"/>
      <c r="Q312" s="171">
        <f t="shared" si="18"/>
        <v>0</v>
      </c>
      <c r="R312" s="541"/>
    </row>
    <row r="313" spans="1:18" x14ac:dyDescent="0.25">
      <c r="B313" s="167" t="s">
        <v>46</v>
      </c>
      <c r="C313" s="538" t="s">
        <v>35</v>
      </c>
      <c r="D313" s="538">
        <v>133</v>
      </c>
      <c r="E313" s="175">
        <v>217611.31</v>
      </c>
      <c r="F313" s="175">
        <v>221458.63</v>
      </c>
      <c r="G313" s="175">
        <v>169864.04</v>
      </c>
      <c r="H313" s="175">
        <v>186356.45</v>
      </c>
      <c r="I313" s="175">
        <v>171133.04</v>
      </c>
      <c r="J313" s="175">
        <v>155703.51</v>
      </c>
      <c r="K313" s="175">
        <v>172710.13</v>
      </c>
      <c r="L313" s="175">
        <v>218423.36</v>
      </c>
      <c r="M313" s="175">
        <v>229812.94</v>
      </c>
      <c r="N313" s="175">
        <v>226313.36</v>
      </c>
      <c r="O313" s="175">
        <v>194908.77</v>
      </c>
      <c r="P313" s="175">
        <v>212548.4</v>
      </c>
      <c r="Q313" s="171">
        <f t="shared" si="18"/>
        <v>2376843.9399999995</v>
      </c>
      <c r="R313" s="541"/>
    </row>
    <row r="314" spans="1:18" x14ac:dyDescent="0.25">
      <c r="B314" s="167" t="s">
        <v>47</v>
      </c>
      <c r="C314" s="538" t="s">
        <v>37</v>
      </c>
      <c r="D314" s="538">
        <v>133</v>
      </c>
      <c r="E314" s="175">
        <v>0</v>
      </c>
      <c r="F314" s="175">
        <v>0</v>
      </c>
      <c r="G314" s="175">
        <v>0</v>
      </c>
      <c r="H314" s="175">
        <v>0</v>
      </c>
      <c r="I314" s="175">
        <v>0</v>
      </c>
      <c r="J314" s="175">
        <v>0</v>
      </c>
      <c r="K314" s="175">
        <v>0</v>
      </c>
      <c r="L314" s="175">
        <v>0</v>
      </c>
      <c r="M314" s="175">
        <v>0</v>
      </c>
      <c r="N314" s="175">
        <v>0</v>
      </c>
      <c r="O314" s="175">
        <v>0</v>
      </c>
      <c r="P314" s="175">
        <v>0</v>
      </c>
      <c r="Q314" s="171">
        <f t="shared" si="18"/>
        <v>0</v>
      </c>
      <c r="R314" s="541"/>
    </row>
    <row r="315" spans="1:18" x14ac:dyDescent="0.25">
      <c r="B315" s="167" t="s">
        <v>48</v>
      </c>
      <c r="C315" s="538" t="s">
        <v>39</v>
      </c>
      <c r="D315" s="538">
        <v>133</v>
      </c>
      <c r="E315" s="175">
        <v>0</v>
      </c>
      <c r="F315" s="175">
        <v>0</v>
      </c>
      <c r="G315" s="175">
        <v>0</v>
      </c>
      <c r="H315" s="175">
        <v>0</v>
      </c>
      <c r="I315" s="175">
        <v>0</v>
      </c>
      <c r="J315" s="175">
        <v>0</v>
      </c>
      <c r="K315" s="175">
        <v>0</v>
      </c>
      <c r="L315" s="175">
        <v>0</v>
      </c>
      <c r="M315" s="175">
        <v>0</v>
      </c>
      <c r="N315" s="175">
        <v>0</v>
      </c>
      <c r="O315" s="175">
        <v>0</v>
      </c>
      <c r="P315" s="175">
        <v>0</v>
      </c>
      <c r="Q315" s="171">
        <f t="shared" si="18"/>
        <v>0</v>
      </c>
    </row>
    <row r="316" spans="1:18" x14ac:dyDescent="0.25">
      <c r="B316" s="167" t="s">
        <v>49</v>
      </c>
      <c r="C316" s="538" t="s">
        <v>50</v>
      </c>
      <c r="D316" s="538">
        <v>133</v>
      </c>
      <c r="E316" s="175">
        <v>0</v>
      </c>
      <c r="F316" s="175">
        <v>0</v>
      </c>
      <c r="G316" s="175">
        <v>0</v>
      </c>
      <c r="H316" s="175">
        <v>0</v>
      </c>
      <c r="I316" s="175">
        <v>0</v>
      </c>
      <c r="J316" s="175">
        <v>0</v>
      </c>
      <c r="K316" s="175">
        <v>0</v>
      </c>
      <c r="L316" s="175">
        <v>0</v>
      </c>
      <c r="M316" s="175">
        <v>0</v>
      </c>
      <c r="N316" s="175">
        <v>0</v>
      </c>
      <c r="O316" s="175">
        <v>0</v>
      </c>
      <c r="P316" s="175">
        <v>0</v>
      </c>
      <c r="Q316" s="171">
        <f t="shared" si="18"/>
        <v>0</v>
      </c>
    </row>
    <row r="317" spans="1:18" x14ac:dyDescent="0.25">
      <c r="B317" s="167" t="s">
        <v>191</v>
      </c>
      <c r="C317" s="538" t="s">
        <v>51</v>
      </c>
      <c r="D317" s="538">
        <v>133</v>
      </c>
      <c r="E317" s="175">
        <v>-5667.21</v>
      </c>
      <c r="F317" s="175">
        <v>-5741.6</v>
      </c>
      <c r="G317" s="175">
        <v>-4045.28</v>
      </c>
      <c r="H317" s="175">
        <v>-3871.74</v>
      </c>
      <c r="I317" s="175">
        <v>-3050.87</v>
      </c>
      <c r="J317" s="175">
        <v>-1787</v>
      </c>
      <c r="K317" s="175">
        <v>-4714.28</v>
      </c>
      <c r="L317" s="175">
        <v>-10102.36</v>
      </c>
      <c r="M317" s="175">
        <v>-12381.28</v>
      </c>
      <c r="N317" s="175">
        <v>-10505.69</v>
      </c>
      <c r="O317" s="175">
        <v>-3789.39</v>
      </c>
      <c r="P317" s="175">
        <v>-5471.23</v>
      </c>
      <c r="Q317" s="171">
        <f t="shared" si="18"/>
        <v>-71127.929999999993</v>
      </c>
    </row>
    <row r="318" spans="1:18" x14ac:dyDescent="0.25">
      <c r="B318" s="167" t="s">
        <v>78</v>
      </c>
      <c r="C318" s="538" t="s">
        <v>77</v>
      </c>
      <c r="D318" s="538">
        <v>133</v>
      </c>
      <c r="E318" s="175">
        <v>0</v>
      </c>
      <c r="F318" s="175">
        <v>0</v>
      </c>
      <c r="G318" s="175">
        <v>0</v>
      </c>
      <c r="H318" s="175">
        <v>0</v>
      </c>
      <c r="I318" s="175">
        <v>0</v>
      </c>
      <c r="J318" s="175">
        <v>0</v>
      </c>
      <c r="K318" s="175">
        <v>0</v>
      </c>
      <c r="L318" s="175">
        <v>0</v>
      </c>
      <c r="M318" s="175">
        <v>0</v>
      </c>
      <c r="N318" s="175">
        <v>0</v>
      </c>
      <c r="O318" s="175">
        <v>0</v>
      </c>
      <c r="P318" s="175">
        <v>0</v>
      </c>
      <c r="Q318" s="171">
        <f t="shared" si="18"/>
        <v>0</v>
      </c>
    </row>
    <row r="319" spans="1:18" x14ac:dyDescent="0.25">
      <c r="B319" s="167" t="s">
        <v>13</v>
      </c>
      <c r="C319" s="538" t="s">
        <v>52</v>
      </c>
      <c r="D319" s="538">
        <v>133</v>
      </c>
      <c r="E319" s="175">
        <v>0</v>
      </c>
      <c r="F319" s="175">
        <v>0</v>
      </c>
      <c r="G319" s="175">
        <v>0</v>
      </c>
      <c r="H319" s="175">
        <v>0</v>
      </c>
      <c r="I319" s="175">
        <v>0</v>
      </c>
      <c r="J319" s="175">
        <v>0</v>
      </c>
      <c r="K319" s="175">
        <v>0</v>
      </c>
      <c r="L319" s="175">
        <v>0</v>
      </c>
      <c r="M319" s="175">
        <v>0</v>
      </c>
      <c r="N319" s="175">
        <v>0</v>
      </c>
      <c r="O319" s="175">
        <v>0</v>
      </c>
      <c r="P319" s="175">
        <v>0</v>
      </c>
      <c r="Q319" s="171">
        <f t="shared" si="18"/>
        <v>0</v>
      </c>
    </row>
    <row r="320" spans="1:18" x14ac:dyDescent="0.25">
      <c r="B320" s="167" t="s">
        <v>53</v>
      </c>
      <c r="C320" s="538" t="s">
        <v>41</v>
      </c>
      <c r="D320" s="538">
        <v>133</v>
      </c>
      <c r="E320" s="175">
        <v>213152.71</v>
      </c>
      <c r="F320" s="175">
        <v>216825.84</v>
      </c>
      <c r="G320" s="175">
        <v>167567.29</v>
      </c>
      <c r="H320" s="175">
        <v>183312.98</v>
      </c>
      <c r="I320" s="175">
        <v>168778.84</v>
      </c>
      <c r="J320" s="175">
        <v>154047.91</v>
      </c>
      <c r="K320" s="175">
        <v>170284.52000000002</v>
      </c>
      <c r="L320" s="175">
        <v>213927.99</v>
      </c>
      <c r="M320" s="175">
        <v>224801.89</v>
      </c>
      <c r="N320" s="175">
        <v>221483.91</v>
      </c>
      <c r="O320" s="175">
        <v>191478.06999999998</v>
      </c>
      <c r="P320" s="175">
        <v>208738.69</v>
      </c>
      <c r="Q320" s="171">
        <f>-SUM(E320:P320)</f>
        <v>-2334400.6399999997</v>
      </c>
    </row>
    <row r="321" spans="2:17" x14ac:dyDescent="0.25">
      <c r="B321" s="167" t="s">
        <v>54</v>
      </c>
      <c r="C321" s="538" t="s">
        <v>43</v>
      </c>
      <c r="D321" s="538">
        <v>133</v>
      </c>
      <c r="E321" s="175">
        <v>216825.84</v>
      </c>
      <c r="F321" s="175">
        <v>167567.29</v>
      </c>
      <c r="G321" s="175">
        <v>183312.98</v>
      </c>
      <c r="H321" s="175">
        <v>168778.84</v>
      </c>
      <c r="I321" s="175">
        <v>154047.91</v>
      </c>
      <c r="J321" s="175">
        <v>170284.52000000002</v>
      </c>
      <c r="K321" s="175">
        <v>213927.99</v>
      </c>
      <c r="L321" s="175">
        <v>224801.89</v>
      </c>
      <c r="M321" s="175">
        <v>221483.91</v>
      </c>
      <c r="N321" s="175">
        <v>191478.06999999998</v>
      </c>
      <c r="O321" s="175">
        <v>208738.69</v>
      </c>
      <c r="P321" s="175">
        <v>219145.22</v>
      </c>
      <c r="Q321" s="171">
        <f t="shared" si="18"/>
        <v>2340393.15</v>
      </c>
    </row>
    <row r="322" spans="2:17" x14ac:dyDescent="0.25">
      <c r="B322" s="167" t="s">
        <v>30</v>
      </c>
      <c r="C322" s="538" t="s">
        <v>44</v>
      </c>
      <c r="D322" s="538">
        <v>133</v>
      </c>
      <c r="E322" s="175">
        <v>215617.23</v>
      </c>
      <c r="F322" s="175">
        <v>166458.48000000001</v>
      </c>
      <c r="G322" s="175">
        <v>181564.45</v>
      </c>
      <c r="H322" s="175">
        <v>167950.57</v>
      </c>
      <c r="I322" s="175">
        <v>153351.24000000002</v>
      </c>
      <c r="J322" s="175">
        <v>170153.12000000002</v>
      </c>
      <c r="K322" s="175">
        <v>211639.31999999998</v>
      </c>
      <c r="L322" s="175">
        <v>219194.90000000002</v>
      </c>
      <c r="M322" s="175">
        <v>214113.68</v>
      </c>
      <c r="N322" s="175">
        <v>185801.82999999996</v>
      </c>
      <c r="O322" s="175">
        <v>208380</v>
      </c>
      <c r="P322" s="175">
        <v>217483.69999999998</v>
      </c>
      <c r="Q322" s="171">
        <f t="shared" si="18"/>
        <v>2311708.52</v>
      </c>
    </row>
    <row r="323" spans="2:17" x14ac:dyDescent="0.25">
      <c r="B323" s="542" t="s">
        <v>45</v>
      </c>
      <c r="E323" s="175"/>
      <c r="F323" s="175"/>
      <c r="G323" s="175"/>
      <c r="H323" s="175"/>
      <c r="I323" s="175"/>
      <c r="J323" s="175"/>
      <c r="K323" s="175"/>
      <c r="L323" s="175"/>
      <c r="M323" s="175"/>
      <c r="N323" s="175"/>
      <c r="O323" s="175"/>
      <c r="P323" s="175"/>
      <c r="Q323" s="171"/>
    </row>
    <row r="324" spans="2:17" x14ac:dyDescent="0.25">
      <c r="E324" s="175"/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  <c r="P324" s="175"/>
      <c r="Q324" s="171"/>
    </row>
    <row r="325" spans="2:17" x14ac:dyDescent="0.25">
      <c r="B325" s="540" t="s">
        <v>100</v>
      </c>
      <c r="C325" s="538" t="s">
        <v>34</v>
      </c>
      <c r="D325" s="538">
        <v>90</v>
      </c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  <c r="P325" s="176"/>
      <c r="Q325" s="171"/>
    </row>
    <row r="326" spans="2:17" x14ac:dyDescent="0.25">
      <c r="B326" s="167" t="s">
        <v>31</v>
      </c>
      <c r="C326" s="538" t="s">
        <v>35</v>
      </c>
      <c r="D326" s="538">
        <v>90</v>
      </c>
      <c r="E326" s="175">
        <v>4450625</v>
      </c>
      <c r="F326" s="175">
        <v>4088088</v>
      </c>
      <c r="G326" s="175">
        <v>5846716</v>
      </c>
      <c r="H326" s="175">
        <v>3088142</v>
      </c>
      <c r="I326" s="175">
        <v>2551096</v>
      </c>
      <c r="J326" s="175">
        <v>381981</v>
      </c>
      <c r="K326" s="175">
        <v>6776820</v>
      </c>
      <c r="L326" s="175">
        <v>14122838</v>
      </c>
      <c r="M326" s="175">
        <v>15605297</v>
      </c>
      <c r="N326" s="175">
        <v>14512835</v>
      </c>
      <c r="O326" s="175">
        <v>667138</v>
      </c>
      <c r="P326" s="175">
        <v>5956005</v>
      </c>
      <c r="Q326" s="171">
        <f t="shared" si="18"/>
        <v>78047581</v>
      </c>
    </row>
    <row r="327" spans="2:17" x14ac:dyDescent="0.25">
      <c r="B327" s="167" t="s">
        <v>36</v>
      </c>
      <c r="C327" s="538" t="s">
        <v>37</v>
      </c>
      <c r="D327" s="538">
        <v>90</v>
      </c>
      <c r="E327" s="175">
        <v>0</v>
      </c>
      <c r="F327" s="175">
        <v>0</v>
      </c>
      <c r="G327" s="175">
        <v>0</v>
      </c>
      <c r="H327" s="175">
        <v>0</v>
      </c>
      <c r="I327" s="175">
        <v>0</v>
      </c>
      <c r="J327" s="175">
        <v>0</v>
      </c>
      <c r="K327" s="175">
        <v>0</v>
      </c>
      <c r="L327" s="175">
        <v>0</v>
      </c>
      <c r="M327" s="175">
        <v>0</v>
      </c>
      <c r="N327" s="175">
        <v>0</v>
      </c>
      <c r="O327" s="175">
        <v>0</v>
      </c>
      <c r="P327" s="175">
        <v>0</v>
      </c>
      <c r="Q327" s="171">
        <f t="shared" si="18"/>
        <v>0</v>
      </c>
    </row>
    <row r="328" spans="2:17" x14ac:dyDescent="0.25">
      <c r="B328" s="167" t="s">
        <v>38</v>
      </c>
      <c r="C328" s="538" t="s">
        <v>39</v>
      </c>
      <c r="D328" s="538">
        <v>90</v>
      </c>
      <c r="E328" s="175">
        <v>0</v>
      </c>
      <c r="F328" s="175">
        <v>0</v>
      </c>
      <c r="G328" s="175">
        <v>0</v>
      </c>
      <c r="H328" s="175">
        <v>0</v>
      </c>
      <c r="I328" s="175">
        <v>0</v>
      </c>
      <c r="J328" s="175">
        <v>0</v>
      </c>
      <c r="K328" s="175">
        <v>0</v>
      </c>
      <c r="L328" s="175">
        <v>0</v>
      </c>
      <c r="M328" s="175">
        <v>0</v>
      </c>
      <c r="N328" s="175">
        <v>0</v>
      </c>
      <c r="O328" s="175">
        <v>0</v>
      </c>
      <c r="P328" s="175">
        <v>0</v>
      </c>
      <c r="Q328" s="171">
        <f t="shared" si="18"/>
        <v>0</v>
      </c>
    </row>
    <row r="329" spans="2:17" x14ac:dyDescent="0.25">
      <c r="B329" s="167" t="s">
        <v>40</v>
      </c>
      <c r="C329" s="538" t="s">
        <v>41</v>
      </c>
      <c r="D329" s="538">
        <v>90</v>
      </c>
      <c r="E329" s="175">
        <v>4450625</v>
      </c>
      <c r="F329" s="175">
        <v>4088088</v>
      </c>
      <c r="G329" s="175">
        <v>5846716</v>
      </c>
      <c r="H329" s="175">
        <v>3088142</v>
      </c>
      <c r="I329" s="175">
        <v>2551096</v>
      </c>
      <c r="J329" s="175">
        <v>381981</v>
      </c>
      <c r="K329" s="175">
        <v>6776820</v>
      </c>
      <c r="L329" s="175">
        <v>14122838</v>
      </c>
      <c r="M329" s="175">
        <v>15605297</v>
      </c>
      <c r="N329" s="175">
        <v>14512835</v>
      </c>
      <c r="O329" s="175">
        <v>667138</v>
      </c>
      <c r="P329" s="175">
        <v>5956005</v>
      </c>
      <c r="Q329" s="171">
        <f t="shared" si="18"/>
        <v>78047581</v>
      </c>
    </row>
    <row r="330" spans="2:17" x14ac:dyDescent="0.25">
      <c r="B330" s="167" t="s">
        <v>42</v>
      </c>
      <c r="C330" s="538" t="s">
        <v>43</v>
      </c>
      <c r="D330" s="538">
        <v>90</v>
      </c>
      <c r="E330" s="175">
        <v>4088088</v>
      </c>
      <c r="F330" s="175">
        <v>5846716</v>
      </c>
      <c r="G330" s="175">
        <v>3088142</v>
      </c>
      <c r="H330" s="175">
        <v>2551096</v>
      </c>
      <c r="I330" s="175">
        <v>381981</v>
      </c>
      <c r="J330" s="175">
        <v>6776820</v>
      </c>
      <c r="K330" s="175">
        <v>14122838</v>
      </c>
      <c r="L330" s="175">
        <v>15605297</v>
      </c>
      <c r="M330" s="175">
        <v>14512835</v>
      </c>
      <c r="N330" s="175">
        <v>667138</v>
      </c>
      <c r="O330" s="175">
        <v>5956005</v>
      </c>
      <c r="P330" s="175">
        <v>13886984</v>
      </c>
      <c r="Q330" s="171">
        <f t="shared" si="18"/>
        <v>87483940</v>
      </c>
    </row>
    <row r="331" spans="2:17" x14ac:dyDescent="0.25">
      <c r="B331" s="167" t="s">
        <v>33</v>
      </c>
      <c r="C331" s="538" t="s">
        <v>44</v>
      </c>
      <c r="D331" s="538">
        <v>90</v>
      </c>
      <c r="E331" s="175">
        <v>4088088</v>
      </c>
      <c r="F331" s="175">
        <v>5846716</v>
      </c>
      <c r="G331" s="175">
        <v>3088142</v>
      </c>
      <c r="H331" s="175">
        <v>2551096</v>
      </c>
      <c r="I331" s="175">
        <v>381981</v>
      </c>
      <c r="J331" s="175">
        <v>6776820</v>
      </c>
      <c r="K331" s="175">
        <v>14122838</v>
      </c>
      <c r="L331" s="175">
        <v>15605297</v>
      </c>
      <c r="M331" s="175">
        <v>14512835</v>
      </c>
      <c r="N331" s="175">
        <v>667138</v>
      </c>
      <c r="O331" s="175">
        <v>5956005</v>
      </c>
      <c r="P331" s="175">
        <v>13886984</v>
      </c>
      <c r="Q331" s="171">
        <f t="shared" si="18"/>
        <v>87483940</v>
      </c>
    </row>
    <row r="332" spans="2:17" x14ac:dyDescent="0.25">
      <c r="B332" s="542" t="s">
        <v>45</v>
      </c>
      <c r="E332" s="175"/>
      <c r="F332" s="175"/>
      <c r="G332" s="175"/>
      <c r="H332" s="175"/>
      <c r="I332" s="175"/>
      <c r="J332" s="175"/>
      <c r="K332" s="175"/>
      <c r="L332" s="175"/>
      <c r="M332" s="175"/>
      <c r="N332" s="175"/>
      <c r="O332" s="175"/>
      <c r="P332" s="175"/>
      <c r="Q332" s="171">
        <f t="shared" si="18"/>
        <v>0</v>
      </c>
    </row>
    <row r="333" spans="2:17" x14ac:dyDescent="0.25">
      <c r="B333" s="167" t="s">
        <v>46</v>
      </c>
      <c r="C333" s="538" t="s">
        <v>35</v>
      </c>
      <c r="D333" s="538">
        <v>134</v>
      </c>
      <c r="E333" s="175">
        <v>148897.04999999999</v>
      </c>
      <c r="F333" s="175">
        <v>146414.85</v>
      </c>
      <c r="G333" s="175">
        <v>158455.72</v>
      </c>
      <c r="H333" s="175">
        <v>139568.47</v>
      </c>
      <c r="I333" s="175">
        <v>135891.46</v>
      </c>
      <c r="J333" s="175">
        <v>120275.94</v>
      </c>
      <c r="K333" s="175">
        <v>164823.92000000001</v>
      </c>
      <c r="L333" s="175">
        <v>215120.25</v>
      </c>
      <c r="M333" s="175">
        <v>225270.26</v>
      </c>
      <c r="N333" s="175">
        <v>217790.45</v>
      </c>
      <c r="O333" s="175">
        <v>122992.49</v>
      </c>
      <c r="P333" s="175">
        <v>162235.62</v>
      </c>
      <c r="Q333" s="171">
        <f t="shared" si="18"/>
        <v>1957736.48</v>
      </c>
    </row>
    <row r="334" spans="2:17" x14ac:dyDescent="0.25">
      <c r="B334" s="167" t="s">
        <v>47</v>
      </c>
      <c r="C334" s="538" t="s">
        <v>37</v>
      </c>
      <c r="D334" s="538">
        <v>134</v>
      </c>
      <c r="E334" s="175">
        <v>0</v>
      </c>
      <c r="F334" s="175">
        <v>0</v>
      </c>
      <c r="G334" s="175">
        <v>0</v>
      </c>
      <c r="H334" s="175">
        <v>0</v>
      </c>
      <c r="I334" s="175">
        <v>0</v>
      </c>
      <c r="J334" s="175">
        <v>0</v>
      </c>
      <c r="K334" s="175">
        <v>0</v>
      </c>
      <c r="L334" s="175">
        <v>0</v>
      </c>
      <c r="M334" s="175">
        <v>0</v>
      </c>
      <c r="N334" s="175">
        <v>0</v>
      </c>
      <c r="O334" s="175">
        <v>0</v>
      </c>
      <c r="P334" s="175">
        <v>0</v>
      </c>
      <c r="Q334" s="171">
        <f t="shared" si="18"/>
        <v>0</v>
      </c>
    </row>
    <row r="335" spans="2:17" x14ac:dyDescent="0.25">
      <c r="B335" s="167" t="s">
        <v>48</v>
      </c>
      <c r="C335" s="538" t="s">
        <v>39</v>
      </c>
      <c r="D335" s="538">
        <v>134</v>
      </c>
      <c r="E335" s="175">
        <v>0</v>
      </c>
      <c r="F335" s="175">
        <v>0</v>
      </c>
      <c r="G335" s="175">
        <v>0</v>
      </c>
      <c r="H335" s="175">
        <v>0</v>
      </c>
      <c r="I335" s="175">
        <v>0</v>
      </c>
      <c r="J335" s="175">
        <v>0</v>
      </c>
      <c r="K335" s="175">
        <v>0</v>
      </c>
      <c r="L335" s="175">
        <v>0</v>
      </c>
      <c r="M335" s="175">
        <v>0</v>
      </c>
      <c r="N335" s="175">
        <v>0</v>
      </c>
      <c r="O335" s="175">
        <v>0</v>
      </c>
      <c r="P335" s="175">
        <v>0</v>
      </c>
      <c r="Q335" s="171">
        <f t="shared" si="18"/>
        <v>0</v>
      </c>
    </row>
    <row r="336" spans="2:17" x14ac:dyDescent="0.25">
      <c r="B336" s="167" t="s">
        <v>49</v>
      </c>
      <c r="C336" s="538" t="s">
        <v>50</v>
      </c>
      <c r="D336" s="538">
        <v>134</v>
      </c>
      <c r="E336" s="175">
        <v>0</v>
      </c>
      <c r="F336" s="175">
        <v>0</v>
      </c>
      <c r="G336" s="175">
        <v>0</v>
      </c>
      <c r="H336" s="175">
        <v>0</v>
      </c>
      <c r="I336" s="175">
        <v>0</v>
      </c>
      <c r="J336" s="175">
        <v>0</v>
      </c>
      <c r="K336" s="175">
        <v>0</v>
      </c>
      <c r="L336" s="175">
        <v>0</v>
      </c>
      <c r="M336" s="175">
        <v>0</v>
      </c>
      <c r="N336" s="175">
        <v>0</v>
      </c>
      <c r="O336" s="175">
        <v>0</v>
      </c>
      <c r="P336" s="175">
        <v>0</v>
      </c>
      <c r="Q336" s="171">
        <f t="shared" si="18"/>
        <v>0</v>
      </c>
    </row>
    <row r="337" spans="2:17" x14ac:dyDescent="0.25">
      <c r="B337" s="167" t="s">
        <v>191</v>
      </c>
      <c r="C337" s="538" t="s">
        <v>51</v>
      </c>
      <c r="D337" s="538">
        <v>134</v>
      </c>
      <c r="E337" s="175">
        <v>0</v>
      </c>
      <c r="F337" s="175">
        <v>0</v>
      </c>
      <c r="G337" s="175">
        <v>0</v>
      </c>
      <c r="H337" s="175">
        <v>0</v>
      </c>
      <c r="I337" s="175">
        <v>0</v>
      </c>
      <c r="J337" s="175">
        <v>0</v>
      </c>
      <c r="K337" s="175">
        <v>0</v>
      </c>
      <c r="L337" s="175">
        <v>0</v>
      </c>
      <c r="M337" s="175">
        <v>0</v>
      </c>
      <c r="N337" s="175">
        <v>0</v>
      </c>
      <c r="O337" s="175">
        <v>0</v>
      </c>
      <c r="P337" s="175">
        <v>0</v>
      </c>
      <c r="Q337" s="171">
        <f t="shared" si="18"/>
        <v>0</v>
      </c>
    </row>
    <row r="338" spans="2:17" x14ac:dyDescent="0.25">
      <c r="B338" s="167" t="s">
        <v>78</v>
      </c>
      <c r="C338" s="538" t="s">
        <v>77</v>
      </c>
      <c r="D338" s="538">
        <v>134</v>
      </c>
      <c r="E338" s="175">
        <v>0</v>
      </c>
      <c r="F338" s="175">
        <v>0</v>
      </c>
      <c r="G338" s="175">
        <v>0</v>
      </c>
      <c r="H338" s="175">
        <v>0</v>
      </c>
      <c r="I338" s="175">
        <v>0</v>
      </c>
      <c r="J338" s="175">
        <v>0</v>
      </c>
      <c r="K338" s="175">
        <v>0</v>
      </c>
      <c r="L338" s="175">
        <v>0</v>
      </c>
      <c r="M338" s="175">
        <v>0</v>
      </c>
      <c r="N338" s="175">
        <v>0</v>
      </c>
      <c r="O338" s="175">
        <v>0</v>
      </c>
      <c r="P338" s="175">
        <v>0</v>
      </c>
      <c r="Q338" s="171">
        <f t="shared" si="18"/>
        <v>0</v>
      </c>
    </row>
    <row r="339" spans="2:17" x14ac:dyDescent="0.25">
      <c r="B339" s="167" t="s">
        <v>13</v>
      </c>
      <c r="C339" s="538" t="s">
        <v>52</v>
      </c>
      <c r="D339" s="538">
        <v>134</v>
      </c>
      <c r="E339" s="175">
        <v>0</v>
      </c>
      <c r="F339" s="175">
        <v>0</v>
      </c>
      <c r="G339" s="175">
        <v>0</v>
      </c>
      <c r="H339" s="175">
        <v>0</v>
      </c>
      <c r="I339" s="175">
        <v>0</v>
      </c>
      <c r="J339" s="175">
        <v>0</v>
      </c>
      <c r="K339" s="175">
        <v>0</v>
      </c>
      <c r="L339" s="175">
        <v>0</v>
      </c>
      <c r="M339" s="175">
        <v>0</v>
      </c>
      <c r="N339" s="175">
        <v>0</v>
      </c>
      <c r="O339" s="175">
        <v>0</v>
      </c>
      <c r="P339" s="175">
        <v>0</v>
      </c>
      <c r="Q339" s="171">
        <f t="shared" si="18"/>
        <v>0</v>
      </c>
    </row>
    <row r="340" spans="2:17" x14ac:dyDescent="0.25">
      <c r="B340" s="167" t="s">
        <v>53</v>
      </c>
      <c r="C340" s="538" t="s">
        <v>41</v>
      </c>
      <c r="D340" s="538">
        <v>134</v>
      </c>
      <c r="E340" s="175">
        <v>147517.35999999999</v>
      </c>
      <c r="F340" s="175">
        <v>145147.54</v>
      </c>
      <c r="G340" s="175">
        <v>156643.24</v>
      </c>
      <c r="H340" s="175">
        <v>138611.15</v>
      </c>
      <c r="I340" s="175">
        <v>135100.62</v>
      </c>
      <c r="J340" s="175">
        <v>120157.53</v>
      </c>
      <c r="K340" s="175">
        <v>162723.11000000002</v>
      </c>
      <c r="L340" s="175">
        <v>210742.17</v>
      </c>
      <c r="M340" s="175">
        <v>220432.62</v>
      </c>
      <c r="N340" s="175">
        <v>213291.47</v>
      </c>
      <c r="O340" s="175">
        <v>122785.68000000001</v>
      </c>
      <c r="P340" s="175">
        <v>160448.82</v>
      </c>
      <c r="Q340" s="171">
        <f>-SUM(E340:P340)</f>
        <v>-1933601.3099999998</v>
      </c>
    </row>
    <row r="341" spans="2:17" x14ac:dyDescent="0.25">
      <c r="B341" s="167" t="s">
        <v>54</v>
      </c>
      <c r="C341" s="538" t="s">
        <v>43</v>
      </c>
      <c r="D341" s="538">
        <v>134</v>
      </c>
      <c r="E341" s="175">
        <v>145147.54</v>
      </c>
      <c r="F341" s="175">
        <v>156643.24</v>
      </c>
      <c r="G341" s="175">
        <v>138611.15</v>
      </c>
      <c r="H341" s="175">
        <v>135100.62</v>
      </c>
      <c r="I341" s="175">
        <v>120157.53</v>
      </c>
      <c r="J341" s="175">
        <v>162723.11000000002</v>
      </c>
      <c r="K341" s="175">
        <v>210742.17</v>
      </c>
      <c r="L341" s="175">
        <v>220432.62</v>
      </c>
      <c r="M341" s="175">
        <v>213291.47</v>
      </c>
      <c r="N341" s="175">
        <v>122785.68000000001</v>
      </c>
      <c r="O341" s="175">
        <v>160448.82</v>
      </c>
      <c r="P341" s="175">
        <v>216407.78</v>
      </c>
      <c r="Q341" s="171">
        <f t="shared" si="18"/>
        <v>2002491.73</v>
      </c>
    </row>
    <row r="342" spans="2:17" x14ac:dyDescent="0.25">
      <c r="B342" s="167" t="s">
        <v>30</v>
      </c>
      <c r="C342" s="538" t="s">
        <v>44</v>
      </c>
      <c r="D342" s="538">
        <v>134</v>
      </c>
      <c r="E342" s="175">
        <v>146527.23000000001</v>
      </c>
      <c r="F342" s="175">
        <v>157910.54999999999</v>
      </c>
      <c r="G342" s="175">
        <v>140423.63</v>
      </c>
      <c r="H342" s="175">
        <v>136057.94</v>
      </c>
      <c r="I342" s="175">
        <v>120948.37</v>
      </c>
      <c r="J342" s="175">
        <v>162841.52000000002</v>
      </c>
      <c r="K342" s="175">
        <v>212842.98</v>
      </c>
      <c r="L342" s="175">
        <v>224810.69999999998</v>
      </c>
      <c r="M342" s="175">
        <v>218129.11000000002</v>
      </c>
      <c r="N342" s="175">
        <v>127284.66000000002</v>
      </c>
      <c r="O342" s="175">
        <v>160655.63</v>
      </c>
      <c r="P342" s="175">
        <v>218194.58</v>
      </c>
      <c r="Q342" s="171">
        <f t="shared" si="18"/>
        <v>2026626.9000000004</v>
      </c>
    </row>
    <row r="343" spans="2:17" x14ac:dyDescent="0.25">
      <c r="B343" s="542" t="s">
        <v>45</v>
      </c>
      <c r="E343" s="175"/>
      <c r="F343" s="175"/>
      <c r="G343" s="175"/>
      <c r="H343" s="175"/>
      <c r="I343" s="175"/>
      <c r="J343" s="175"/>
      <c r="K343" s="175"/>
      <c r="L343" s="175"/>
      <c r="M343" s="175"/>
      <c r="N343" s="175"/>
      <c r="O343" s="175"/>
      <c r="P343" s="175"/>
      <c r="Q343" s="171"/>
    </row>
    <row r="344" spans="2:17" x14ac:dyDescent="0.25">
      <c r="E344" s="175"/>
      <c r="F344" s="175"/>
      <c r="G344" s="175"/>
      <c r="H344" s="175"/>
      <c r="I344" s="175"/>
      <c r="J344" s="175"/>
      <c r="K344" s="175"/>
      <c r="L344" s="175"/>
      <c r="M344" s="175"/>
      <c r="N344" s="175"/>
      <c r="O344" s="175"/>
      <c r="P344" s="175"/>
      <c r="Q344" s="171"/>
    </row>
    <row r="345" spans="2:17" x14ac:dyDescent="0.25">
      <c r="B345" s="540" t="s">
        <v>99</v>
      </c>
      <c r="C345" s="538" t="s">
        <v>34</v>
      </c>
      <c r="D345" s="538">
        <v>91</v>
      </c>
      <c r="E345" s="176"/>
      <c r="F345" s="176"/>
      <c r="G345" s="176"/>
      <c r="H345" s="176"/>
      <c r="I345" s="176"/>
      <c r="J345" s="176"/>
      <c r="K345" s="176"/>
      <c r="L345" s="176"/>
      <c r="M345" s="176"/>
      <c r="N345" s="176"/>
      <c r="O345" s="176"/>
      <c r="P345" s="176"/>
      <c r="Q345" s="171"/>
    </row>
    <row r="346" spans="2:17" x14ac:dyDescent="0.25">
      <c r="B346" s="167" t="s">
        <v>31</v>
      </c>
      <c r="C346" s="538" t="s">
        <v>35</v>
      </c>
      <c r="D346" s="538">
        <v>91</v>
      </c>
      <c r="E346" s="175">
        <v>57483</v>
      </c>
      <c r="F346" s="175">
        <v>106086</v>
      </c>
      <c r="G346" s="175">
        <v>228696</v>
      </c>
      <c r="H346" s="175">
        <v>0</v>
      </c>
      <c r="I346" s="175">
        <v>24270</v>
      </c>
      <c r="J346" s="175">
        <v>234043</v>
      </c>
      <c r="K346" s="175">
        <v>1112893</v>
      </c>
      <c r="L346" s="175">
        <v>5050508</v>
      </c>
      <c r="M346" s="175">
        <v>9500954</v>
      </c>
      <c r="N346" s="175">
        <v>4852567</v>
      </c>
      <c r="O346" s="175">
        <v>897404</v>
      </c>
      <c r="P346" s="175">
        <v>211269</v>
      </c>
      <c r="Q346" s="171">
        <f t="shared" si="18"/>
        <v>22276173</v>
      </c>
    </row>
    <row r="347" spans="2:17" x14ac:dyDescent="0.25">
      <c r="B347" s="167" t="s">
        <v>36</v>
      </c>
      <c r="C347" s="538" t="s">
        <v>37</v>
      </c>
      <c r="D347" s="538">
        <v>91</v>
      </c>
      <c r="E347" s="175">
        <v>0</v>
      </c>
      <c r="F347" s="175">
        <v>0</v>
      </c>
      <c r="G347" s="175">
        <v>0</v>
      </c>
      <c r="H347" s="175">
        <v>0</v>
      </c>
      <c r="I347" s="175">
        <v>0</v>
      </c>
      <c r="J347" s="175">
        <v>0</v>
      </c>
      <c r="K347" s="175">
        <v>0</v>
      </c>
      <c r="L347" s="175">
        <v>0</v>
      </c>
      <c r="M347" s="175">
        <v>0</v>
      </c>
      <c r="N347" s="175">
        <v>0</v>
      </c>
      <c r="O347" s="175">
        <v>0</v>
      </c>
      <c r="P347" s="175">
        <v>0</v>
      </c>
      <c r="Q347" s="171">
        <f t="shared" si="18"/>
        <v>0</v>
      </c>
    </row>
    <row r="348" spans="2:17" x14ac:dyDescent="0.25">
      <c r="B348" s="167" t="s">
        <v>38</v>
      </c>
      <c r="C348" s="538" t="s">
        <v>39</v>
      </c>
      <c r="D348" s="538">
        <v>91</v>
      </c>
      <c r="E348" s="175">
        <v>0</v>
      </c>
      <c r="F348" s="175">
        <v>0</v>
      </c>
      <c r="G348" s="175">
        <v>0</v>
      </c>
      <c r="H348" s="175">
        <v>0</v>
      </c>
      <c r="I348" s="175">
        <v>0</v>
      </c>
      <c r="J348" s="175">
        <v>0</v>
      </c>
      <c r="K348" s="175">
        <v>0</v>
      </c>
      <c r="L348" s="175">
        <v>0</v>
      </c>
      <c r="M348" s="175">
        <v>0</v>
      </c>
      <c r="N348" s="175">
        <v>0</v>
      </c>
      <c r="O348" s="175">
        <v>0</v>
      </c>
      <c r="P348" s="175">
        <v>0</v>
      </c>
      <c r="Q348" s="171">
        <f t="shared" si="18"/>
        <v>0</v>
      </c>
    </row>
    <row r="349" spans="2:17" x14ac:dyDescent="0.25">
      <c r="B349" s="167" t="s">
        <v>40</v>
      </c>
      <c r="C349" s="538" t="s">
        <v>41</v>
      </c>
      <c r="D349" s="538">
        <v>91</v>
      </c>
      <c r="E349" s="175">
        <v>57483</v>
      </c>
      <c r="F349" s="175">
        <v>106086</v>
      </c>
      <c r="G349" s="175">
        <v>228696</v>
      </c>
      <c r="H349" s="175">
        <v>0</v>
      </c>
      <c r="I349" s="175">
        <v>24270</v>
      </c>
      <c r="J349" s="175">
        <v>234043</v>
      </c>
      <c r="K349" s="175">
        <v>1112893</v>
      </c>
      <c r="L349" s="175">
        <v>5050508</v>
      </c>
      <c r="M349" s="175">
        <v>9500954</v>
      </c>
      <c r="N349" s="175">
        <v>4852567</v>
      </c>
      <c r="O349" s="175">
        <v>897404</v>
      </c>
      <c r="P349" s="175">
        <v>211269</v>
      </c>
      <c r="Q349" s="171">
        <f>-SUM(E349:P349)</f>
        <v>-22276173</v>
      </c>
    </row>
    <row r="350" spans="2:17" x14ac:dyDescent="0.25">
      <c r="B350" s="167" t="s">
        <v>42</v>
      </c>
      <c r="C350" s="538" t="s">
        <v>43</v>
      </c>
      <c r="D350" s="538">
        <v>91</v>
      </c>
      <c r="E350" s="175">
        <v>106086</v>
      </c>
      <c r="F350" s="175">
        <v>228696</v>
      </c>
      <c r="G350" s="175">
        <v>0</v>
      </c>
      <c r="H350" s="175">
        <v>24270</v>
      </c>
      <c r="I350" s="175">
        <v>234043</v>
      </c>
      <c r="J350" s="175">
        <v>1112893</v>
      </c>
      <c r="K350" s="175">
        <v>5050508</v>
      </c>
      <c r="L350" s="175">
        <v>9500954</v>
      </c>
      <c r="M350" s="175">
        <v>4852567</v>
      </c>
      <c r="N350" s="175">
        <v>897404</v>
      </c>
      <c r="O350" s="175">
        <v>211269</v>
      </c>
      <c r="P350" s="175">
        <v>1297588</v>
      </c>
      <c r="Q350" s="171">
        <f t="shared" si="18"/>
        <v>23516278</v>
      </c>
    </row>
    <row r="351" spans="2:17" x14ac:dyDescent="0.25">
      <c r="B351" s="167" t="s">
        <v>33</v>
      </c>
      <c r="C351" s="538" t="s">
        <v>44</v>
      </c>
      <c r="D351" s="538">
        <v>91</v>
      </c>
      <c r="E351" s="175">
        <v>106086</v>
      </c>
      <c r="F351" s="175">
        <v>228696</v>
      </c>
      <c r="G351" s="175">
        <v>0</v>
      </c>
      <c r="H351" s="175">
        <v>24270</v>
      </c>
      <c r="I351" s="175">
        <v>234043</v>
      </c>
      <c r="J351" s="175">
        <v>1112893</v>
      </c>
      <c r="K351" s="175">
        <v>5050508</v>
      </c>
      <c r="L351" s="175">
        <v>9500954</v>
      </c>
      <c r="M351" s="175">
        <v>4852567</v>
      </c>
      <c r="N351" s="175">
        <v>897404</v>
      </c>
      <c r="O351" s="175">
        <v>211269</v>
      </c>
      <c r="P351" s="175">
        <v>1297588</v>
      </c>
      <c r="Q351" s="171">
        <f t="shared" si="18"/>
        <v>23516278</v>
      </c>
    </row>
    <row r="352" spans="2:17" x14ac:dyDescent="0.25">
      <c r="B352" s="542" t="s">
        <v>45</v>
      </c>
      <c r="E352" s="175"/>
      <c r="F352" s="175"/>
      <c r="G352" s="175"/>
      <c r="H352" s="175"/>
      <c r="I352" s="175"/>
      <c r="J352" s="175"/>
      <c r="K352" s="175"/>
      <c r="L352" s="175"/>
      <c r="M352" s="175"/>
      <c r="N352" s="175"/>
      <c r="O352" s="175"/>
      <c r="P352" s="175"/>
      <c r="Q352" s="171">
        <f t="shared" si="18"/>
        <v>0</v>
      </c>
    </row>
    <row r="353" spans="2:17" x14ac:dyDescent="0.25">
      <c r="B353" s="167" t="s">
        <v>46</v>
      </c>
      <c r="C353" s="538" t="s">
        <v>35</v>
      </c>
      <c r="D353" s="538">
        <v>135</v>
      </c>
      <c r="E353" s="175">
        <v>126255.93</v>
      </c>
      <c r="F353" s="175">
        <v>126379.53</v>
      </c>
      <c r="G353" s="175">
        <v>126752.93</v>
      </c>
      <c r="H353" s="175">
        <v>126113.88</v>
      </c>
      <c r="I353" s="175">
        <v>126173.84</v>
      </c>
      <c r="J353" s="175">
        <v>126769.22</v>
      </c>
      <c r="K353" s="175">
        <v>128191.42</v>
      </c>
      <c r="L353" s="175">
        <v>140009.25</v>
      </c>
      <c r="M353" s="175">
        <v>156537.38</v>
      </c>
      <c r="N353" s="175">
        <v>139274.14000000001</v>
      </c>
      <c r="O353" s="175">
        <v>125221.32</v>
      </c>
      <c r="P353" s="175">
        <v>124294.75</v>
      </c>
      <c r="Q353" s="171">
        <f t="shared" si="18"/>
        <v>1571973.59</v>
      </c>
    </row>
    <row r="354" spans="2:17" x14ac:dyDescent="0.25">
      <c r="B354" s="167" t="s">
        <v>47</v>
      </c>
      <c r="C354" s="538" t="s">
        <v>37</v>
      </c>
      <c r="D354" s="538">
        <v>135</v>
      </c>
      <c r="E354" s="175">
        <v>0</v>
      </c>
      <c r="F354" s="175">
        <v>0</v>
      </c>
      <c r="G354" s="175">
        <v>0</v>
      </c>
      <c r="H354" s="175">
        <v>0</v>
      </c>
      <c r="I354" s="175">
        <v>0</v>
      </c>
      <c r="J354" s="175">
        <v>0</v>
      </c>
      <c r="K354" s="175">
        <v>0</v>
      </c>
      <c r="L354" s="175">
        <v>0</v>
      </c>
      <c r="M354" s="175">
        <v>0</v>
      </c>
      <c r="N354" s="175">
        <v>0</v>
      </c>
      <c r="O354" s="175">
        <v>0</v>
      </c>
      <c r="P354" s="175">
        <v>0</v>
      </c>
      <c r="Q354" s="171">
        <f t="shared" si="18"/>
        <v>0</v>
      </c>
    </row>
    <row r="355" spans="2:17" x14ac:dyDescent="0.25">
      <c r="B355" s="167" t="s">
        <v>48</v>
      </c>
      <c r="C355" s="538" t="s">
        <v>39</v>
      </c>
      <c r="D355" s="538">
        <v>135</v>
      </c>
      <c r="E355" s="175">
        <v>0</v>
      </c>
      <c r="F355" s="175">
        <v>0</v>
      </c>
      <c r="G355" s="175">
        <v>0</v>
      </c>
      <c r="H355" s="175">
        <v>0</v>
      </c>
      <c r="I355" s="175">
        <v>0</v>
      </c>
      <c r="J355" s="175">
        <v>0</v>
      </c>
      <c r="K355" s="175">
        <v>0</v>
      </c>
      <c r="L355" s="175">
        <v>0</v>
      </c>
      <c r="M355" s="175">
        <v>0</v>
      </c>
      <c r="N355" s="175">
        <v>0</v>
      </c>
      <c r="O355" s="175">
        <v>0</v>
      </c>
      <c r="P355" s="175">
        <v>0</v>
      </c>
      <c r="Q355" s="171">
        <f t="shared" si="18"/>
        <v>0</v>
      </c>
    </row>
    <row r="356" spans="2:17" x14ac:dyDescent="0.25">
      <c r="B356" s="167" t="s">
        <v>49</v>
      </c>
      <c r="C356" s="538" t="s">
        <v>50</v>
      </c>
      <c r="D356" s="538">
        <v>135</v>
      </c>
      <c r="E356" s="175">
        <v>0</v>
      </c>
      <c r="F356" s="175">
        <v>0</v>
      </c>
      <c r="G356" s="175">
        <v>0</v>
      </c>
      <c r="H356" s="175">
        <v>0</v>
      </c>
      <c r="I356" s="175">
        <v>0</v>
      </c>
      <c r="J356" s="175">
        <v>0</v>
      </c>
      <c r="K356" s="175">
        <v>0</v>
      </c>
      <c r="L356" s="175">
        <v>0</v>
      </c>
      <c r="M356" s="175">
        <v>0</v>
      </c>
      <c r="N356" s="175">
        <v>0</v>
      </c>
      <c r="O356" s="175">
        <v>0</v>
      </c>
      <c r="P356" s="175">
        <v>0</v>
      </c>
      <c r="Q356" s="171">
        <f t="shared" si="18"/>
        <v>0</v>
      </c>
    </row>
    <row r="357" spans="2:17" x14ac:dyDescent="0.25">
      <c r="B357" s="167" t="s">
        <v>191</v>
      </c>
      <c r="C357" s="538" t="s">
        <v>51</v>
      </c>
      <c r="D357" s="538">
        <v>135</v>
      </c>
      <c r="E357" s="175">
        <v>0</v>
      </c>
      <c r="F357" s="175">
        <v>0</v>
      </c>
      <c r="G357" s="175">
        <v>0</v>
      </c>
      <c r="H357" s="175">
        <v>0</v>
      </c>
      <c r="I357" s="175">
        <v>0</v>
      </c>
      <c r="J357" s="175">
        <v>0</v>
      </c>
      <c r="K357" s="175">
        <v>0</v>
      </c>
      <c r="L357" s="175">
        <v>0</v>
      </c>
      <c r="M357" s="175">
        <v>0</v>
      </c>
      <c r="N357" s="175">
        <v>0</v>
      </c>
      <c r="O357" s="175">
        <v>0</v>
      </c>
      <c r="P357" s="175">
        <v>0</v>
      </c>
      <c r="Q357" s="171">
        <f t="shared" si="18"/>
        <v>0</v>
      </c>
    </row>
    <row r="358" spans="2:17" x14ac:dyDescent="0.25">
      <c r="B358" s="167" t="s">
        <v>78</v>
      </c>
      <c r="C358" s="538" t="s">
        <v>77</v>
      </c>
      <c r="D358" s="538">
        <v>135</v>
      </c>
      <c r="E358" s="175">
        <v>0</v>
      </c>
      <c r="F358" s="175">
        <v>0</v>
      </c>
      <c r="G358" s="175">
        <v>0</v>
      </c>
      <c r="H358" s="175">
        <v>0</v>
      </c>
      <c r="I358" s="175">
        <v>0</v>
      </c>
      <c r="J358" s="175">
        <v>0</v>
      </c>
      <c r="K358" s="175">
        <v>0</v>
      </c>
      <c r="L358" s="175">
        <v>0</v>
      </c>
      <c r="M358" s="175">
        <v>0</v>
      </c>
      <c r="N358" s="175">
        <v>0</v>
      </c>
      <c r="O358" s="175">
        <v>0</v>
      </c>
      <c r="P358" s="175">
        <v>0</v>
      </c>
      <c r="Q358" s="171">
        <f t="shared" si="18"/>
        <v>0</v>
      </c>
    </row>
    <row r="359" spans="2:17" x14ac:dyDescent="0.25">
      <c r="B359" s="167" t="s">
        <v>13</v>
      </c>
      <c r="C359" s="538" t="s">
        <v>52</v>
      </c>
      <c r="D359" s="538">
        <v>135</v>
      </c>
      <c r="E359" s="175">
        <v>0</v>
      </c>
      <c r="F359" s="175">
        <v>0</v>
      </c>
      <c r="G359" s="175">
        <v>0</v>
      </c>
      <c r="H359" s="175">
        <v>0</v>
      </c>
      <c r="I359" s="175">
        <v>0</v>
      </c>
      <c r="J359" s="175">
        <v>0</v>
      </c>
      <c r="K359" s="175">
        <v>0</v>
      </c>
      <c r="L359" s="175">
        <v>0</v>
      </c>
      <c r="M359" s="175">
        <v>0</v>
      </c>
      <c r="N359" s="175">
        <v>0</v>
      </c>
      <c r="O359" s="175">
        <v>0</v>
      </c>
      <c r="P359" s="175">
        <v>0</v>
      </c>
      <c r="Q359" s="171">
        <f t="shared" si="18"/>
        <v>0</v>
      </c>
    </row>
    <row r="360" spans="2:17" x14ac:dyDescent="0.25">
      <c r="B360" s="167" t="s">
        <v>53</v>
      </c>
      <c r="C360" s="538" t="s">
        <v>41</v>
      </c>
      <c r="D360" s="538">
        <v>135</v>
      </c>
      <c r="E360" s="175">
        <v>126238.10999999999</v>
      </c>
      <c r="F360" s="175">
        <v>126346.64</v>
      </c>
      <c r="G360" s="175">
        <v>126682.03</v>
      </c>
      <c r="H360" s="175">
        <v>126113.88</v>
      </c>
      <c r="I360" s="175">
        <v>126166.31999999999</v>
      </c>
      <c r="J360" s="175">
        <v>126696.67</v>
      </c>
      <c r="K360" s="175">
        <v>127846.42</v>
      </c>
      <c r="L360" s="175">
        <v>138443.59</v>
      </c>
      <c r="M360" s="175">
        <v>153592.08000000002</v>
      </c>
      <c r="N360" s="175">
        <v>137769.84000000003</v>
      </c>
      <c r="O360" s="175">
        <v>124943.12000000001</v>
      </c>
      <c r="P360" s="175">
        <v>124231.37</v>
      </c>
      <c r="Q360" s="171">
        <f>-SUM(E360:P360)</f>
        <v>-1565070.0700000003</v>
      </c>
    </row>
    <row r="361" spans="2:17" x14ac:dyDescent="0.25">
      <c r="B361" s="167" t="s">
        <v>54</v>
      </c>
      <c r="C361" s="538" t="s">
        <v>43</v>
      </c>
      <c r="D361" s="538">
        <v>135</v>
      </c>
      <c r="E361" s="175">
        <v>126346.64</v>
      </c>
      <c r="F361" s="175">
        <v>126682.03</v>
      </c>
      <c r="G361" s="175">
        <v>126113.88</v>
      </c>
      <c r="H361" s="175">
        <v>126166.31999999999</v>
      </c>
      <c r="I361" s="175">
        <v>126696.67</v>
      </c>
      <c r="J361" s="175">
        <v>127846.42</v>
      </c>
      <c r="K361" s="175">
        <v>138443.59</v>
      </c>
      <c r="L361" s="175">
        <v>153592.08000000002</v>
      </c>
      <c r="M361" s="175">
        <v>137769.84000000003</v>
      </c>
      <c r="N361" s="175">
        <v>124943.12000000001</v>
      </c>
      <c r="O361" s="175">
        <v>124231.37</v>
      </c>
      <c r="P361" s="175">
        <v>126346.56</v>
      </c>
      <c r="Q361" s="171">
        <f t="shared" si="18"/>
        <v>1565178.5200000005</v>
      </c>
    </row>
    <row r="362" spans="2:17" x14ac:dyDescent="0.25">
      <c r="B362" s="167" t="s">
        <v>30</v>
      </c>
      <c r="C362" s="538" t="s">
        <v>44</v>
      </c>
      <c r="D362" s="538">
        <v>135</v>
      </c>
      <c r="E362" s="175">
        <v>126364.46</v>
      </c>
      <c r="F362" s="175">
        <v>126714.92</v>
      </c>
      <c r="G362" s="175">
        <v>126184.78</v>
      </c>
      <c r="H362" s="175">
        <v>126166.31999999999</v>
      </c>
      <c r="I362" s="175">
        <v>126704.19</v>
      </c>
      <c r="J362" s="175">
        <v>127918.97</v>
      </c>
      <c r="K362" s="175">
        <v>138788.59</v>
      </c>
      <c r="L362" s="175">
        <v>155157.74000000002</v>
      </c>
      <c r="M362" s="175">
        <v>140715.14000000001</v>
      </c>
      <c r="N362" s="175">
        <v>126447.42</v>
      </c>
      <c r="O362" s="175">
        <v>124509.56999999999</v>
      </c>
      <c r="P362" s="175">
        <v>126409.94</v>
      </c>
      <c r="Q362" s="171">
        <f t="shared" si="18"/>
        <v>1572082.0399999998</v>
      </c>
    </row>
    <row r="363" spans="2:17" x14ac:dyDescent="0.25">
      <c r="B363" s="542" t="s">
        <v>45</v>
      </c>
      <c r="E363" s="175"/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  <c r="Q363" s="171"/>
    </row>
    <row r="364" spans="2:17" x14ac:dyDescent="0.25">
      <c r="E364" s="175"/>
      <c r="F364" s="175"/>
      <c r="G364" s="175"/>
      <c r="H364" s="175"/>
      <c r="I364" s="175"/>
      <c r="J364" s="175"/>
      <c r="K364" s="175"/>
      <c r="L364" s="175"/>
      <c r="M364" s="175"/>
      <c r="N364" s="175"/>
      <c r="O364" s="175"/>
      <c r="P364" s="175"/>
      <c r="Q364" s="171"/>
    </row>
    <row r="365" spans="2:17" x14ac:dyDescent="0.25">
      <c r="B365" s="540" t="s">
        <v>98</v>
      </c>
      <c r="C365" s="538" t="s">
        <v>34</v>
      </c>
      <c r="D365" s="538">
        <v>92</v>
      </c>
      <c r="E365" s="175"/>
      <c r="F365" s="175"/>
      <c r="G365" s="175"/>
      <c r="H365" s="175"/>
      <c r="I365" s="175"/>
      <c r="J365" s="175"/>
      <c r="K365" s="175"/>
      <c r="L365" s="175"/>
      <c r="M365" s="175"/>
      <c r="N365" s="175"/>
      <c r="O365" s="175"/>
      <c r="P365" s="175"/>
      <c r="Q365" s="171"/>
    </row>
    <row r="366" spans="2:17" x14ac:dyDescent="0.25">
      <c r="B366" s="167" t="s">
        <v>31</v>
      </c>
      <c r="C366" s="538" t="s">
        <v>35</v>
      </c>
      <c r="D366" s="538">
        <v>92</v>
      </c>
      <c r="E366" s="175">
        <v>7824829</v>
      </c>
      <c r="F366" s="175">
        <v>7679533</v>
      </c>
      <c r="G366" s="175">
        <v>7686555</v>
      </c>
      <c r="H366" s="175">
        <v>9312929</v>
      </c>
      <c r="I366" s="175">
        <v>8371884</v>
      </c>
      <c r="J366" s="175">
        <v>5401237</v>
      </c>
      <c r="K366" s="175">
        <v>5673695</v>
      </c>
      <c r="L366" s="175">
        <v>6186256</v>
      </c>
      <c r="M366" s="175">
        <v>6575658</v>
      </c>
      <c r="N366" s="175">
        <v>6543518</v>
      </c>
      <c r="O366" s="175">
        <v>7985929</v>
      </c>
      <c r="P366" s="175">
        <v>7351963</v>
      </c>
      <c r="Q366" s="171">
        <f t="shared" si="18"/>
        <v>86593986</v>
      </c>
    </row>
    <row r="367" spans="2:17" x14ac:dyDescent="0.25">
      <c r="B367" s="167" t="s">
        <v>36</v>
      </c>
      <c r="C367" s="538" t="s">
        <v>37</v>
      </c>
      <c r="D367" s="538">
        <v>92</v>
      </c>
      <c r="E367" s="175">
        <v>0</v>
      </c>
      <c r="F367" s="175">
        <v>0</v>
      </c>
      <c r="G367" s="175">
        <v>0</v>
      </c>
      <c r="H367" s="175">
        <v>0</v>
      </c>
      <c r="I367" s="175">
        <v>0</v>
      </c>
      <c r="J367" s="175">
        <v>0</v>
      </c>
      <c r="K367" s="175">
        <v>0</v>
      </c>
      <c r="L367" s="175">
        <v>0</v>
      </c>
      <c r="M367" s="175">
        <v>0</v>
      </c>
      <c r="N367" s="175">
        <v>0</v>
      </c>
      <c r="O367" s="175">
        <v>0</v>
      </c>
      <c r="P367" s="175">
        <v>0</v>
      </c>
      <c r="Q367" s="171">
        <f t="shared" ref="Q367:Q422" si="19">SUM(E367:P367)</f>
        <v>0</v>
      </c>
    </row>
    <row r="368" spans="2:17" x14ac:dyDescent="0.25">
      <c r="B368" s="167" t="s">
        <v>38</v>
      </c>
      <c r="C368" s="538" t="s">
        <v>39</v>
      </c>
      <c r="D368" s="538">
        <v>92</v>
      </c>
      <c r="E368" s="175">
        <v>0</v>
      </c>
      <c r="F368" s="175">
        <v>0</v>
      </c>
      <c r="G368" s="175">
        <v>0</v>
      </c>
      <c r="H368" s="175">
        <v>0</v>
      </c>
      <c r="I368" s="175">
        <v>0</v>
      </c>
      <c r="J368" s="175">
        <v>0</v>
      </c>
      <c r="K368" s="175">
        <v>0</v>
      </c>
      <c r="L368" s="175">
        <v>0</v>
      </c>
      <c r="M368" s="175">
        <v>0</v>
      </c>
      <c r="N368" s="175">
        <v>0</v>
      </c>
      <c r="O368" s="175">
        <v>0</v>
      </c>
      <c r="P368" s="175">
        <v>0</v>
      </c>
      <c r="Q368" s="171">
        <f t="shared" si="19"/>
        <v>0</v>
      </c>
    </row>
    <row r="369" spans="2:17" x14ac:dyDescent="0.25">
      <c r="B369" s="167" t="s">
        <v>40</v>
      </c>
      <c r="C369" s="538" t="s">
        <v>41</v>
      </c>
      <c r="D369" s="538">
        <v>92</v>
      </c>
      <c r="E369" s="175">
        <v>7824829</v>
      </c>
      <c r="F369" s="175">
        <v>7679533</v>
      </c>
      <c r="G369" s="175">
        <v>7686555</v>
      </c>
      <c r="H369" s="175">
        <v>9312929</v>
      </c>
      <c r="I369" s="175">
        <v>8371884</v>
      </c>
      <c r="J369" s="175">
        <v>5401237</v>
      </c>
      <c r="K369" s="175">
        <v>5673695</v>
      </c>
      <c r="L369" s="175">
        <v>6186256</v>
      </c>
      <c r="M369" s="175">
        <v>6575658</v>
      </c>
      <c r="N369" s="175">
        <v>6543518</v>
      </c>
      <c r="O369" s="175">
        <v>7985929</v>
      </c>
      <c r="P369" s="175">
        <v>7351963</v>
      </c>
      <c r="Q369" s="171">
        <f t="shared" si="19"/>
        <v>86593986</v>
      </c>
    </row>
    <row r="370" spans="2:17" x14ac:dyDescent="0.25">
      <c r="B370" s="167" t="s">
        <v>42</v>
      </c>
      <c r="C370" s="538" t="s">
        <v>43</v>
      </c>
      <c r="D370" s="538">
        <v>92</v>
      </c>
      <c r="E370" s="175">
        <v>7679533</v>
      </c>
      <c r="F370" s="175">
        <v>7686555</v>
      </c>
      <c r="G370" s="175">
        <v>9312929</v>
      </c>
      <c r="H370" s="175">
        <v>8371884</v>
      </c>
      <c r="I370" s="175">
        <v>5401237</v>
      </c>
      <c r="J370" s="175">
        <v>5673695</v>
      </c>
      <c r="K370" s="175">
        <v>6186256</v>
      </c>
      <c r="L370" s="175">
        <v>6575658</v>
      </c>
      <c r="M370" s="175">
        <v>6543518</v>
      </c>
      <c r="N370" s="175">
        <v>7985929</v>
      </c>
      <c r="O370" s="175">
        <v>7351963</v>
      </c>
      <c r="P370" s="175">
        <v>7386486</v>
      </c>
      <c r="Q370" s="171">
        <f t="shared" si="19"/>
        <v>86155643</v>
      </c>
    </row>
    <row r="371" spans="2:17" x14ac:dyDescent="0.25">
      <c r="B371" s="167" t="s">
        <v>33</v>
      </c>
      <c r="C371" s="538" t="s">
        <v>44</v>
      </c>
      <c r="D371" s="538">
        <v>92</v>
      </c>
      <c r="E371" s="175">
        <v>7679533</v>
      </c>
      <c r="F371" s="175">
        <v>7686555</v>
      </c>
      <c r="G371" s="175">
        <v>9312929</v>
      </c>
      <c r="H371" s="175">
        <v>8371884</v>
      </c>
      <c r="I371" s="175">
        <v>5401237</v>
      </c>
      <c r="J371" s="175">
        <v>5673695</v>
      </c>
      <c r="K371" s="175">
        <v>6186256</v>
      </c>
      <c r="L371" s="175">
        <v>6575658</v>
      </c>
      <c r="M371" s="175">
        <v>6543518</v>
      </c>
      <c r="N371" s="175">
        <v>7985929</v>
      </c>
      <c r="O371" s="175">
        <v>7351963</v>
      </c>
      <c r="P371" s="175">
        <v>7386486</v>
      </c>
      <c r="Q371" s="171">
        <f t="shared" si="19"/>
        <v>86155643</v>
      </c>
    </row>
    <row r="372" spans="2:17" x14ac:dyDescent="0.25">
      <c r="B372" s="542" t="s">
        <v>45</v>
      </c>
      <c r="E372" s="175"/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1">
        <f t="shared" si="19"/>
        <v>0</v>
      </c>
    </row>
    <row r="373" spans="2:17" x14ac:dyDescent="0.25">
      <c r="B373" s="167" t="s">
        <v>46</v>
      </c>
      <c r="C373" s="538" t="s">
        <v>35</v>
      </c>
      <c r="D373" s="538">
        <v>136</v>
      </c>
      <c r="E373" s="175">
        <v>147952.37</v>
      </c>
      <c r="F373" s="175">
        <v>145614.13</v>
      </c>
      <c r="G373" s="175">
        <v>145727.13</v>
      </c>
      <c r="H373" s="175">
        <v>171900.25</v>
      </c>
      <c r="I373" s="175">
        <v>156756.07999999999</v>
      </c>
      <c r="J373" s="175">
        <v>108949.69</v>
      </c>
      <c r="K373" s="175">
        <v>113334.34</v>
      </c>
      <c r="L373" s="175">
        <v>121582.94</v>
      </c>
      <c r="M373" s="175">
        <v>129094.04</v>
      </c>
      <c r="N373" s="175">
        <v>128571.78</v>
      </c>
      <c r="O373" s="175">
        <v>152010.48000000001</v>
      </c>
      <c r="P373" s="175">
        <v>141708.75</v>
      </c>
      <c r="Q373" s="171">
        <f t="shared" si="19"/>
        <v>1663201.98</v>
      </c>
    </row>
    <row r="374" spans="2:17" x14ac:dyDescent="0.25">
      <c r="B374" s="167" t="s">
        <v>47</v>
      </c>
      <c r="C374" s="538" t="s">
        <v>37</v>
      </c>
      <c r="D374" s="538">
        <v>136</v>
      </c>
      <c r="E374" s="175">
        <v>0</v>
      </c>
      <c r="F374" s="175">
        <v>0</v>
      </c>
      <c r="G374" s="175">
        <v>0</v>
      </c>
      <c r="H374" s="175">
        <v>0</v>
      </c>
      <c r="I374" s="175">
        <v>0</v>
      </c>
      <c r="J374" s="175">
        <v>0</v>
      </c>
      <c r="K374" s="175">
        <v>0</v>
      </c>
      <c r="L374" s="175">
        <v>0</v>
      </c>
      <c r="M374" s="175">
        <v>0</v>
      </c>
      <c r="N374" s="175">
        <v>0</v>
      </c>
      <c r="O374" s="175">
        <v>0</v>
      </c>
      <c r="P374" s="175">
        <v>0</v>
      </c>
      <c r="Q374" s="171">
        <f t="shared" si="19"/>
        <v>0</v>
      </c>
    </row>
    <row r="375" spans="2:17" x14ac:dyDescent="0.25">
      <c r="B375" s="167" t="s">
        <v>48</v>
      </c>
      <c r="C375" s="538" t="s">
        <v>39</v>
      </c>
      <c r="D375" s="538">
        <v>136</v>
      </c>
      <c r="E375" s="175">
        <v>0</v>
      </c>
      <c r="F375" s="175">
        <v>0</v>
      </c>
      <c r="G375" s="175">
        <v>0</v>
      </c>
      <c r="H375" s="175">
        <v>0</v>
      </c>
      <c r="I375" s="175">
        <v>0</v>
      </c>
      <c r="J375" s="175">
        <v>0</v>
      </c>
      <c r="K375" s="175">
        <v>0</v>
      </c>
      <c r="L375" s="175">
        <v>0</v>
      </c>
      <c r="M375" s="175">
        <v>0</v>
      </c>
      <c r="N375" s="175">
        <v>0</v>
      </c>
      <c r="O375" s="175">
        <v>0</v>
      </c>
      <c r="P375" s="175">
        <v>0</v>
      </c>
      <c r="Q375" s="171">
        <f t="shared" si="19"/>
        <v>0</v>
      </c>
    </row>
    <row r="376" spans="2:17" x14ac:dyDescent="0.25">
      <c r="B376" s="167" t="s">
        <v>49</v>
      </c>
      <c r="C376" s="538" t="s">
        <v>50</v>
      </c>
      <c r="D376" s="538">
        <v>136</v>
      </c>
      <c r="E376" s="175">
        <v>0</v>
      </c>
      <c r="F376" s="175">
        <v>0</v>
      </c>
      <c r="G376" s="175">
        <v>0</v>
      </c>
      <c r="H376" s="175">
        <v>0</v>
      </c>
      <c r="I376" s="175">
        <v>0</v>
      </c>
      <c r="J376" s="175">
        <v>0</v>
      </c>
      <c r="K376" s="175">
        <v>0</v>
      </c>
      <c r="L376" s="175">
        <v>0</v>
      </c>
      <c r="M376" s="175">
        <v>0</v>
      </c>
      <c r="N376" s="175">
        <v>0</v>
      </c>
      <c r="O376" s="175">
        <v>0</v>
      </c>
      <c r="P376" s="175">
        <v>0</v>
      </c>
      <c r="Q376" s="171">
        <f t="shared" si="19"/>
        <v>0</v>
      </c>
    </row>
    <row r="377" spans="2:17" x14ac:dyDescent="0.25">
      <c r="B377" s="167" t="s">
        <v>191</v>
      </c>
      <c r="C377" s="538" t="s">
        <v>51</v>
      </c>
      <c r="D377" s="538">
        <v>136</v>
      </c>
      <c r="E377" s="175">
        <v>0</v>
      </c>
      <c r="F377" s="175">
        <v>0</v>
      </c>
      <c r="G377" s="175">
        <v>0</v>
      </c>
      <c r="H377" s="175">
        <v>0</v>
      </c>
      <c r="I377" s="175">
        <v>0</v>
      </c>
      <c r="J377" s="175">
        <v>0</v>
      </c>
      <c r="K377" s="175">
        <v>0</v>
      </c>
      <c r="L377" s="175">
        <v>0</v>
      </c>
      <c r="M377" s="175">
        <v>0</v>
      </c>
      <c r="N377" s="175">
        <v>0</v>
      </c>
      <c r="O377" s="175">
        <v>0</v>
      </c>
      <c r="P377" s="175">
        <v>0</v>
      </c>
      <c r="Q377" s="171">
        <f t="shared" si="19"/>
        <v>0</v>
      </c>
    </row>
    <row r="378" spans="2:17" x14ac:dyDescent="0.25">
      <c r="B378" s="167" t="s">
        <v>78</v>
      </c>
      <c r="C378" s="538" t="s">
        <v>77</v>
      </c>
      <c r="D378" s="538">
        <v>136</v>
      </c>
      <c r="E378" s="175">
        <v>0</v>
      </c>
      <c r="F378" s="175">
        <v>0</v>
      </c>
      <c r="G378" s="175">
        <v>0</v>
      </c>
      <c r="H378" s="175">
        <v>0</v>
      </c>
      <c r="I378" s="175">
        <v>0</v>
      </c>
      <c r="J378" s="175">
        <v>0</v>
      </c>
      <c r="K378" s="175">
        <v>0</v>
      </c>
      <c r="L378" s="175">
        <v>0</v>
      </c>
      <c r="M378" s="175">
        <v>0</v>
      </c>
      <c r="N378" s="175">
        <v>0</v>
      </c>
      <c r="O378" s="175">
        <v>0</v>
      </c>
      <c r="P378" s="175">
        <v>0</v>
      </c>
      <c r="Q378" s="171">
        <f t="shared" si="19"/>
        <v>0</v>
      </c>
    </row>
    <row r="379" spans="2:17" x14ac:dyDescent="0.25">
      <c r="B379" s="167" t="s">
        <v>13</v>
      </c>
      <c r="C379" s="538" t="s">
        <v>52</v>
      </c>
      <c r="D379" s="538">
        <v>136</v>
      </c>
      <c r="E379" s="175">
        <v>0</v>
      </c>
      <c r="F379" s="175">
        <v>0</v>
      </c>
      <c r="G379" s="175">
        <v>0</v>
      </c>
      <c r="H379" s="175">
        <v>0</v>
      </c>
      <c r="I379" s="175">
        <v>0</v>
      </c>
      <c r="J379" s="175">
        <v>0</v>
      </c>
      <c r="K379" s="175">
        <v>0</v>
      </c>
      <c r="L379" s="175">
        <v>0</v>
      </c>
      <c r="M379" s="175">
        <v>0</v>
      </c>
      <c r="N379" s="175">
        <v>0</v>
      </c>
      <c r="O379" s="175">
        <v>0</v>
      </c>
      <c r="P379" s="175">
        <v>0</v>
      </c>
      <c r="Q379" s="171">
        <f t="shared" si="19"/>
        <v>0</v>
      </c>
    </row>
    <row r="380" spans="2:17" x14ac:dyDescent="0.25">
      <c r="B380" s="167" t="s">
        <v>53</v>
      </c>
      <c r="C380" s="538" t="s">
        <v>41</v>
      </c>
      <c r="D380" s="538">
        <v>136</v>
      </c>
      <c r="E380" s="175">
        <v>147952.37</v>
      </c>
      <c r="F380" s="175">
        <v>145614.13</v>
      </c>
      <c r="G380" s="175">
        <v>145727.13</v>
      </c>
      <c r="H380" s="175">
        <v>171900.25</v>
      </c>
      <c r="I380" s="175">
        <v>156756.07999999999</v>
      </c>
      <c r="J380" s="175">
        <v>108949.69</v>
      </c>
      <c r="K380" s="175">
        <v>113334.34</v>
      </c>
      <c r="L380" s="175">
        <v>121582.94</v>
      </c>
      <c r="M380" s="175">
        <v>129094.04</v>
      </c>
      <c r="N380" s="175">
        <v>128571.78</v>
      </c>
      <c r="O380" s="175">
        <v>152010.48000000001</v>
      </c>
      <c r="P380" s="175">
        <v>141708.75</v>
      </c>
      <c r="Q380" s="171">
        <f>-SUM(E380:P380)</f>
        <v>-1663201.98</v>
      </c>
    </row>
    <row r="381" spans="2:17" x14ac:dyDescent="0.25">
      <c r="B381" s="167" t="s">
        <v>54</v>
      </c>
      <c r="C381" s="538" t="s">
        <v>43</v>
      </c>
      <c r="D381" s="538">
        <v>136</v>
      </c>
      <c r="E381" s="175">
        <v>145614.13</v>
      </c>
      <c r="F381" s="175">
        <v>145727.13</v>
      </c>
      <c r="G381" s="175">
        <v>171900.25</v>
      </c>
      <c r="H381" s="175">
        <v>156756.07999999999</v>
      </c>
      <c r="I381" s="175">
        <v>108949.69</v>
      </c>
      <c r="J381" s="175">
        <v>113334.34</v>
      </c>
      <c r="K381" s="175">
        <v>121582.94</v>
      </c>
      <c r="L381" s="175">
        <v>129094.04</v>
      </c>
      <c r="M381" s="175">
        <v>128571.78</v>
      </c>
      <c r="N381" s="175">
        <v>152010.48000000001</v>
      </c>
      <c r="O381" s="175">
        <v>141708.75</v>
      </c>
      <c r="P381" s="175">
        <v>142269.73000000001</v>
      </c>
      <c r="Q381" s="171">
        <f t="shared" si="19"/>
        <v>1657519.34</v>
      </c>
    </row>
    <row r="382" spans="2:17" x14ac:dyDescent="0.25">
      <c r="B382" s="167" t="s">
        <v>30</v>
      </c>
      <c r="C382" s="538" t="s">
        <v>44</v>
      </c>
      <c r="D382" s="538">
        <v>136</v>
      </c>
      <c r="E382" s="175">
        <v>145614.13</v>
      </c>
      <c r="F382" s="175">
        <v>145727.13</v>
      </c>
      <c r="G382" s="175">
        <v>171900.25</v>
      </c>
      <c r="H382" s="175">
        <v>156756.07999999999</v>
      </c>
      <c r="I382" s="175">
        <v>108949.69</v>
      </c>
      <c r="J382" s="175">
        <v>113334.34</v>
      </c>
      <c r="K382" s="175">
        <v>121582.94</v>
      </c>
      <c r="L382" s="175">
        <v>129094.04</v>
      </c>
      <c r="M382" s="175">
        <v>128571.78</v>
      </c>
      <c r="N382" s="175">
        <v>152010.48000000001</v>
      </c>
      <c r="O382" s="175">
        <v>141708.75</v>
      </c>
      <c r="P382" s="175">
        <v>142269.73000000001</v>
      </c>
      <c r="Q382" s="171">
        <f t="shared" si="19"/>
        <v>1657519.34</v>
      </c>
    </row>
    <row r="383" spans="2:17" x14ac:dyDescent="0.25">
      <c r="B383" s="542" t="s">
        <v>45</v>
      </c>
      <c r="E383" s="175"/>
      <c r="F383" s="175"/>
      <c r="G383" s="175"/>
      <c r="H383" s="175"/>
      <c r="I383" s="175"/>
      <c r="J383" s="175"/>
      <c r="K383" s="175"/>
      <c r="L383" s="175"/>
      <c r="M383" s="175"/>
      <c r="N383" s="175"/>
      <c r="O383" s="175"/>
      <c r="P383" s="175"/>
      <c r="Q383" s="171"/>
    </row>
    <row r="384" spans="2:17" x14ac:dyDescent="0.25">
      <c r="E384" s="175"/>
      <c r="F384" s="175"/>
      <c r="G384" s="175"/>
      <c r="H384" s="175"/>
      <c r="I384" s="175"/>
      <c r="J384" s="175"/>
      <c r="K384" s="175"/>
      <c r="L384" s="175"/>
      <c r="M384" s="175"/>
      <c r="N384" s="175"/>
      <c r="O384" s="175"/>
      <c r="P384" s="175"/>
      <c r="Q384" s="171"/>
    </row>
    <row r="385" spans="2:17" x14ac:dyDescent="0.25">
      <c r="B385" s="540" t="s">
        <v>97</v>
      </c>
      <c r="C385" s="538" t="s">
        <v>34</v>
      </c>
      <c r="D385" s="538">
        <v>93</v>
      </c>
      <c r="E385" s="175"/>
      <c r="F385" s="175"/>
      <c r="G385" s="175"/>
      <c r="H385" s="175"/>
      <c r="I385" s="175"/>
      <c r="J385" s="175"/>
      <c r="K385" s="175"/>
      <c r="L385" s="175"/>
      <c r="M385" s="175"/>
      <c r="N385" s="175"/>
      <c r="O385" s="175"/>
      <c r="P385" s="175"/>
      <c r="Q385" s="171"/>
    </row>
    <row r="386" spans="2:17" x14ac:dyDescent="0.25">
      <c r="B386" s="167" t="s">
        <v>31</v>
      </c>
      <c r="C386" s="538" t="s">
        <v>35</v>
      </c>
      <c r="D386" s="538">
        <v>93</v>
      </c>
      <c r="E386" s="175">
        <v>357236</v>
      </c>
      <c r="F386" s="175">
        <v>0</v>
      </c>
      <c r="G386" s="175">
        <v>2483404</v>
      </c>
      <c r="H386" s="175">
        <v>334503</v>
      </c>
      <c r="I386" s="175">
        <v>0</v>
      </c>
      <c r="J386" s="175">
        <v>509919</v>
      </c>
      <c r="K386" s="175">
        <v>0</v>
      </c>
      <c r="L386" s="175">
        <v>8340220</v>
      </c>
      <c r="M386" s="175">
        <v>9118215</v>
      </c>
      <c r="N386" s="175">
        <v>6204407</v>
      </c>
      <c r="O386" s="175">
        <v>1743835</v>
      </c>
      <c r="P386" s="175">
        <v>188376</v>
      </c>
      <c r="Q386" s="171">
        <f>SUM(E386:P386)</f>
        <v>29280115</v>
      </c>
    </row>
    <row r="387" spans="2:17" x14ac:dyDescent="0.25">
      <c r="B387" s="167" t="s">
        <v>36</v>
      </c>
      <c r="C387" s="538" t="s">
        <v>37</v>
      </c>
      <c r="D387" s="538">
        <v>93</v>
      </c>
      <c r="E387" s="175">
        <v>0</v>
      </c>
      <c r="F387" s="175">
        <v>0</v>
      </c>
      <c r="G387" s="175">
        <v>0</v>
      </c>
      <c r="H387" s="175">
        <v>0</v>
      </c>
      <c r="I387" s="175">
        <v>0</v>
      </c>
      <c r="J387" s="175">
        <v>0</v>
      </c>
      <c r="K387" s="175">
        <v>0</v>
      </c>
      <c r="L387" s="175">
        <v>0</v>
      </c>
      <c r="M387" s="175">
        <v>0</v>
      </c>
      <c r="N387" s="175">
        <v>0</v>
      </c>
      <c r="O387" s="175">
        <v>0</v>
      </c>
      <c r="P387" s="175">
        <v>0</v>
      </c>
      <c r="Q387" s="171">
        <f t="shared" si="19"/>
        <v>0</v>
      </c>
    </row>
    <row r="388" spans="2:17" x14ac:dyDescent="0.25">
      <c r="B388" s="167" t="s">
        <v>38</v>
      </c>
      <c r="C388" s="538" t="s">
        <v>39</v>
      </c>
      <c r="D388" s="538">
        <v>93</v>
      </c>
      <c r="E388" s="175">
        <v>0</v>
      </c>
      <c r="F388" s="175">
        <v>0</v>
      </c>
      <c r="G388" s="175">
        <v>0</v>
      </c>
      <c r="H388" s="175">
        <v>0</v>
      </c>
      <c r="I388" s="175">
        <v>0</v>
      </c>
      <c r="J388" s="175">
        <v>0</v>
      </c>
      <c r="K388" s="175">
        <v>0</v>
      </c>
      <c r="L388" s="175">
        <v>0</v>
      </c>
      <c r="M388" s="175">
        <v>0</v>
      </c>
      <c r="N388" s="175">
        <v>0</v>
      </c>
      <c r="O388" s="175">
        <v>0</v>
      </c>
      <c r="P388" s="175">
        <v>0</v>
      </c>
      <c r="Q388" s="171">
        <f t="shared" si="19"/>
        <v>0</v>
      </c>
    </row>
    <row r="389" spans="2:17" x14ac:dyDescent="0.25">
      <c r="B389" s="167" t="s">
        <v>40</v>
      </c>
      <c r="C389" s="538" t="s">
        <v>41</v>
      </c>
      <c r="D389" s="538">
        <v>93</v>
      </c>
      <c r="E389" s="175">
        <v>357236</v>
      </c>
      <c r="F389" s="175">
        <v>0</v>
      </c>
      <c r="G389" s="175">
        <v>2483404</v>
      </c>
      <c r="H389" s="175">
        <v>334503</v>
      </c>
      <c r="I389" s="175">
        <v>0</v>
      </c>
      <c r="J389" s="175">
        <v>509919</v>
      </c>
      <c r="K389" s="175">
        <v>0</v>
      </c>
      <c r="L389" s="175">
        <v>8340220</v>
      </c>
      <c r="M389" s="175">
        <v>9118215</v>
      </c>
      <c r="N389" s="175">
        <v>6204407</v>
      </c>
      <c r="O389" s="175">
        <v>1743835</v>
      </c>
      <c r="P389" s="175">
        <v>188376</v>
      </c>
      <c r="Q389" s="171">
        <f t="shared" si="19"/>
        <v>29280115</v>
      </c>
    </row>
    <row r="390" spans="2:17" x14ac:dyDescent="0.25">
      <c r="B390" s="167" t="s">
        <v>42</v>
      </c>
      <c r="C390" s="538" t="s">
        <v>43</v>
      </c>
      <c r="D390" s="538">
        <v>93</v>
      </c>
      <c r="E390" s="175">
        <v>0</v>
      </c>
      <c r="F390" s="175">
        <v>2483404</v>
      </c>
      <c r="G390" s="175">
        <v>334503</v>
      </c>
      <c r="H390" s="175">
        <v>0</v>
      </c>
      <c r="I390" s="175">
        <v>509919</v>
      </c>
      <c r="J390" s="175">
        <v>0</v>
      </c>
      <c r="K390" s="175">
        <v>8340220</v>
      </c>
      <c r="L390" s="175">
        <v>9118215</v>
      </c>
      <c r="M390" s="175">
        <v>6204407</v>
      </c>
      <c r="N390" s="175">
        <v>1743835</v>
      </c>
      <c r="O390" s="175">
        <v>188376</v>
      </c>
      <c r="P390" s="175">
        <v>6845573</v>
      </c>
      <c r="Q390" s="171">
        <f t="shared" si="19"/>
        <v>35768452</v>
      </c>
    </row>
    <row r="391" spans="2:17" x14ac:dyDescent="0.25">
      <c r="B391" s="167" t="s">
        <v>33</v>
      </c>
      <c r="C391" s="538" t="s">
        <v>44</v>
      </c>
      <c r="D391" s="538">
        <v>93</v>
      </c>
      <c r="E391" s="175">
        <v>0</v>
      </c>
      <c r="F391" s="175">
        <v>2483404</v>
      </c>
      <c r="G391" s="175">
        <v>334503</v>
      </c>
      <c r="H391" s="175">
        <v>0</v>
      </c>
      <c r="I391" s="175">
        <v>509919</v>
      </c>
      <c r="J391" s="175">
        <v>0</v>
      </c>
      <c r="K391" s="175">
        <v>8340220</v>
      </c>
      <c r="L391" s="175">
        <v>9118215</v>
      </c>
      <c r="M391" s="175">
        <v>6204407</v>
      </c>
      <c r="N391" s="175">
        <v>1743835</v>
      </c>
      <c r="O391" s="175">
        <v>188376</v>
      </c>
      <c r="P391" s="175">
        <v>6845573</v>
      </c>
      <c r="Q391" s="171">
        <f t="shared" si="19"/>
        <v>35768452</v>
      </c>
    </row>
    <row r="392" spans="2:17" x14ac:dyDescent="0.25">
      <c r="B392" s="542" t="s">
        <v>45</v>
      </c>
      <c r="E392" s="175"/>
      <c r="F392" s="175"/>
      <c r="G392" s="175"/>
      <c r="H392" s="175"/>
      <c r="I392" s="175"/>
      <c r="J392" s="175"/>
      <c r="K392" s="175"/>
      <c r="L392" s="175"/>
      <c r="M392" s="175"/>
      <c r="N392" s="175"/>
      <c r="O392" s="175"/>
      <c r="P392" s="175"/>
      <c r="Q392" s="171">
        <f t="shared" si="19"/>
        <v>0</v>
      </c>
    </row>
    <row r="393" spans="2:17" x14ac:dyDescent="0.25">
      <c r="B393" s="167" t="s">
        <v>46</v>
      </c>
      <c r="C393" s="538" t="s">
        <v>35</v>
      </c>
      <c r="D393" s="538">
        <v>137</v>
      </c>
      <c r="E393" s="175">
        <v>22779.02</v>
      </c>
      <c r="F393" s="175">
        <v>16849.189999999999</v>
      </c>
      <c r="G393" s="175">
        <v>58071.7</v>
      </c>
      <c r="H393" s="175">
        <v>22401.67</v>
      </c>
      <c r="I393" s="175">
        <v>16849.189999999999</v>
      </c>
      <c r="J393" s="175">
        <v>25313.43</v>
      </c>
      <c r="K393" s="175">
        <v>16849.189999999999</v>
      </c>
      <c r="L393" s="175">
        <v>156723.25</v>
      </c>
      <c r="M393" s="175">
        <v>169756.71</v>
      </c>
      <c r="N393" s="175">
        <v>120942.78</v>
      </c>
      <c r="O393" s="175">
        <v>46216.49</v>
      </c>
      <c r="P393" s="175">
        <v>20158.47</v>
      </c>
      <c r="Q393" s="171">
        <f t="shared" si="19"/>
        <v>692911.09</v>
      </c>
    </row>
    <row r="394" spans="2:17" x14ac:dyDescent="0.25">
      <c r="B394" s="167" t="s">
        <v>47</v>
      </c>
      <c r="C394" s="538" t="s">
        <v>37</v>
      </c>
      <c r="D394" s="538">
        <v>137</v>
      </c>
      <c r="E394" s="175">
        <v>0</v>
      </c>
      <c r="F394" s="175">
        <v>0</v>
      </c>
      <c r="G394" s="175">
        <v>0</v>
      </c>
      <c r="H394" s="175">
        <v>0</v>
      </c>
      <c r="I394" s="175">
        <v>0</v>
      </c>
      <c r="J394" s="175">
        <v>0</v>
      </c>
      <c r="K394" s="175">
        <v>0</v>
      </c>
      <c r="L394" s="175">
        <v>0</v>
      </c>
      <c r="M394" s="175">
        <v>0</v>
      </c>
      <c r="N394" s="175">
        <v>0</v>
      </c>
      <c r="O394" s="175">
        <v>0</v>
      </c>
      <c r="P394" s="175">
        <v>0</v>
      </c>
      <c r="Q394" s="171">
        <f t="shared" si="19"/>
        <v>0</v>
      </c>
    </row>
    <row r="395" spans="2:17" x14ac:dyDescent="0.25">
      <c r="B395" s="167" t="s">
        <v>48</v>
      </c>
      <c r="C395" s="538" t="s">
        <v>39</v>
      </c>
      <c r="D395" s="538">
        <v>137</v>
      </c>
      <c r="E395" s="175">
        <v>0</v>
      </c>
      <c r="F395" s="175">
        <v>0</v>
      </c>
      <c r="G395" s="175">
        <v>0</v>
      </c>
      <c r="H395" s="175">
        <v>0</v>
      </c>
      <c r="I395" s="175">
        <v>0</v>
      </c>
      <c r="J395" s="175">
        <v>0</v>
      </c>
      <c r="K395" s="175">
        <v>0</v>
      </c>
      <c r="L395" s="175">
        <v>0</v>
      </c>
      <c r="M395" s="175">
        <v>0</v>
      </c>
      <c r="N395" s="175">
        <v>0</v>
      </c>
      <c r="O395" s="175">
        <v>0</v>
      </c>
      <c r="P395" s="175">
        <v>0</v>
      </c>
      <c r="Q395" s="171">
        <f t="shared" si="19"/>
        <v>0</v>
      </c>
    </row>
    <row r="396" spans="2:17" x14ac:dyDescent="0.25">
      <c r="B396" s="167" t="s">
        <v>49</v>
      </c>
      <c r="C396" s="538" t="s">
        <v>50</v>
      </c>
      <c r="D396" s="538">
        <v>137</v>
      </c>
      <c r="E396" s="175">
        <v>0</v>
      </c>
      <c r="F396" s="175">
        <v>0</v>
      </c>
      <c r="G396" s="175">
        <v>0</v>
      </c>
      <c r="H396" s="175">
        <v>0</v>
      </c>
      <c r="I396" s="175">
        <v>0</v>
      </c>
      <c r="J396" s="175">
        <v>0</v>
      </c>
      <c r="K396" s="175">
        <v>0</v>
      </c>
      <c r="L396" s="175">
        <v>0</v>
      </c>
      <c r="M396" s="175">
        <v>0</v>
      </c>
      <c r="N396" s="175">
        <v>0</v>
      </c>
      <c r="O396" s="175">
        <v>0</v>
      </c>
      <c r="P396" s="175">
        <v>0</v>
      </c>
      <c r="Q396" s="171">
        <f t="shared" si="19"/>
        <v>0</v>
      </c>
    </row>
    <row r="397" spans="2:17" x14ac:dyDescent="0.25">
      <c r="B397" s="167" t="s">
        <v>191</v>
      </c>
      <c r="C397" s="538" t="s">
        <v>51</v>
      </c>
      <c r="D397" s="538">
        <v>137</v>
      </c>
      <c r="E397" s="175">
        <v>0</v>
      </c>
      <c r="F397" s="175">
        <v>0</v>
      </c>
      <c r="G397" s="175">
        <v>0</v>
      </c>
      <c r="H397" s="175">
        <v>0</v>
      </c>
      <c r="I397" s="175">
        <v>0</v>
      </c>
      <c r="J397" s="175">
        <v>0</v>
      </c>
      <c r="K397" s="175">
        <v>0</v>
      </c>
      <c r="L397" s="175">
        <v>0</v>
      </c>
      <c r="M397" s="175">
        <v>0</v>
      </c>
      <c r="N397" s="175">
        <v>0</v>
      </c>
      <c r="O397" s="175">
        <v>0</v>
      </c>
      <c r="P397" s="175">
        <v>0</v>
      </c>
      <c r="Q397" s="171">
        <f t="shared" si="19"/>
        <v>0</v>
      </c>
    </row>
    <row r="398" spans="2:17" x14ac:dyDescent="0.25">
      <c r="B398" s="167" t="s">
        <v>78</v>
      </c>
      <c r="C398" s="538" t="s">
        <v>77</v>
      </c>
      <c r="D398" s="538">
        <v>137</v>
      </c>
      <c r="E398" s="175">
        <v>0</v>
      </c>
      <c r="F398" s="175">
        <v>0</v>
      </c>
      <c r="G398" s="175">
        <v>0</v>
      </c>
      <c r="H398" s="175">
        <v>0</v>
      </c>
      <c r="I398" s="175">
        <v>0</v>
      </c>
      <c r="J398" s="175">
        <v>0</v>
      </c>
      <c r="K398" s="175">
        <v>0</v>
      </c>
      <c r="L398" s="175">
        <v>0</v>
      </c>
      <c r="M398" s="175">
        <v>0</v>
      </c>
      <c r="N398" s="175">
        <v>0</v>
      </c>
      <c r="O398" s="175">
        <v>0</v>
      </c>
      <c r="P398" s="175">
        <v>0</v>
      </c>
      <c r="Q398" s="171">
        <f t="shared" si="19"/>
        <v>0</v>
      </c>
    </row>
    <row r="399" spans="2:17" x14ac:dyDescent="0.25">
      <c r="B399" s="167" t="s">
        <v>13</v>
      </c>
      <c r="C399" s="538" t="s">
        <v>52</v>
      </c>
      <c r="D399" s="538">
        <v>137</v>
      </c>
      <c r="E399" s="175">
        <v>0</v>
      </c>
      <c r="F399" s="175">
        <v>0</v>
      </c>
      <c r="G399" s="175">
        <v>0</v>
      </c>
      <c r="H399" s="175">
        <v>0</v>
      </c>
      <c r="I399" s="175">
        <v>0</v>
      </c>
      <c r="J399" s="175">
        <v>0</v>
      </c>
      <c r="K399" s="175">
        <v>0</v>
      </c>
      <c r="L399" s="175">
        <v>0</v>
      </c>
      <c r="M399" s="175">
        <v>0</v>
      </c>
      <c r="N399" s="175">
        <v>0</v>
      </c>
      <c r="O399" s="175">
        <v>0</v>
      </c>
      <c r="P399" s="175">
        <v>14585.45</v>
      </c>
      <c r="Q399" s="171">
        <f t="shared" si="19"/>
        <v>14585.45</v>
      </c>
    </row>
    <row r="400" spans="2:17" x14ac:dyDescent="0.25">
      <c r="B400" s="167" t="s">
        <v>53</v>
      </c>
      <c r="C400" s="538" t="s">
        <v>41</v>
      </c>
      <c r="D400" s="538">
        <v>137</v>
      </c>
      <c r="E400" s="175">
        <v>-22779.02</v>
      </c>
      <c r="F400" s="175">
        <v>-16849.189999999999</v>
      </c>
      <c r="G400" s="175">
        <v>-58071.7</v>
      </c>
      <c r="H400" s="175">
        <v>-22401.67</v>
      </c>
      <c r="I400" s="175">
        <v>-16849.189999999999</v>
      </c>
      <c r="J400" s="175">
        <v>-25313.43</v>
      </c>
      <c r="K400" s="175">
        <v>-16849.189999999999</v>
      </c>
      <c r="L400" s="175">
        <v>-156723.25</v>
      </c>
      <c r="M400" s="175">
        <v>-169756.71</v>
      </c>
      <c r="N400" s="175">
        <v>-120942.78</v>
      </c>
      <c r="O400" s="175">
        <v>-46216.49</v>
      </c>
      <c r="P400" s="175">
        <v>-20158.47</v>
      </c>
      <c r="Q400" s="171">
        <f>SUM(E400:P400)</f>
        <v>-692911.09</v>
      </c>
    </row>
    <row r="401" spans="2:17" x14ac:dyDescent="0.25">
      <c r="B401" s="167" t="s">
        <v>54</v>
      </c>
      <c r="C401" s="538" t="s">
        <v>43</v>
      </c>
      <c r="D401" s="538">
        <v>137</v>
      </c>
      <c r="E401" s="175">
        <v>16849.189999999999</v>
      </c>
      <c r="F401" s="175">
        <v>58071.7</v>
      </c>
      <c r="G401" s="175">
        <v>22401.67</v>
      </c>
      <c r="H401" s="175">
        <v>16849.189999999999</v>
      </c>
      <c r="I401" s="175">
        <v>25313.43</v>
      </c>
      <c r="J401" s="175">
        <v>16849.189999999999</v>
      </c>
      <c r="K401" s="175">
        <v>156723.25</v>
      </c>
      <c r="L401" s="175">
        <v>169756.71</v>
      </c>
      <c r="M401" s="175">
        <v>120942.78</v>
      </c>
      <c r="N401" s="175">
        <v>46216.49</v>
      </c>
      <c r="O401" s="175">
        <v>20158.47</v>
      </c>
      <c r="P401" s="175">
        <v>131683.99</v>
      </c>
      <c r="Q401" s="171">
        <f t="shared" si="19"/>
        <v>801816.05999999994</v>
      </c>
    </row>
    <row r="402" spans="2:17" x14ac:dyDescent="0.25">
      <c r="B402" s="167" t="s">
        <v>30</v>
      </c>
      <c r="C402" s="538" t="s">
        <v>44</v>
      </c>
      <c r="D402" s="538">
        <v>137</v>
      </c>
      <c r="E402" s="175">
        <f>SUM(E393:E401)</f>
        <v>16849.189999999999</v>
      </c>
      <c r="F402" s="175">
        <f t="shared" ref="F402:P402" si="20">SUM(F393:F401)</f>
        <v>58071.7</v>
      </c>
      <c r="G402" s="175">
        <f t="shared" si="20"/>
        <v>22401.67</v>
      </c>
      <c r="H402" s="175">
        <f t="shared" si="20"/>
        <v>16849.189999999999</v>
      </c>
      <c r="I402" s="175">
        <f t="shared" si="20"/>
        <v>25313.43</v>
      </c>
      <c r="J402" s="175">
        <f t="shared" si="20"/>
        <v>16849.189999999999</v>
      </c>
      <c r="K402" s="175">
        <f t="shared" si="20"/>
        <v>156723.25</v>
      </c>
      <c r="L402" s="175">
        <f t="shared" si="20"/>
        <v>169756.71</v>
      </c>
      <c r="M402" s="175">
        <f t="shared" si="20"/>
        <v>120942.78</v>
      </c>
      <c r="N402" s="175">
        <f t="shared" si="20"/>
        <v>46216.49</v>
      </c>
      <c r="O402" s="175">
        <f t="shared" si="20"/>
        <v>20158.47</v>
      </c>
      <c r="P402" s="175">
        <f t="shared" si="20"/>
        <v>146269.44</v>
      </c>
      <c r="Q402" s="171">
        <f t="shared" si="19"/>
        <v>816401.51</v>
      </c>
    </row>
    <row r="403" spans="2:17" x14ac:dyDescent="0.25">
      <c r="B403" s="542" t="s">
        <v>45</v>
      </c>
      <c r="E403" s="175"/>
      <c r="F403" s="175"/>
      <c r="G403" s="175"/>
      <c r="H403" s="175"/>
      <c r="I403" s="175"/>
      <c r="J403" s="175"/>
      <c r="K403" s="175"/>
      <c r="L403" s="175"/>
      <c r="M403" s="175"/>
      <c r="N403" s="175"/>
      <c r="O403" s="175"/>
      <c r="P403" s="175"/>
      <c r="Q403" s="171"/>
    </row>
    <row r="404" spans="2:17" x14ac:dyDescent="0.25">
      <c r="E404" s="175"/>
      <c r="F404" s="175"/>
      <c r="G404" s="175"/>
      <c r="H404" s="175"/>
      <c r="I404" s="175"/>
      <c r="J404" s="175"/>
      <c r="K404" s="175"/>
      <c r="L404" s="175"/>
      <c r="M404" s="175"/>
      <c r="N404" s="175"/>
      <c r="O404" s="175"/>
      <c r="P404" s="175"/>
      <c r="Q404" s="171"/>
    </row>
    <row r="405" spans="2:17" x14ac:dyDescent="0.25">
      <c r="B405" s="540" t="s">
        <v>96</v>
      </c>
      <c r="C405" s="538" t="s">
        <v>34</v>
      </c>
      <c r="D405" s="538">
        <v>96</v>
      </c>
      <c r="E405" s="175"/>
      <c r="F405" s="175"/>
      <c r="G405" s="175"/>
      <c r="H405" s="175"/>
      <c r="I405" s="175"/>
      <c r="J405" s="175"/>
      <c r="K405" s="175"/>
      <c r="L405" s="175"/>
      <c r="M405" s="175"/>
      <c r="N405" s="175"/>
      <c r="O405" s="175"/>
      <c r="P405" s="175"/>
      <c r="Q405" s="171"/>
    </row>
    <row r="406" spans="2:17" x14ac:dyDescent="0.25">
      <c r="B406" s="167" t="s">
        <v>31</v>
      </c>
      <c r="C406" s="538" t="s">
        <v>35</v>
      </c>
      <c r="D406" s="538">
        <v>96</v>
      </c>
      <c r="E406" s="175">
        <v>82468</v>
      </c>
      <c r="F406" s="175">
        <v>0</v>
      </c>
      <c r="G406" s="175">
        <v>39201</v>
      </c>
      <c r="H406" s="175">
        <v>112350</v>
      </c>
      <c r="I406" s="175">
        <v>8745</v>
      </c>
      <c r="J406" s="175">
        <v>210060</v>
      </c>
      <c r="K406" s="175">
        <v>100169</v>
      </c>
      <c r="L406" s="175">
        <v>0</v>
      </c>
      <c r="M406" s="175">
        <v>147250</v>
      </c>
      <c r="N406" s="175">
        <v>451349</v>
      </c>
      <c r="O406" s="175">
        <v>59022</v>
      </c>
      <c r="P406" s="175">
        <v>57819</v>
      </c>
      <c r="Q406" s="171">
        <f t="shared" si="19"/>
        <v>1268433</v>
      </c>
    </row>
    <row r="407" spans="2:17" x14ac:dyDescent="0.25">
      <c r="B407" s="167" t="s">
        <v>36</v>
      </c>
      <c r="C407" s="538" t="s">
        <v>37</v>
      </c>
      <c r="D407" s="538">
        <v>96</v>
      </c>
      <c r="E407" s="175">
        <v>0</v>
      </c>
      <c r="F407" s="175">
        <v>0</v>
      </c>
      <c r="G407" s="175">
        <v>0</v>
      </c>
      <c r="H407" s="175">
        <v>0</v>
      </c>
      <c r="I407" s="175">
        <v>0</v>
      </c>
      <c r="J407" s="175">
        <v>0</v>
      </c>
      <c r="K407" s="175">
        <v>0</v>
      </c>
      <c r="L407" s="175">
        <v>0</v>
      </c>
      <c r="M407" s="175">
        <v>0</v>
      </c>
      <c r="N407" s="175">
        <v>0</v>
      </c>
      <c r="O407" s="175">
        <v>0</v>
      </c>
      <c r="P407" s="175">
        <v>0</v>
      </c>
      <c r="Q407" s="171">
        <f t="shared" si="19"/>
        <v>0</v>
      </c>
    </row>
    <row r="408" spans="2:17" x14ac:dyDescent="0.25">
      <c r="B408" s="167" t="s">
        <v>38</v>
      </c>
      <c r="C408" s="538" t="s">
        <v>39</v>
      </c>
      <c r="D408" s="538">
        <v>96</v>
      </c>
      <c r="E408" s="175">
        <v>0</v>
      </c>
      <c r="F408" s="175">
        <v>0</v>
      </c>
      <c r="G408" s="175">
        <v>0</v>
      </c>
      <c r="H408" s="175">
        <v>0</v>
      </c>
      <c r="I408" s="175">
        <v>0</v>
      </c>
      <c r="J408" s="175">
        <v>0</v>
      </c>
      <c r="K408" s="175">
        <v>0</v>
      </c>
      <c r="L408" s="175">
        <v>0</v>
      </c>
      <c r="M408" s="175">
        <v>0</v>
      </c>
      <c r="N408" s="175">
        <v>0</v>
      </c>
      <c r="O408" s="175">
        <v>0</v>
      </c>
      <c r="P408" s="175">
        <v>0</v>
      </c>
      <c r="Q408" s="171">
        <f t="shared" si="19"/>
        <v>0</v>
      </c>
    </row>
    <row r="409" spans="2:17" x14ac:dyDescent="0.25">
      <c r="B409" s="167" t="s">
        <v>40</v>
      </c>
      <c r="C409" s="538" t="s">
        <v>41</v>
      </c>
      <c r="D409" s="538">
        <v>96</v>
      </c>
      <c r="E409" s="175">
        <v>82468</v>
      </c>
      <c r="F409" s="175">
        <v>0</v>
      </c>
      <c r="G409" s="175">
        <v>39201</v>
      </c>
      <c r="H409" s="175">
        <v>112350</v>
      </c>
      <c r="I409" s="175">
        <v>8745</v>
      </c>
      <c r="J409" s="175">
        <v>210060</v>
      </c>
      <c r="K409" s="175">
        <v>100169</v>
      </c>
      <c r="L409" s="175">
        <v>0</v>
      </c>
      <c r="M409" s="175">
        <v>147250</v>
      </c>
      <c r="N409" s="175">
        <v>451349</v>
      </c>
      <c r="O409" s="175">
        <v>59022</v>
      </c>
      <c r="P409" s="175">
        <v>57819</v>
      </c>
      <c r="Q409" s="171">
        <f t="shared" si="19"/>
        <v>1268433</v>
      </c>
    </row>
    <row r="410" spans="2:17" x14ac:dyDescent="0.25">
      <c r="B410" s="167" t="s">
        <v>42</v>
      </c>
      <c r="C410" s="538" t="s">
        <v>43</v>
      </c>
      <c r="D410" s="538">
        <v>96</v>
      </c>
      <c r="E410" s="175">
        <v>0</v>
      </c>
      <c r="F410" s="175">
        <v>39201</v>
      </c>
      <c r="G410" s="175">
        <v>112350</v>
      </c>
      <c r="H410" s="175">
        <v>8745</v>
      </c>
      <c r="I410" s="175">
        <v>210060</v>
      </c>
      <c r="J410" s="175">
        <v>100169</v>
      </c>
      <c r="K410" s="175">
        <v>0</v>
      </c>
      <c r="L410" s="175">
        <v>147250</v>
      </c>
      <c r="M410" s="175">
        <v>451349</v>
      </c>
      <c r="N410" s="175">
        <v>59022</v>
      </c>
      <c r="O410" s="175">
        <v>57819</v>
      </c>
      <c r="P410" s="175">
        <v>0</v>
      </c>
      <c r="Q410" s="171">
        <f t="shared" si="19"/>
        <v>1185965</v>
      </c>
    </row>
    <row r="411" spans="2:17" x14ac:dyDescent="0.25">
      <c r="B411" s="167" t="s">
        <v>33</v>
      </c>
      <c r="C411" s="538" t="s">
        <v>44</v>
      </c>
      <c r="D411" s="538">
        <v>96</v>
      </c>
      <c r="E411" s="175">
        <v>0</v>
      </c>
      <c r="F411" s="175">
        <v>39201</v>
      </c>
      <c r="G411" s="175">
        <v>112350</v>
      </c>
      <c r="H411" s="175">
        <v>8745</v>
      </c>
      <c r="I411" s="175">
        <v>210060</v>
      </c>
      <c r="J411" s="175">
        <v>100169</v>
      </c>
      <c r="K411" s="175">
        <v>0</v>
      </c>
      <c r="L411" s="175">
        <v>147250</v>
      </c>
      <c r="M411" s="175">
        <v>451349</v>
      </c>
      <c r="N411" s="175">
        <v>59022</v>
      </c>
      <c r="O411" s="175">
        <v>57819</v>
      </c>
      <c r="P411" s="175">
        <v>0</v>
      </c>
      <c r="Q411" s="171">
        <f t="shared" si="19"/>
        <v>1185965</v>
      </c>
    </row>
    <row r="412" spans="2:17" x14ac:dyDescent="0.25">
      <c r="B412" s="542" t="s">
        <v>45</v>
      </c>
      <c r="E412" s="175"/>
      <c r="F412" s="175"/>
      <c r="G412" s="175"/>
      <c r="H412" s="175"/>
      <c r="I412" s="175"/>
      <c r="J412" s="175"/>
      <c r="K412" s="175"/>
      <c r="L412" s="175"/>
      <c r="M412" s="175"/>
      <c r="N412" s="175"/>
      <c r="O412" s="175"/>
      <c r="P412" s="175"/>
      <c r="Q412" s="171">
        <f t="shared" si="19"/>
        <v>0</v>
      </c>
    </row>
    <row r="413" spans="2:17" x14ac:dyDescent="0.25">
      <c r="B413" s="167" t="s">
        <v>46</v>
      </c>
      <c r="C413" s="538" t="s">
        <v>35</v>
      </c>
      <c r="D413" s="538">
        <v>140</v>
      </c>
      <c r="E413" s="175">
        <v>15203.05</v>
      </c>
      <c r="F413" s="175">
        <v>15168.6</v>
      </c>
      <c r="G413" s="175">
        <v>15184.98</v>
      </c>
      <c r="H413" s="175">
        <v>15215.53</v>
      </c>
      <c r="I413" s="175">
        <v>15172.26</v>
      </c>
      <c r="J413" s="175">
        <v>15256.35</v>
      </c>
      <c r="K413" s="175">
        <v>15210.45</v>
      </c>
      <c r="L413" s="175">
        <v>15168.6</v>
      </c>
      <c r="M413" s="175">
        <v>15230.11</v>
      </c>
      <c r="N413" s="175">
        <v>15357.14</v>
      </c>
      <c r="O413" s="175">
        <v>15193.26</v>
      </c>
      <c r="P413" s="175">
        <v>15192.76</v>
      </c>
      <c r="Q413" s="171">
        <f t="shared" si="19"/>
        <v>182553.09000000003</v>
      </c>
    </row>
    <row r="414" spans="2:17" x14ac:dyDescent="0.25">
      <c r="B414" s="167" t="s">
        <v>47</v>
      </c>
      <c r="C414" s="538" t="s">
        <v>37</v>
      </c>
      <c r="D414" s="538">
        <v>140</v>
      </c>
      <c r="E414" s="175">
        <v>0</v>
      </c>
      <c r="F414" s="175">
        <v>0</v>
      </c>
      <c r="G414" s="175">
        <v>0</v>
      </c>
      <c r="H414" s="175">
        <v>0</v>
      </c>
      <c r="I414" s="175">
        <v>0</v>
      </c>
      <c r="J414" s="175">
        <v>0</v>
      </c>
      <c r="K414" s="175">
        <v>0</v>
      </c>
      <c r="L414" s="175">
        <v>0</v>
      </c>
      <c r="M414" s="175">
        <v>0</v>
      </c>
      <c r="N414" s="175">
        <v>0</v>
      </c>
      <c r="O414" s="175">
        <v>0</v>
      </c>
      <c r="P414" s="175">
        <v>0</v>
      </c>
      <c r="Q414" s="171">
        <f t="shared" si="19"/>
        <v>0</v>
      </c>
    </row>
    <row r="415" spans="2:17" x14ac:dyDescent="0.25">
      <c r="B415" s="167" t="s">
        <v>48</v>
      </c>
      <c r="C415" s="538" t="s">
        <v>39</v>
      </c>
      <c r="D415" s="538">
        <v>140</v>
      </c>
      <c r="E415" s="175">
        <v>0</v>
      </c>
      <c r="F415" s="175">
        <v>0</v>
      </c>
      <c r="G415" s="175">
        <v>0</v>
      </c>
      <c r="H415" s="175">
        <v>0</v>
      </c>
      <c r="I415" s="175">
        <v>0</v>
      </c>
      <c r="J415" s="175">
        <v>0</v>
      </c>
      <c r="K415" s="175">
        <v>0</v>
      </c>
      <c r="L415" s="175">
        <v>0</v>
      </c>
      <c r="M415" s="175">
        <v>0</v>
      </c>
      <c r="N415" s="175">
        <v>0</v>
      </c>
      <c r="O415" s="175">
        <v>0</v>
      </c>
      <c r="P415" s="175">
        <v>0</v>
      </c>
      <c r="Q415" s="171">
        <f t="shared" si="19"/>
        <v>0</v>
      </c>
    </row>
    <row r="416" spans="2:17" x14ac:dyDescent="0.25">
      <c r="B416" s="167" t="s">
        <v>49</v>
      </c>
      <c r="C416" s="538" t="s">
        <v>50</v>
      </c>
      <c r="D416" s="538">
        <v>140</v>
      </c>
      <c r="E416" s="175">
        <v>0</v>
      </c>
      <c r="F416" s="175">
        <v>0</v>
      </c>
      <c r="G416" s="175">
        <v>0</v>
      </c>
      <c r="H416" s="175">
        <v>0</v>
      </c>
      <c r="I416" s="175">
        <v>0</v>
      </c>
      <c r="J416" s="175">
        <v>0</v>
      </c>
      <c r="K416" s="175">
        <v>0</v>
      </c>
      <c r="L416" s="175">
        <v>0</v>
      </c>
      <c r="M416" s="175">
        <v>0</v>
      </c>
      <c r="N416" s="175">
        <v>0</v>
      </c>
      <c r="O416" s="175">
        <v>0</v>
      </c>
      <c r="P416" s="175">
        <v>0</v>
      </c>
      <c r="Q416" s="171">
        <f t="shared" si="19"/>
        <v>0</v>
      </c>
    </row>
    <row r="417" spans="2:17" x14ac:dyDescent="0.25">
      <c r="B417" s="167" t="s">
        <v>191</v>
      </c>
      <c r="C417" s="538" t="s">
        <v>51</v>
      </c>
      <c r="D417" s="538">
        <v>140</v>
      </c>
      <c r="E417" s="175">
        <v>0</v>
      </c>
      <c r="F417" s="175">
        <v>0</v>
      </c>
      <c r="G417" s="175">
        <v>0</v>
      </c>
      <c r="H417" s="175">
        <v>0</v>
      </c>
      <c r="I417" s="175">
        <v>0</v>
      </c>
      <c r="J417" s="175">
        <v>0</v>
      </c>
      <c r="K417" s="175">
        <v>0</v>
      </c>
      <c r="L417" s="175">
        <v>0</v>
      </c>
      <c r="M417" s="175">
        <v>0</v>
      </c>
      <c r="N417" s="175">
        <v>0</v>
      </c>
      <c r="O417" s="175">
        <v>0</v>
      </c>
      <c r="P417" s="175">
        <v>0</v>
      </c>
      <c r="Q417" s="171">
        <f t="shared" si="19"/>
        <v>0</v>
      </c>
    </row>
    <row r="418" spans="2:17" x14ac:dyDescent="0.25">
      <c r="B418" s="167" t="s">
        <v>78</v>
      </c>
      <c r="C418" s="538" t="s">
        <v>77</v>
      </c>
      <c r="D418" s="538">
        <v>140</v>
      </c>
      <c r="E418" s="175">
        <v>0</v>
      </c>
      <c r="F418" s="175">
        <v>0</v>
      </c>
      <c r="G418" s="175">
        <v>0</v>
      </c>
      <c r="H418" s="175">
        <v>0</v>
      </c>
      <c r="I418" s="175">
        <v>0</v>
      </c>
      <c r="J418" s="175">
        <v>0</v>
      </c>
      <c r="K418" s="175">
        <v>0</v>
      </c>
      <c r="L418" s="175">
        <v>0</v>
      </c>
      <c r="M418" s="175">
        <v>0</v>
      </c>
      <c r="N418" s="175">
        <v>0</v>
      </c>
      <c r="O418" s="175">
        <v>0</v>
      </c>
      <c r="P418" s="175">
        <v>0</v>
      </c>
      <c r="Q418" s="171">
        <f t="shared" si="19"/>
        <v>0</v>
      </c>
    </row>
    <row r="419" spans="2:17" x14ac:dyDescent="0.25">
      <c r="B419" s="167" t="s">
        <v>13</v>
      </c>
      <c r="C419" s="538" t="s">
        <v>52</v>
      </c>
      <c r="D419" s="538">
        <v>140</v>
      </c>
      <c r="E419" s="175">
        <v>0</v>
      </c>
      <c r="F419" s="175">
        <v>0</v>
      </c>
      <c r="G419" s="175">
        <v>0</v>
      </c>
      <c r="H419" s="175">
        <v>0</v>
      </c>
      <c r="I419" s="175">
        <v>0</v>
      </c>
      <c r="J419" s="175">
        <v>0</v>
      </c>
      <c r="K419" s="175">
        <v>0</v>
      </c>
      <c r="L419" s="175">
        <v>0</v>
      </c>
      <c r="M419" s="175">
        <v>0</v>
      </c>
      <c r="N419" s="175">
        <v>0</v>
      </c>
      <c r="O419" s="175">
        <v>0</v>
      </c>
      <c r="P419" s="175">
        <v>-14585.45</v>
      </c>
      <c r="Q419" s="171">
        <f t="shared" si="19"/>
        <v>-14585.45</v>
      </c>
    </row>
    <row r="420" spans="2:17" x14ac:dyDescent="0.25">
      <c r="B420" s="167" t="s">
        <v>53</v>
      </c>
      <c r="C420" s="538" t="s">
        <v>41</v>
      </c>
      <c r="D420" s="538">
        <v>140</v>
      </c>
      <c r="E420" s="175">
        <v>-15203.05</v>
      </c>
      <c r="F420" s="175">
        <v>-15168.6</v>
      </c>
      <c r="G420" s="175">
        <v>-15184.98</v>
      </c>
      <c r="H420" s="175">
        <v>-15215.53</v>
      </c>
      <c r="I420" s="175">
        <v>-15172.26</v>
      </c>
      <c r="J420" s="175">
        <v>-15256.35</v>
      </c>
      <c r="K420" s="175">
        <v>-15210.45</v>
      </c>
      <c r="L420" s="175">
        <v>-15168.6</v>
      </c>
      <c r="M420" s="175">
        <v>-15230.11</v>
      </c>
      <c r="N420" s="175">
        <v>-15357.14</v>
      </c>
      <c r="O420" s="175">
        <v>-15193.26</v>
      </c>
      <c r="P420" s="175">
        <v>-15192.76</v>
      </c>
      <c r="Q420" s="171">
        <f>SUM(E420:P420)</f>
        <v>-182553.09000000003</v>
      </c>
    </row>
    <row r="421" spans="2:17" x14ac:dyDescent="0.25">
      <c r="B421" s="167" t="s">
        <v>54</v>
      </c>
      <c r="C421" s="538" t="s">
        <v>43</v>
      </c>
      <c r="D421" s="538">
        <v>140</v>
      </c>
      <c r="E421" s="175">
        <v>15168.6</v>
      </c>
      <c r="F421" s="175">
        <v>15184.98</v>
      </c>
      <c r="G421" s="175">
        <v>15215.53</v>
      </c>
      <c r="H421" s="175">
        <v>15172.26</v>
      </c>
      <c r="I421" s="175">
        <v>15256.35</v>
      </c>
      <c r="J421" s="175">
        <v>15210.45</v>
      </c>
      <c r="K421" s="175">
        <v>15168.6</v>
      </c>
      <c r="L421" s="175">
        <v>15230.11</v>
      </c>
      <c r="M421" s="175">
        <v>15357.14</v>
      </c>
      <c r="N421" s="175">
        <v>15193.26</v>
      </c>
      <c r="O421" s="175">
        <v>15192.76</v>
      </c>
      <c r="P421" s="175">
        <v>15168.6</v>
      </c>
      <c r="Q421" s="171">
        <f t="shared" si="19"/>
        <v>182518.64000000004</v>
      </c>
    </row>
    <row r="422" spans="2:17" x14ac:dyDescent="0.25">
      <c r="B422" s="167" t="s">
        <v>30</v>
      </c>
      <c r="C422" s="538" t="s">
        <v>44</v>
      </c>
      <c r="D422" s="538">
        <v>140</v>
      </c>
      <c r="E422" s="175">
        <f>SUM(E413:E421)</f>
        <v>15168.6</v>
      </c>
      <c r="F422" s="175">
        <f t="shared" ref="F422:P422" si="21">SUM(F413:F421)</f>
        <v>15184.98</v>
      </c>
      <c r="G422" s="175">
        <f t="shared" si="21"/>
        <v>15215.53</v>
      </c>
      <c r="H422" s="175">
        <f t="shared" si="21"/>
        <v>15172.26</v>
      </c>
      <c r="I422" s="175">
        <f t="shared" si="21"/>
        <v>15256.35</v>
      </c>
      <c r="J422" s="175">
        <f t="shared" si="21"/>
        <v>15210.45</v>
      </c>
      <c r="K422" s="175">
        <f t="shared" si="21"/>
        <v>15168.6</v>
      </c>
      <c r="L422" s="175">
        <f t="shared" si="21"/>
        <v>15230.11</v>
      </c>
      <c r="M422" s="175">
        <f t="shared" si="21"/>
        <v>15357.14</v>
      </c>
      <c r="N422" s="175">
        <f t="shared" si="21"/>
        <v>15193.26</v>
      </c>
      <c r="O422" s="175">
        <f t="shared" si="21"/>
        <v>15192.76</v>
      </c>
      <c r="P422" s="175">
        <f t="shared" si="21"/>
        <v>583.14999999999964</v>
      </c>
      <c r="Q422" s="171">
        <f t="shared" si="19"/>
        <v>167933.19000000003</v>
      </c>
    </row>
    <row r="423" spans="2:17" x14ac:dyDescent="0.25">
      <c r="B423" s="542" t="s">
        <v>45</v>
      </c>
      <c r="E423" s="175"/>
      <c r="F423" s="175"/>
      <c r="G423" s="175"/>
      <c r="H423" s="175"/>
      <c r="I423" s="175"/>
      <c r="J423" s="175"/>
      <c r="K423" s="175"/>
      <c r="L423" s="175"/>
      <c r="M423" s="175"/>
      <c r="N423" s="175"/>
      <c r="O423" s="175"/>
      <c r="P423" s="175"/>
    </row>
    <row r="424" spans="2:17" x14ac:dyDescent="0.25">
      <c r="E424" s="175"/>
      <c r="F424" s="175"/>
      <c r="G424" s="175"/>
      <c r="H424" s="175"/>
      <c r="I424" s="175"/>
      <c r="J424" s="175"/>
      <c r="K424" s="175"/>
      <c r="L424" s="175"/>
      <c r="M424" s="175"/>
      <c r="N424" s="175"/>
      <c r="O424" s="175"/>
      <c r="P424" s="175"/>
    </row>
    <row r="425" spans="2:17" x14ac:dyDescent="0.25">
      <c r="E425" s="177">
        <f t="shared" ref="E425:M425" si="22">SUM(E22,E42,E82,E102,E142,E162,E182,E202,E222,E242,E262,E282,E302,E322,E342,E362,E382,E402,E422,E122,E62)</f>
        <v>31095209.98</v>
      </c>
      <c r="F425" s="177">
        <f t="shared" si="22"/>
        <v>32624760.91</v>
      </c>
      <c r="G425" s="177">
        <f t="shared" si="22"/>
        <v>26307158.460000001</v>
      </c>
      <c r="H425" s="177">
        <f t="shared" si="22"/>
        <v>16391743.960000003</v>
      </c>
      <c r="I425" s="177">
        <f t="shared" si="22"/>
        <v>11651407.520000003</v>
      </c>
      <c r="J425" s="177">
        <f t="shared" si="22"/>
        <v>9186724.3499999978</v>
      </c>
      <c r="K425" s="177">
        <f t="shared" si="22"/>
        <v>9444062.129999999</v>
      </c>
      <c r="L425" s="177">
        <f t="shared" si="22"/>
        <v>7956709.2999999998</v>
      </c>
      <c r="M425" s="177">
        <f t="shared" si="22"/>
        <v>11240317.349999998</v>
      </c>
      <c r="N425" s="177">
        <f>SUM(N22,N42,N82,N102,N142,N162,N182,N202,N222,N242,N262,N282,N302,N322,N342,N362,N382,N402,N422,N122,N62)</f>
        <v>20966862.130000003</v>
      </c>
      <c r="O425" s="177">
        <f t="shared" ref="O425:P425" si="23">SUM(O22,O42,O82,O102,O142,O162,O182,O202,O222,O242,O262,O282,O302,O322,O342,O362,O382,O402,O422,O122,O62)</f>
        <v>30842928.490000002</v>
      </c>
      <c r="P425" s="177">
        <f t="shared" si="23"/>
        <v>37868343.319999985</v>
      </c>
    </row>
    <row r="427" spans="2:17" x14ac:dyDescent="0.25">
      <c r="E427" s="177"/>
      <c r="F427" s="177"/>
      <c r="G427" s="177"/>
      <c r="H427" s="177"/>
      <c r="I427" s="177"/>
      <c r="J427" s="177"/>
      <c r="K427" s="177"/>
      <c r="L427" s="177"/>
      <c r="M427" s="177"/>
      <c r="N427" s="177"/>
      <c r="O427" s="177"/>
      <c r="P427" s="177"/>
    </row>
    <row r="428" spans="2:17" x14ac:dyDescent="0.25">
      <c r="C428" s="538" t="s">
        <v>507</v>
      </c>
      <c r="E428" s="177">
        <f>SUM('Allocation Report Summary 2019'!D9,'Allocation Report Summary 2019'!D13)</f>
        <v>31095209.98</v>
      </c>
      <c r="F428" s="177">
        <f>SUM('Allocation Report Summary 2019'!E9,'Allocation Report Summary 2019'!E13)</f>
        <v>32624760.909999996</v>
      </c>
      <c r="G428" s="177">
        <f>SUM('Allocation Report Summary 2019'!F9,'Allocation Report Summary 2019'!F13)</f>
        <v>26307158.459999997</v>
      </c>
      <c r="H428" s="177">
        <f>SUM('Allocation Report Summary 2019'!G9,'Allocation Report Summary 2019'!G13)</f>
        <v>16391743.960000001</v>
      </c>
      <c r="I428" s="177">
        <f>SUM('Allocation Report Summary 2019'!H9,'Allocation Report Summary 2019'!H13)</f>
        <v>11651407.52</v>
      </c>
      <c r="J428" s="177">
        <f>SUM('Allocation Report Summary 2019'!I9,'Allocation Report Summary 2019'!I13)</f>
        <v>9186724.3499999996</v>
      </c>
      <c r="K428" s="177">
        <f>SUM('Allocation Report Summary 2019'!J9,'Allocation Report Summary 2019'!J13)</f>
        <v>9444062.1300000008</v>
      </c>
      <c r="L428" s="177">
        <f>SUM('Allocation Report Summary 2019'!K9,'Allocation Report Summary 2019'!K13)</f>
        <v>7956709.3000000007</v>
      </c>
      <c r="M428" s="177">
        <f>SUM('Allocation Report Summary 2019'!L9,'Allocation Report Summary 2019'!L13)</f>
        <v>11240317.35</v>
      </c>
      <c r="N428" s="177">
        <f>SUM('Allocation Report Summary 2019'!M9,'Allocation Report Summary 2019'!M13)</f>
        <v>20966862.129999999</v>
      </c>
      <c r="O428" s="177">
        <f>SUM('Allocation Report Summary 2019'!N9,'Allocation Report Summary 2019'!N13)</f>
        <v>30842928.489999998</v>
      </c>
      <c r="P428" s="177">
        <f>SUM('Allocation Report Summary 2019'!O9,'Allocation Report Summary 2019'!O13)</f>
        <v>37868343.32</v>
      </c>
    </row>
    <row r="429" spans="2:17" x14ac:dyDescent="0.25">
      <c r="E429" s="178">
        <f>E428-E425</f>
        <v>0</v>
      </c>
      <c r="F429" s="178">
        <f>F428-F425</f>
        <v>0</v>
      </c>
      <c r="G429" s="178">
        <f>G428-G425</f>
        <v>0</v>
      </c>
      <c r="H429" s="178">
        <f t="shared" ref="H429:P429" si="24">H428-H425</f>
        <v>0</v>
      </c>
      <c r="I429" s="178">
        <f t="shared" si="24"/>
        <v>0</v>
      </c>
      <c r="J429" s="178">
        <f t="shared" si="24"/>
        <v>0</v>
      </c>
      <c r="K429" s="178">
        <f t="shared" si="24"/>
        <v>0</v>
      </c>
      <c r="L429" s="178">
        <f t="shared" si="24"/>
        <v>0</v>
      </c>
      <c r="M429" s="178">
        <f t="shared" si="24"/>
        <v>0</v>
      </c>
      <c r="N429" s="178">
        <f t="shared" si="24"/>
        <v>0</v>
      </c>
      <c r="O429" s="178">
        <f t="shared" si="24"/>
        <v>0</v>
      </c>
      <c r="P429" s="178">
        <f t="shared" si="24"/>
        <v>0</v>
      </c>
    </row>
    <row r="431" spans="2:17" x14ac:dyDescent="0.25">
      <c r="E431" s="540"/>
    </row>
    <row r="438" spans="5:5" x14ac:dyDescent="0.25">
      <c r="E438" s="542"/>
    </row>
    <row r="449" spans="5:5" x14ac:dyDescent="0.25">
      <c r="E449" s="542"/>
    </row>
  </sheetData>
  <printOptions horizontalCentered="1"/>
  <pageMargins left="0.5" right="0.5" top="1" bottom="0.75" header="0.5" footer="0.3"/>
  <pageSetup scale="49" fitToHeight="0" orientation="landscape" horizontalDpi="1200" verticalDpi="1200" r:id="rId1"/>
  <headerFooter scaleWithDoc="0">
    <oddHeader>&amp;C&amp;10Cascade Natural Gas Corporation
Revenue Reconcilliation
IDM WP-1.2&amp;R&amp;9CNGC/401
Myhrum/Page &amp;P of &amp;N</oddHeader>
    <oddFooter>&amp;L&amp;A</oddFooter>
  </headerFooter>
  <rowBreaks count="6" manualBreakCount="6">
    <brk id="64" max="16383" man="1"/>
    <brk id="124" max="16383" man="1"/>
    <brk id="184" max="16383" man="1"/>
    <brk id="244" max="16383" man="1"/>
    <brk id="303" max="16383" man="1"/>
    <brk id="363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rgb="FFFFFF00"/>
    <pageSetUpPr fitToPage="1"/>
  </sheetPr>
  <dimension ref="A1:AF166"/>
  <sheetViews>
    <sheetView topLeftCell="A76" zoomScale="60" zoomScaleNormal="60" workbookViewId="0"/>
  </sheetViews>
  <sheetFormatPr defaultRowHeight="15" x14ac:dyDescent="0.25"/>
  <cols>
    <col min="3" max="3" width="46.140625" customWidth="1"/>
    <col min="4" max="4" width="17.85546875" customWidth="1"/>
    <col min="5" max="5" width="2.42578125" customWidth="1"/>
    <col min="6" max="6" width="18.7109375" bestFit="1" customWidth="1"/>
    <col min="7" max="7" width="4.7109375" customWidth="1"/>
    <col min="8" max="8" width="18.7109375" bestFit="1" customWidth="1"/>
    <col min="9" max="9" width="2.7109375" customWidth="1"/>
    <col min="10" max="10" width="18.7109375" bestFit="1" customWidth="1"/>
    <col min="11" max="11" width="2.140625" customWidth="1"/>
    <col min="12" max="12" width="18.7109375" customWidth="1"/>
    <col min="13" max="13" width="2.85546875" customWidth="1"/>
    <col min="14" max="14" width="18.28515625" customWidth="1"/>
    <col min="15" max="15" width="3" customWidth="1"/>
    <col min="16" max="16" width="19.140625" customWidth="1"/>
    <col min="17" max="17" width="3.28515625" customWidth="1"/>
    <col min="18" max="18" width="19.42578125" customWidth="1"/>
    <col min="19" max="19" width="2.5703125" customWidth="1"/>
    <col min="20" max="20" width="19.5703125" customWidth="1"/>
    <col min="21" max="21" width="2.85546875" customWidth="1"/>
    <col min="22" max="22" width="18.28515625" bestFit="1" customWidth="1"/>
    <col min="23" max="23" width="3" customWidth="1"/>
    <col min="24" max="24" width="18" customWidth="1"/>
    <col min="25" max="25" width="2.5703125" customWidth="1"/>
    <col min="26" max="26" width="18.28515625" bestFit="1" customWidth="1"/>
    <col min="27" max="27" width="22.7109375" customWidth="1"/>
    <col min="28" max="28" width="22.28515625" customWidth="1"/>
    <col min="29" max="29" width="35.85546875" customWidth="1"/>
    <col min="30" max="30" width="28.7109375" customWidth="1"/>
    <col min="31" max="31" width="14.7109375" customWidth="1"/>
    <col min="32" max="32" width="13.28515625" bestFit="1" customWidth="1"/>
    <col min="33" max="33" width="13.85546875" bestFit="1" customWidth="1"/>
    <col min="34" max="34" width="12.28515625" bestFit="1" customWidth="1"/>
    <col min="35" max="35" width="13.28515625" bestFit="1" customWidth="1"/>
  </cols>
  <sheetData>
    <row r="1" spans="2:30" x14ac:dyDescent="0.25">
      <c r="B1" s="136" t="s">
        <v>329</v>
      </c>
    </row>
    <row r="2" spans="2:30" x14ac:dyDescent="0.25">
      <c r="B2" s="136" t="s">
        <v>435</v>
      </c>
    </row>
    <row r="3" spans="2:30" ht="15.75" thickBot="1" x14ac:dyDescent="0.3"/>
    <row r="4" spans="2:30" x14ac:dyDescent="0.25">
      <c r="B4" s="846" t="s">
        <v>532</v>
      </c>
      <c r="C4" s="847"/>
      <c r="D4" s="847"/>
      <c r="E4" s="847"/>
      <c r="F4" s="847"/>
      <c r="G4" s="847"/>
      <c r="H4" s="847"/>
      <c r="I4" s="847"/>
      <c r="J4" s="847"/>
      <c r="K4" s="847"/>
      <c r="L4" s="847"/>
      <c r="M4" s="847"/>
      <c r="N4" s="847"/>
      <c r="O4" s="847"/>
      <c r="P4" s="847"/>
      <c r="Q4" s="847"/>
      <c r="R4" s="847"/>
      <c r="S4" s="847"/>
      <c r="T4" s="847"/>
      <c r="U4" s="847"/>
      <c r="V4" s="847"/>
      <c r="W4" s="847"/>
      <c r="X4" s="847"/>
      <c r="Y4" s="847"/>
      <c r="Z4" s="848"/>
      <c r="AA4" s="843" t="s">
        <v>611</v>
      </c>
      <c r="AB4" s="844"/>
    </row>
    <row r="5" spans="2:30" x14ac:dyDescent="0.25">
      <c r="B5" s="58">
        <v>1</v>
      </c>
      <c r="C5" s="378" t="s">
        <v>217</v>
      </c>
      <c r="D5" s="378" t="s">
        <v>218</v>
      </c>
      <c r="E5" s="378"/>
      <c r="F5" s="378" t="s">
        <v>34</v>
      </c>
      <c r="G5" s="378"/>
      <c r="H5" s="378" t="s">
        <v>35</v>
      </c>
      <c r="I5" s="378"/>
      <c r="J5" s="378" t="s">
        <v>37</v>
      </c>
      <c r="K5" s="378"/>
      <c r="L5" s="378" t="s">
        <v>39</v>
      </c>
      <c r="M5" s="378"/>
      <c r="N5" s="378" t="s">
        <v>50</v>
      </c>
      <c r="O5" s="378"/>
      <c r="P5" s="378" t="s">
        <v>51</v>
      </c>
      <c r="Q5" s="378"/>
      <c r="R5" s="378" t="s">
        <v>77</v>
      </c>
      <c r="S5" s="378"/>
      <c r="T5" s="378" t="s">
        <v>52</v>
      </c>
      <c r="U5" s="378"/>
      <c r="V5" s="378" t="s">
        <v>41</v>
      </c>
      <c r="W5" s="378"/>
      <c r="X5" s="378" t="s">
        <v>43</v>
      </c>
      <c r="Y5" s="378"/>
      <c r="Z5" s="60" t="s">
        <v>44</v>
      </c>
      <c r="AA5" s="378" t="s">
        <v>227</v>
      </c>
      <c r="AB5" s="378" t="s">
        <v>229</v>
      </c>
      <c r="AC5" s="659" t="s">
        <v>422</v>
      </c>
      <c r="AD5" s="659" t="s">
        <v>436</v>
      </c>
    </row>
    <row r="6" spans="2:30" x14ac:dyDescent="0.25">
      <c r="B6" s="58">
        <v>2</v>
      </c>
      <c r="C6" s="344" t="s">
        <v>219</v>
      </c>
      <c r="D6" s="344" t="s">
        <v>79</v>
      </c>
      <c r="E6" s="344"/>
      <c r="F6" s="344" t="s">
        <v>80</v>
      </c>
      <c r="G6" s="344"/>
      <c r="H6" s="344" t="s">
        <v>81</v>
      </c>
      <c r="I6" s="344"/>
      <c r="J6" s="344" t="s">
        <v>82</v>
      </c>
      <c r="K6" s="344"/>
      <c r="L6" s="344" t="s">
        <v>83</v>
      </c>
      <c r="M6" s="344"/>
      <c r="N6" s="344" t="s">
        <v>84</v>
      </c>
      <c r="O6" s="344"/>
      <c r="P6" s="344" t="s">
        <v>85</v>
      </c>
      <c r="Q6" s="344"/>
      <c r="R6" s="344" t="s">
        <v>86</v>
      </c>
      <c r="S6" s="344"/>
      <c r="T6" s="344" t="s">
        <v>87</v>
      </c>
      <c r="U6" s="344"/>
      <c r="V6" s="344" t="s">
        <v>88</v>
      </c>
      <c r="W6" s="344"/>
      <c r="X6" s="344" t="s">
        <v>89</v>
      </c>
      <c r="Y6" s="344"/>
      <c r="Z6" s="379" t="s">
        <v>90</v>
      </c>
    </row>
    <row r="7" spans="2:30" ht="15.75" thickBot="1" x14ac:dyDescent="0.3">
      <c r="B7" s="58">
        <v>3</v>
      </c>
      <c r="C7" s="81" t="s">
        <v>276</v>
      </c>
      <c r="D7" s="338">
        <f>'Weather Normalization'!E4</f>
        <v>21127127.921285022</v>
      </c>
      <c r="E7" s="338"/>
      <c r="F7" s="338">
        <f>'Weather Normalization'!E5</f>
        <v>17020957.494531143</v>
      </c>
      <c r="G7" s="338"/>
      <c r="H7" s="338">
        <f>'Weather Normalization'!E6</f>
        <v>14382332.729983674</v>
      </c>
      <c r="I7" s="338"/>
      <c r="J7" s="338">
        <f>'Weather Normalization'!E7</f>
        <v>9454438.0865489114</v>
      </c>
      <c r="K7" s="338"/>
      <c r="L7" s="338">
        <f>'Weather Normalization'!E8</f>
        <v>6001953.0208063405</v>
      </c>
      <c r="M7" s="338"/>
      <c r="N7" s="338">
        <f>'Weather Normalization'!E9</f>
        <v>3673706.3233785499</v>
      </c>
      <c r="O7" s="338"/>
      <c r="P7" s="338">
        <f>'Weather Normalization'!E10</f>
        <v>3078408.4761805134</v>
      </c>
      <c r="Q7" s="338"/>
      <c r="R7" s="338">
        <f>'Weather Normalization'!E11</f>
        <v>3078938.801196483</v>
      </c>
      <c r="S7" s="338"/>
      <c r="T7" s="338">
        <f>'Weather Normalization'!E12</f>
        <v>3922180.1070021633</v>
      </c>
      <c r="U7" s="338"/>
      <c r="V7" s="338">
        <f>'Weather Normalization'!E13</f>
        <v>9041686.1170839723</v>
      </c>
      <c r="W7" s="338"/>
      <c r="X7" s="338">
        <f>'Weather Normalization'!E14</f>
        <v>16939826.735064078</v>
      </c>
      <c r="Y7" s="338"/>
      <c r="Z7" s="380">
        <f>'Weather Normalization'!E15</f>
        <v>22806992.536832273</v>
      </c>
      <c r="AA7" s="9"/>
      <c r="AC7" s="666" t="s">
        <v>641</v>
      </c>
    </row>
    <row r="8" spans="2:30" s="287" customFormat="1" x14ac:dyDescent="0.25">
      <c r="B8" s="381">
        <v>4</v>
      </c>
      <c r="C8" s="339" t="s">
        <v>222</v>
      </c>
      <c r="D8" s="340">
        <f>D7/SUM('1501 Summary'!F6)</f>
        <v>109.95860727202097</v>
      </c>
      <c r="E8" s="340"/>
      <c r="F8" s="340">
        <f>F7/SUM('1501 Summary'!H6)</f>
        <v>88.465319567049207</v>
      </c>
      <c r="G8" s="340"/>
      <c r="H8" s="340">
        <f>H7/SUM('1501 Summary'!J6)</f>
        <v>74.482810260096912</v>
      </c>
      <c r="I8" s="340"/>
      <c r="J8" s="340">
        <f>J7/SUM('1501 Summary'!L6)</f>
        <v>48.902552635044295</v>
      </c>
      <c r="K8" s="340"/>
      <c r="L8" s="340">
        <f>L7/SUM('1501 Summary'!N6)</f>
        <v>31.018374064293294</v>
      </c>
      <c r="M8" s="340"/>
      <c r="N8" s="340">
        <f>N7/SUM('1501 Summary'!P6)</f>
        <v>18.987931225004242</v>
      </c>
      <c r="O8" s="340"/>
      <c r="P8" s="340">
        <f>P7/SUM('1501 Summary'!R6)</f>
        <v>15.900295320832994</v>
      </c>
      <c r="Q8" s="340"/>
      <c r="R8" s="340">
        <f>R7/SUM('1501 Summary'!T6)</f>
        <v>15.932952148530577</v>
      </c>
      <c r="S8" s="340"/>
      <c r="T8" s="340">
        <f>T7/SUM('1501 Summary'!V6)</f>
        <v>20.333238844978684</v>
      </c>
      <c r="U8" s="340"/>
      <c r="V8" s="340">
        <f>V7/SUM('1501 Summary'!X6)</f>
        <v>46.591259157205727</v>
      </c>
      <c r="W8" s="340"/>
      <c r="X8" s="340">
        <f>X7/SUM('1501 Summary'!Z6)</f>
        <v>87.039539862688216</v>
      </c>
      <c r="Y8" s="340"/>
      <c r="Z8" s="382">
        <f>Z7/SUM('1501 Summary'!AB6)</f>
        <v>116.74400737530533</v>
      </c>
      <c r="AA8" s="9"/>
      <c r="AC8" s="737"/>
      <c r="AD8" s="738"/>
    </row>
    <row r="9" spans="2:30" x14ac:dyDescent="0.25">
      <c r="B9" s="58">
        <v>5</v>
      </c>
      <c r="C9" s="85" t="s">
        <v>277</v>
      </c>
      <c r="D9" s="86">
        <f>'Weather Normalization'!J4</f>
        <v>14853300.607932108</v>
      </c>
      <c r="E9" s="86"/>
      <c r="F9" s="86">
        <f>'Weather Normalization'!J5</f>
        <v>11872180.774175381</v>
      </c>
      <c r="G9" s="86"/>
      <c r="H9" s="86">
        <f>'Weather Normalization'!J6</f>
        <v>9484536.818317553</v>
      </c>
      <c r="I9" s="86"/>
      <c r="J9" s="86">
        <f>'Weather Normalization'!J7</f>
        <v>6162633.5881015919</v>
      </c>
      <c r="K9" s="86"/>
      <c r="L9" s="86">
        <f>'Weather Normalization'!J8</f>
        <v>4478189.5980950147</v>
      </c>
      <c r="M9" s="86"/>
      <c r="N9" s="86">
        <f>'Weather Normalization'!J9</f>
        <v>3150663.1401956589</v>
      </c>
      <c r="O9" s="86"/>
      <c r="P9" s="86">
        <f>'Weather Normalization'!J10</f>
        <v>3112806.7024267702</v>
      </c>
      <c r="Q9" s="86"/>
      <c r="R9" s="86">
        <f>'Weather Normalization'!J11</f>
        <v>3114703.9411617112</v>
      </c>
      <c r="S9" s="86"/>
      <c r="T9" s="86">
        <f>'Weather Normalization'!J12</f>
        <v>3787984.9158109231</v>
      </c>
      <c r="U9" s="86"/>
      <c r="V9" s="86">
        <f>'Weather Normalization'!J13</f>
        <v>7163297.2456065919</v>
      </c>
      <c r="W9" s="86"/>
      <c r="X9" s="86">
        <f>'Weather Normalization'!J14</f>
        <v>11025641.995172838</v>
      </c>
      <c r="Y9" s="86"/>
      <c r="Z9" s="97">
        <f>'Weather Normalization'!J15</f>
        <v>14473775.72704928</v>
      </c>
      <c r="AA9" s="9"/>
      <c r="AC9" s="739" t="s">
        <v>612</v>
      </c>
      <c r="AD9" s="740"/>
    </row>
    <row r="10" spans="2:30" s="287" customFormat="1" x14ac:dyDescent="0.25">
      <c r="B10" s="381">
        <v>6</v>
      </c>
      <c r="C10" s="341" t="s">
        <v>223</v>
      </c>
      <c r="D10" s="342">
        <f>D9/SUM('1501 Summary'!F30, '1501 Summary'!F49)</f>
        <v>557.42354025481166</v>
      </c>
      <c r="E10" s="342"/>
      <c r="F10" s="342">
        <f>F9/SUM('1501 Summary'!H30, '1501 Summary'!H49)</f>
        <v>444.86372066237368</v>
      </c>
      <c r="G10" s="342"/>
      <c r="H10" s="342">
        <f>H9/SUM('1501 Summary'!J30, '1501 Summary'!J49)</f>
        <v>354.44287224177111</v>
      </c>
      <c r="I10" s="342"/>
      <c r="J10" s="342">
        <f>J9/SUM('1501 Summary'!L30, '1501 Summary'!L49)</f>
        <v>230.38743833794129</v>
      </c>
      <c r="K10" s="342"/>
      <c r="L10" s="342">
        <f>L9/SUM('1501 Summary'!N30, '1501 Summary'!N49)</f>
        <v>167.92371374287592</v>
      </c>
      <c r="M10" s="342"/>
      <c r="N10" s="342">
        <f>N9/SUM('1501 Summary'!P30, '1501 Summary'!P49)</f>
        <v>118.68833619644846</v>
      </c>
      <c r="O10" s="342"/>
      <c r="P10" s="342">
        <f>P9/SUM('1501 Summary'!R30, '1501 Summary'!R49)</f>
        <v>117.5220561946151</v>
      </c>
      <c r="Q10" s="342"/>
      <c r="R10" s="342">
        <f>R9/SUM('1501 Summary'!T30, '1501 Summary'!T49)</f>
        <v>118.20290923010975</v>
      </c>
      <c r="S10" s="342"/>
      <c r="T10" s="342">
        <f>T9/SUM('1501 Summary'!V30, '1501 Summary'!V49)</f>
        <v>143.38776611762481</v>
      </c>
      <c r="U10" s="342"/>
      <c r="V10" s="342">
        <f>V9/SUM('1501 Summary'!X30, '1501 Summary'!X49)</f>
        <v>270.24171900277634</v>
      </c>
      <c r="W10" s="342"/>
      <c r="X10" s="342">
        <f>X9/SUM('1501 Summary'!Z30, '1501 Summary'!Z49)</f>
        <v>413.33240844134349</v>
      </c>
      <c r="Y10" s="342"/>
      <c r="Z10" s="383">
        <f>Z9/SUM('1501 Summary'!AB30, '1501 Summary'!AB49)</f>
        <v>539.20112234285591</v>
      </c>
      <c r="AA10" s="9"/>
      <c r="AC10" s="741">
        <v>43800</v>
      </c>
      <c r="AD10" s="740"/>
    </row>
    <row r="11" spans="2:30" x14ac:dyDescent="0.25">
      <c r="B11" s="58">
        <v>7</v>
      </c>
      <c r="C11" s="345" t="s">
        <v>250</v>
      </c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84"/>
      <c r="AA11" s="9"/>
      <c r="AC11" s="742" t="s">
        <v>159</v>
      </c>
      <c r="AD11" s="743">
        <v>498106.94118807081</v>
      </c>
    </row>
    <row r="12" spans="2:30" x14ac:dyDescent="0.25">
      <c r="B12" s="58">
        <v>8</v>
      </c>
      <c r="C12" s="81" t="s">
        <v>251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80"/>
      <c r="AA12" s="9"/>
      <c r="AC12" s="742" t="s">
        <v>127</v>
      </c>
      <c r="AD12" s="743">
        <v>200000</v>
      </c>
    </row>
    <row r="13" spans="2:30" x14ac:dyDescent="0.25">
      <c r="B13" s="58">
        <v>9</v>
      </c>
      <c r="C13" s="80" t="s">
        <v>160</v>
      </c>
      <c r="D13" s="338">
        <f>'1501 Summary'!F181</f>
        <v>78.987171587025941</v>
      </c>
      <c r="E13" s="338"/>
      <c r="F13" s="338">
        <f>'1501 Summary'!H181</f>
        <v>7.0024088286370514</v>
      </c>
      <c r="G13" s="338"/>
      <c r="H13" s="338">
        <f>'1501 Summary'!J181</f>
        <v>0</v>
      </c>
      <c r="I13" s="338"/>
      <c r="J13" s="338">
        <f>'1501 Summary'!L181</f>
        <v>0</v>
      </c>
      <c r="K13" s="338"/>
      <c r="L13" s="338">
        <f>'1501 Summary'!N181</f>
        <v>128.00403338748529</v>
      </c>
      <c r="M13" s="338"/>
      <c r="N13" s="338">
        <f>'1501 Summary'!P181</f>
        <v>151.02795361604393</v>
      </c>
      <c r="O13" s="338"/>
      <c r="P13" s="338">
        <f>'1501 Summary'!R181</f>
        <v>0</v>
      </c>
      <c r="Q13" s="338"/>
      <c r="R13" s="338">
        <f>'1501 Summary'!T181</f>
        <v>163.01607753067054</v>
      </c>
      <c r="S13" s="338"/>
      <c r="T13" s="338">
        <f>'1501 Summary'!V181</f>
        <v>0</v>
      </c>
      <c r="U13" s="338"/>
      <c r="V13" s="338">
        <f>'1501 Summary'!X181</f>
        <v>411.01338860568035</v>
      </c>
      <c r="W13" s="338"/>
      <c r="X13" s="338">
        <f>'1501 Summary'!Z181</f>
        <v>317.01305249005662</v>
      </c>
      <c r="Y13" s="338"/>
      <c r="Z13" s="380">
        <f>'1501 Summary'!AB181</f>
        <v>491.00890706403004</v>
      </c>
      <c r="AA13" s="9"/>
      <c r="AC13" s="742" t="s">
        <v>127</v>
      </c>
      <c r="AD13" s="743">
        <v>800636.39719453675</v>
      </c>
    </row>
    <row r="14" spans="2:30" x14ac:dyDescent="0.25">
      <c r="B14" s="58">
        <v>10</v>
      </c>
      <c r="C14" s="80" t="s">
        <v>161</v>
      </c>
      <c r="D14" s="338">
        <f>'1501 Summary'!F182</f>
        <v>229.23151414539669</v>
      </c>
      <c r="E14" s="338"/>
      <c r="F14" s="338">
        <f>'1501 Summary'!H182</f>
        <v>20.33616932973646</v>
      </c>
      <c r="G14" s="338"/>
      <c r="H14" s="338">
        <f>'1501 Summary'!J182</f>
        <v>0</v>
      </c>
      <c r="I14" s="338"/>
      <c r="J14" s="338">
        <f>'1501 Summary'!L182</f>
        <v>0</v>
      </c>
      <c r="K14" s="338"/>
      <c r="L14" s="338">
        <f>'1501 Summary'!N182</f>
        <v>371.44635816559452</v>
      </c>
      <c r="M14" s="338"/>
      <c r="N14" s="338">
        <f>'1501 Summary'!P182</f>
        <v>0</v>
      </c>
      <c r="O14" s="338"/>
      <c r="P14" s="338">
        <f>'1501 Summary'!R182</f>
        <v>0</v>
      </c>
      <c r="Q14" s="338"/>
      <c r="R14" s="338">
        <f>'1501 Summary'!T182</f>
        <v>0</v>
      </c>
      <c r="S14" s="338"/>
      <c r="T14" s="338">
        <f>'1501 Summary'!V182</f>
        <v>0</v>
      </c>
      <c r="U14" s="338"/>
      <c r="V14" s="338">
        <f>'1501 Summary'!X182</f>
        <v>0</v>
      </c>
      <c r="W14" s="338"/>
      <c r="X14" s="338">
        <f>'1501 Summary'!Z182</f>
        <v>0</v>
      </c>
      <c r="Y14" s="338"/>
      <c r="Z14" s="380">
        <f>'1501 Summary'!AB182</f>
        <v>0</v>
      </c>
      <c r="AA14" s="9"/>
      <c r="AC14" s="742" t="s">
        <v>128</v>
      </c>
      <c r="AD14" s="744">
        <v>0</v>
      </c>
    </row>
    <row r="15" spans="2:30" x14ac:dyDescent="0.25">
      <c r="B15" s="58">
        <v>11</v>
      </c>
      <c r="C15" s="81">
        <v>505</v>
      </c>
      <c r="D15" s="338"/>
      <c r="E15" s="338"/>
      <c r="F15" s="338"/>
      <c r="G15" s="623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80"/>
      <c r="AA15" s="9"/>
      <c r="AC15" s="742" t="s">
        <v>26</v>
      </c>
      <c r="AD15" s="743">
        <f>SUM(AD11:AD14)</f>
        <v>1498743.3383826076</v>
      </c>
    </row>
    <row r="16" spans="2:30" x14ac:dyDescent="0.25">
      <c r="B16" s="58">
        <v>12</v>
      </c>
      <c r="C16" s="80" t="s">
        <v>160</v>
      </c>
      <c r="D16" s="338">
        <f>'1501 Summary'!F102</f>
        <v>191473.41885608647</v>
      </c>
      <c r="E16" s="338"/>
      <c r="F16" s="338">
        <f>'1501 Summary'!H102</f>
        <v>194768.36031594867</v>
      </c>
      <c r="G16" s="624"/>
      <c r="H16" s="338">
        <f>'1501 Summary'!J102</f>
        <v>206171.19489104254</v>
      </c>
      <c r="I16" s="338"/>
      <c r="J16" s="338">
        <f>'1501 Summary'!L102</f>
        <v>180644.66976639963</v>
      </c>
      <c r="K16" s="338"/>
      <c r="L16" s="338">
        <f>'1501 Summary'!N102</f>
        <v>137895.52406027674</v>
      </c>
      <c r="M16" s="338"/>
      <c r="N16" s="338">
        <f>'1501 Summary'!P102</f>
        <v>105357.51498515491</v>
      </c>
      <c r="O16" s="338"/>
      <c r="P16" s="338">
        <f>'1501 Summary'!R102</f>
        <v>88550.221276118988</v>
      </c>
      <c r="Q16" s="338"/>
      <c r="R16" s="338">
        <f>'1501 Summary'!T102</f>
        <v>84408.100386532969</v>
      </c>
      <c r="S16" s="338"/>
      <c r="T16" s="338">
        <f>'1501 Summary'!V102</f>
        <v>90582.432356730715</v>
      </c>
      <c r="U16" s="338"/>
      <c r="V16" s="338">
        <f>'1501 Summary'!X102</f>
        <v>129677.44103971767</v>
      </c>
      <c r="W16" s="338"/>
      <c r="X16" s="338">
        <f>'1501 Summary'!Z102</f>
        <v>172551.95787350848</v>
      </c>
      <c r="Y16" s="338"/>
      <c r="Z16" s="380">
        <f>'1501 Summary'!AB102</f>
        <v>190723.32082236288</v>
      </c>
      <c r="AA16" s="9"/>
      <c r="AC16" s="741">
        <v>43770</v>
      </c>
      <c r="AD16" s="740"/>
    </row>
    <row r="17" spans="2:32" x14ac:dyDescent="0.25">
      <c r="B17" s="58">
        <v>13</v>
      </c>
      <c r="C17" s="80" t="s">
        <v>161</v>
      </c>
      <c r="D17" s="338">
        <f>'1501 Summary'!F103</f>
        <v>688140.62391920865</v>
      </c>
      <c r="E17" s="338"/>
      <c r="F17" s="338">
        <f>'1501 Summary'!H103</f>
        <v>709661.68638030009</v>
      </c>
      <c r="G17" s="623"/>
      <c r="H17" s="338">
        <f>'1501 Summary'!J103</f>
        <v>770116.48336446017</v>
      </c>
      <c r="I17" s="338"/>
      <c r="J17" s="338">
        <f>'1501 Summary'!L103</f>
        <v>577002.69765511516</v>
      </c>
      <c r="K17" s="338"/>
      <c r="L17" s="338">
        <f>'1501 Summary'!N103</f>
        <v>401254.8246524175</v>
      </c>
      <c r="M17" s="338"/>
      <c r="N17" s="338">
        <f>'1501 Summary'!P103</f>
        <v>300279.44940167386</v>
      </c>
      <c r="O17" s="338"/>
      <c r="P17" s="338">
        <f>'1501 Summary'!R103</f>
        <v>273632.56553918513</v>
      </c>
      <c r="Q17" s="338"/>
      <c r="R17" s="338">
        <f>'1501 Summary'!T103</f>
        <v>272914.15923082241</v>
      </c>
      <c r="S17" s="338"/>
      <c r="T17" s="338">
        <f>'1501 Summary'!V103</f>
        <v>293937.8847617071</v>
      </c>
      <c r="U17" s="338"/>
      <c r="V17" s="338">
        <f>'1501 Summary'!X103</f>
        <v>398691.08390399109</v>
      </c>
      <c r="W17" s="338"/>
      <c r="X17" s="338">
        <f>'1501 Summary'!Z103</f>
        <v>536978.55710036657</v>
      </c>
      <c r="Y17" s="338"/>
      <c r="Z17" s="380">
        <f>'1501 Summary'!AB103</f>
        <v>663264.02434806665</v>
      </c>
      <c r="AA17" s="9"/>
      <c r="AC17" s="742" t="s">
        <v>159</v>
      </c>
      <c r="AD17" s="743">
        <v>450355.99175149901</v>
      </c>
      <c r="AF17" s="9"/>
    </row>
    <row r="18" spans="2:32" x14ac:dyDescent="0.25">
      <c r="B18" s="58">
        <v>14</v>
      </c>
      <c r="C18" s="80" t="s">
        <v>162</v>
      </c>
      <c r="D18" s="338">
        <f>'1501 Summary'!F104</f>
        <v>554113.81239242689</v>
      </c>
      <c r="E18" s="338"/>
      <c r="F18" s="338">
        <f>'1501 Summary'!H104</f>
        <v>711733.00344234076</v>
      </c>
      <c r="G18" s="623"/>
      <c r="H18" s="338">
        <f>'1501 Summary'!J104</f>
        <v>818456.18187033839</v>
      </c>
      <c r="I18" s="338"/>
      <c r="J18" s="338">
        <f>'1501 Summary'!L104</f>
        <v>573665.80608146871</v>
      </c>
      <c r="K18" s="338"/>
      <c r="L18" s="338">
        <f>'1501 Summary'!N104</f>
        <v>250735.08318990245</v>
      </c>
      <c r="M18" s="338"/>
      <c r="N18" s="338">
        <f>'1501 Summary'!P104</f>
        <v>173406.7699368904</v>
      </c>
      <c r="O18" s="338"/>
      <c r="P18" s="338">
        <f>'1501 Summary'!R104</f>
        <v>174990.89213998851</v>
      </c>
      <c r="Q18" s="338"/>
      <c r="R18" s="338">
        <f>'1501 Summary'!T104</f>
        <v>207087.06253585772</v>
      </c>
      <c r="S18" s="338"/>
      <c r="T18" s="338">
        <f>'1501 Summary'!V104</f>
        <v>267470.09466437175</v>
      </c>
      <c r="U18" s="338"/>
      <c r="V18" s="338">
        <f>'1501 Summary'!X104</f>
        <v>745993.83247274812</v>
      </c>
      <c r="W18" s="338"/>
      <c r="X18" s="338">
        <f>'1501 Summary'!Z104</f>
        <v>449103.98737808369</v>
      </c>
      <c r="Y18" s="338"/>
      <c r="Z18" s="380">
        <f>'1501 Summary'!AB104</f>
        <v>568661.79001721169</v>
      </c>
      <c r="AA18" s="9"/>
      <c r="AC18" s="742" t="s">
        <v>127</v>
      </c>
      <c r="AD18" s="743">
        <v>200000</v>
      </c>
      <c r="AF18" s="9"/>
    </row>
    <row r="19" spans="2:32" x14ac:dyDescent="0.25">
      <c r="B19" s="58">
        <v>15</v>
      </c>
      <c r="C19" s="81" t="s">
        <v>559</v>
      </c>
      <c r="D19" s="338">
        <f>SUM(D12:D18)</f>
        <v>1434036.0738534546</v>
      </c>
      <c r="E19" s="338"/>
      <c r="F19" s="338">
        <f t="shared" ref="F19:Z19" si="0">SUM(F12:F18)</f>
        <v>1616190.388716748</v>
      </c>
      <c r="G19" s="623"/>
      <c r="H19" s="338">
        <f t="shared" si="0"/>
        <v>1794743.8601258411</v>
      </c>
      <c r="I19" s="338"/>
      <c r="J19" s="338">
        <f t="shared" si="0"/>
        <v>1331313.1735029835</v>
      </c>
      <c r="K19" s="338"/>
      <c r="L19" s="338">
        <f t="shared" si="0"/>
        <v>790384.88229414984</v>
      </c>
      <c r="M19" s="338"/>
      <c r="N19" s="338">
        <f t="shared" si="0"/>
        <v>579194.76227733516</v>
      </c>
      <c r="O19" s="338"/>
      <c r="P19" s="338">
        <f t="shared" si="0"/>
        <v>537173.67895529268</v>
      </c>
      <c r="Q19" s="338"/>
      <c r="R19" s="338">
        <f t="shared" si="0"/>
        <v>564572.33823074377</v>
      </c>
      <c r="S19" s="338"/>
      <c r="T19" s="338">
        <f t="shared" si="0"/>
        <v>651990.41178280953</v>
      </c>
      <c r="U19" s="338"/>
      <c r="V19" s="338">
        <f t="shared" si="0"/>
        <v>1274773.3708050626</v>
      </c>
      <c r="W19" s="338"/>
      <c r="X19" s="338">
        <f t="shared" si="0"/>
        <v>1158951.5154044488</v>
      </c>
      <c r="Y19" s="338"/>
      <c r="Z19" s="380">
        <f t="shared" si="0"/>
        <v>1423140.1440947051</v>
      </c>
      <c r="AA19" s="9"/>
      <c r="AC19" s="742" t="s">
        <v>127</v>
      </c>
      <c r="AD19" s="743">
        <v>697005.16795865633</v>
      </c>
      <c r="AF19" s="9"/>
    </row>
    <row r="20" spans="2:32" x14ac:dyDescent="0.25">
      <c r="B20" s="58">
        <v>16</v>
      </c>
      <c r="C20" s="81" t="s">
        <v>236</v>
      </c>
      <c r="D20" s="338">
        <f>SUM(D16,D13)/SUM('1501 Summary'!F101,'1501 Summary'!F180)</f>
        <v>398.23785036938358</v>
      </c>
      <c r="E20" s="338"/>
      <c r="F20" s="338">
        <f>SUM(F16,F13)/SUM('1501 Summary'!H101,'1501 Summary'!H180)</f>
        <v>406.62914973857477</v>
      </c>
      <c r="G20" s="623"/>
      <c r="H20" s="338">
        <f>SUM(H16,H13)/SUM('1501 Summary'!J101,'1501 Summary'!J180)</f>
        <v>421.61798546225469</v>
      </c>
      <c r="I20" s="338"/>
      <c r="J20" s="338">
        <f>SUM(J16,J13)/SUM('1501 Summary'!L101,'1501 Summary'!L180)</f>
        <v>375.56064400498883</v>
      </c>
      <c r="K20" s="338"/>
      <c r="L20" s="338">
        <f>SUM(L16,L13)/SUM('1501 Summary'!N101,'1501 Summary'!N180)</f>
        <v>290.57584861824051</v>
      </c>
      <c r="M20" s="338"/>
      <c r="N20" s="338">
        <f>SUM(N16,N13)/SUM('1501 Summary'!P101,'1501 Summary'!P180)</f>
        <v>218.44418827902888</v>
      </c>
      <c r="O20" s="338"/>
      <c r="P20" s="338">
        <f>SUM(P16,P13)/SUM('1501 Summary'!R101,'1501 Summary'!R180)</f>
        <v>185.25150894585562</v>
      </c>
      <c r="Q20" s="338"/>
      <c r="R20" s="338">
        <f>SUM(R16,R13)/SUM('1501 Summary'!T101,'1501 Summary'!T180)</f>
        <v>172.94706843366797</v>
      </c>
      <c r="S20" s="338"/>
      <c r="T20" s="338">
        <f>SUM(T16,T13)/SUM('1501 Summary'!V101,'1501 Summary'!V180)</f>
        <v>188.713400743189</v>
      </c>
      <c r="U20" s="338"/>
      <c r="V20" s="338">
        <f>SUM(V16,V13)/SUM('1501 Summary'!X101,'1501 Summary'!X180)</f>
        <v>272.72212668411606</v>
      </c>
      <c r="W20" s="338"/>
      <c r="X20" s="338">
        <f>SUM(X16,X13)/SUM('1501 Summary'!Z101,'1501 Summary'!Z180)</f>
        <v>357.90677210351663</v>
      </c>
      <c r="Y20" s="338"/>
      <c r="Z20" s="380">
        <f>SUM(Z16,Z13)/SUM('1501 Summary'!AB101,'1501 Summary'!AB180)</f>
        <v>391.83264288816991</v>
      </c>
      <c r="AA20" s="9"/>
      <c r="AC20" s="742" t="s">
        <v>128</v>
      </c>
      <c r="AD20" s="744">
        <v>0</v>
      </c>
    </row>
    <row r="21" spans="2:32" x14ac:dyDescent="0.25">
      <c r="B21" s="58">
        <v>17</v>
      </c>
      <c r="C21" s="81" t="s">
        <v>237</v>
      </c>
      <c r="D21" s="338">
        <f>SUM(D17,D14)/SUM('1501 Summary'!F101,'1501 Summary'!F180)</f>
        <v>1431.1223605683035</v>
      </c>
      <c r="E21" s="338"/>
      <c r="F21" s="338">
        <f>SUM(F17,F14)/SUM('1501 Summary'!H101,'1501 Summary'!H180)</f>
        <v>1481.5908612727135</v>
      </c>
      <c r="G21" s="623"/>
      <c r="H21" s="338">
        <f>SUM(H17,H14)/SUM('1501 Summary'!J101,'1501 Summary'!J180)</f>
        <v>1574.8803340786508</v>
      </c>
      <c r="I21" s="338"/>
      <c r="J21" s="338">
        <f>SUM(J17,J14)/SUM('1501 Summary'!L101,'1501 Summary'!L180)</f>
        <v>1199.5898080147924</v>
      </c>
      <c r="K21" s="338"/>
      <c r="L21" s="338">
        <f>SUM(L17,L14)/SUM('1501 Summary'!N101,'1501 Summary'!N180)</f>
        <v>845.52899160122752</v>
      </c>
      <c r="M21" s="338"/>
      <c r="N21" s="338">
        <f>SUM(N17,N14)/SUM('1501 Summary'!P101,'1501 Summary'!P180)</f>
        <v>621.69658261216125</v>
      </c>
      <c r="O21" s="338"/>
      <c r="P21" s="338">
        <f>SUM(P17,P14)/SUM('1501 Summary'!R101,'1501 Summary'!R180)</f>
        <v>572.45306598155889</v>
      </c>
      <c r="Q21" s="338"/>
      <c r="R21" s="338">
        <f>SUM(R17,R14)/SUM('1501 Summary'!T101,'1501 Summary'!T180)</f>
        <v>558.1066650937064</v>
      </c>
      <c r="S21" s="338"/>
      <c r="T21" s="338">
        <f>SUM(T17,T14)/SUM('1501 Summary'!V101,'1501 Summary'!V180)</f>
        <v>612.37059325355642</v>
      </c>
      <c r="U21" s="338"/>
      <c r="V21" s="338">
        <f>SUM(V17,V14)/SUM('1501 Summary'!X101,'1501 Summary'!X180)</f>
        <v>835.83036457859771</v>
      </c>
      <c r="W21" s="338"/>
      <c r="X21" s="338">
        <f>SUM(X17,X14)/SUM('1501 Summary'!Z101,'1501 Summary'!Z180)</f>
        <v>1111.7568469986886</v>
      </c>
      <c r="Y21" s="338"/>
      <c r="Z21" s="380">
        <f>SUM(Z17,Z14)/SUM('1501 Summary'!AB101,'1501 Summary'!AB180)</f>
        <v>1359.1475908771858</v>
      </c>
      <c r="AA21" s="9"/>
      <c r="AC21" s="742"/>
      <c r="AD21" s="743">
        <v>1347361.1597101553</v>
      </c>
      <c r="AF21" s="9"/>
    </row>
    <row r="22" spans="2:32" ht="15.75" thickBot="1" x14ac:dyDescent="0.3">
      <c r="B22" s="58">
        <v>18</v>
      </c>
      <c r="C22" s="81" t="s">
        <v>238</v>
      </c>
      <c r="D22" s="338">
        <f>SUM(D18)/SUM('1501 Summary'!F101,'1501 Summary'!F180)</f>
        <v>1152.0037679676234</v>
      </c>
      <c r="E22" s="338"/>
      <c r="F22" s="338">
        <f>SUM(F18)/SUM('1501 Summary'!H101,'1501 Summary'!H180)</f>
        <v>1485.8726585435088</v>
      </c>
      <c r="G22" s="338"/>
      <c r="H22" s="338">
        <f>SUM(H18)/SUM('1501 Summary'!J101,'1501 Summary'!J180)</f>
        <v>1673.7345232522257</v>
      </c>
      <c r="I22" s="338"/>
      <c r="J22" s="338">
        <f>SUM(J18)/SUM('1501 Summary'!L101,'1501 Summary'!L180)</f>
        <v>1192.652403495777</v>
      </c>
      <c r="K22" s="338"/>
      <c r="L22" s="338">
        <f>SUM(L18)/SUM('1501 Summary'!N101,'1501 Summary'!N180)</f>
        <v>527.8633330313736</v>
      </c>
      <c r="M22" s="338"/>
      <c r="N22" s="338">
        <f>SUM(N18)/SUM('1501 Summary'!P101,'1501 Summary'!P180)</f>
        <v>359.02022761260952</v>
      </c>
      <c r="O22" s="338"/>
      <c r="P22" s="338">
        <f>SUM(P18)/SUM('1501 Summary'!R101,'1501 Summary'!R180)</f>
        <v>366.08973251043625</v>
      </c>
      <c r="Q22" s="338"/>
      <c r="R22" s="338">
        <f>SUM(R18)/SUM('1501 Summary'!T101,'1501 Summary'!T180)</f>
        <v>423.4909254312019</v>
      </c>
      <c r="S22" s="338"/>
      <c r="T22" s="338">
        <f>SUM(T18)/SUM('1501 Summary'!V101,'1501 Summary'!V180)</f>
        <v>557.22936388410778</v>
      </c>
      <c r="U22" s="338"/>
      <c r="V22" s="338">
        <f>SUM(V18)/SUM('1501 Summary'!X101,'1501 Summary'!X180)</f>
        <v>1563.9283699638324</v>
      </c>
      <c r="W22" s="338"/>
      <c r="X22" s="338">
        <f>SUM(X18)/SUM('1501 Summary'!Z101,'1501 Summary'!Z180)</f>
        <v>929.82192003744035</v>
      </c>
      <c r="Y22" s="338"/>
      <c r="Z22" s="671">
        <f>SUM(Z18)/SUM('1501 Summary'!AB101,'1501 Summary'!AB180)</f>
        <v>1165.2905533139583</v>
      </c>
      <c r="AA22" s="673"/>
      <c r="AB22" s="669"/>
      <c r="AC22" s="745"/>
      <c r="AD22" s="746"/>
    </row>
    <row r="23" spans="2:32" s="70" customFormat="1" x14ac:dyDescent="0.25">
      <c r="B23" s="58">
        <v>19</v>
      </c>
      <c r="C23" s="345" t="s">
        <v>224</v>
      </c>
      <c r="D23" s="347">
        <f>D19/SUM('1501 Summary'!F101+'1501 Summary'!F180)</f>
        <v>2981.3639789053109</v>
      </c>
      <c r="E23" s="347"/>
      <c r="F23" s="347">
        <f>F19/SUM('1501 Summary'!H101+'1501 Summary'!H180)</f>
        <v>3374.0926695547973</v>
      </c>
      <c r="G23" s="347"/>
      <c r="H23" s="347">
        <f>H19/SUM('1501 Summary'!J101+'1501 Summary'!J180)</f>
        <v>3670.2328427931311</v>
      </c>
      <c r="I23" s="347"/>
      <c r="J23" s="347">
        <f>J19/SUM('1501 Summary'!L101+'1501 Summary'!L180)</f>
        <v>2767.8028555155583</v>
      </c>
      <c r="K23" s="347"/>
      <c r="L23" s="347">
        <f>L19/SUM('1501 Summary'!N101+'1501 Summary'!N180)</f>
        <v>1663.9681732508418</v>
      </c>
      <c r="M23" s="347"/>
      <c r="N23" s="347">
        <f>N19/SUM('1501 Summary'!P101+'1501 Summary'!P180)</f>
        <v>1199.1609985037994</v>
      </c>
      <c r="O23" s="347"/>
      <c r="P23" s="347">
        <f>P19/SUM('1501 Summary'!R101+'1501 Summary'!R180)</f>
        <v>1123.7943074378509</v>
      </c>
      <c r="Q23" s="347"/>
      <c r="R23" s="347">
        <f>R19/SUM('1501 Summary'!T101+'1501 Summary'!T180)</f>
        <v>1154.5446589585763</v>
      </c>
      <c r="S23" s="347"/>
      <c r="T23" s="347">
        <f>T19/SUM('1501 Summary'!V101+'1501 Summary'!V180)</f>
        <v>1358.3133578808531</v>
      </c>
      <c r="U23" s="347"/>
      <c r="V23" s="347">
        <f>V19/SUM('1501 Summary'!X101+'1501 Summary'!X180)</f>
        <v>2672.4808612265465</v>
      </c>
      <c r="W23" s="347"/>
      <c r="X23" s="347">
        <f>X19/SUM('1501 Summary'!Z101+'1501 Summary'!Z180)</f>
        <v>2399.4855391396454</v>
      </c>
      <c r="Y23" s="347"/>
      <c r="Z23" s="672">
        <f>Z19/SUM('1501 Summary'!AB101+'1501 Summary'!AB180)</f>
        <v>2916.2707870793138</v>
      </c>
      <c r="AA23" s="673"/>
      <c r="AB23" s="674"/>
      <c r="AC23" s="670"/>
    </row>
    <row r="24" spans="2:32" x14ac:dyDescent="0.25">
      <c r="B24" s="58">
        <v>20</v>
      </c>
      <c r="C24" s="343" t="s">
        <v>558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660"/>
      <c r="AA24" s="673"/>
      <c r="AB24" s="669"/>
      <c r="AC24" s="645"/>
    </row>
    <row r="25" spans="2:32" x14ac:dyDescent="0.25">
      <c r="B25" s="58">
        <v>21</v>
      </c>
      <c r="C25" s="343" t="s">
        <v>539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660"/>
      <c r="AA25" s="845"/>
      <c r="AB25" s="845"/>
      <c r="AC25" s="645"/>
    </row>
    <row r="26" spans="2:32" x14ac:dyDescent="0.25">
      <c r="B26" s="58">
        <v>22</v>
      </c>
      <c r="C26" s="85" t="s">
        <v>163</v>
      </c>
      <c r="D26" s="86">
        <f>'1501 Summary'!F75</f>
        <v>0</v>
      </c>
      <c r="E26" s="86"/>
      <c r="F26" s="86">
        <f>'1501 Summary'!H75</f>
        <v>0</v>
      </c>
      <c r="G26" s="86"/>
      <c r="H26" s="86">
        <f>'1501 Summary'!J75</f>
        <v>0</v>
      </c>
      <c r="I26" s="86"/>
      <c r="J26" s="86">
        <f>'1501 Summary'!L75</f>
        <v>0</v>
      </c>
      <c r="K26" s="86"/>
      <c r="L26" s="86">
        <f>'1501 Summary'!N75</f>
        <v>0</v>
      </c>
      <c r="M26" s="86"/>
      <c r="N26" s="86">
        <f>'1501 Summary'!P75</f>
        <v>0</v>
      </c>
      <c r="O26" s="86"/>
      <c r="P26" s="86">
        <f>'1501 Summary'!R75</f>
        <v>0</v>
      </c>
      <c r="Q26" s="86"/>
      <c r="R26" s="86">
        <f>'1501 Summary'!T75</f>
        <v>0</v>
      </c>
      <c r="S26" s="86"/>
      <c r="T26" s="86">
        <f>'1501 Summary'!V75</f>
        <v>0</v>
      </c>
      <c r="U26" s="86"/>
      <c r="V26" s="86">
        <f>'1501 Summary'!X75</f>
        <v>0</v>
      </c>
      <c r="W26" s="86"/>
      <c r="X26" s="86">
        <f>'1501 Summary'!Z75</f>
        <v>130279.97208653174</v>
      </c>
      <c r="Y26" s="86">
        <f>'1501 Summary'!AA75</f>
        <v>18669.12</v>
      </c>
      <c r="Z26" s="660">
        <f>'1501 Summary'!AB75</f>
        <v>137081.99581297973</v>
      </c>
      <c r="AA26" s="675"/>
      <c r="AB26" s="675"/>
      <c r="AC26" s="632"/>
    </row>
    <row r="27" spans="2:32" x14ac:dyDescent="0.25">
      <c r="B27" s="58">
        <v>23</v>
      </c>
      <c r="C27" s="85" t="s">
        <v>164</v>
      </c>
      <c r="D27" s="86">
        <f>'1501 Summary'!F76</f>
        <v>0</v>
      </c>
      <c r="E27" s="86"/>
      <c r="F27" s="86">
        <f>'1501 Summary'!H76</f>
        <v>0</v>
      </c>
      <c r="G27" s="86"/>
      <c r="H27" s="86">
        <f>'1501 Summary'!J76</f>
        <v>0</v>
      </c>
      <c r="I27" s="86"/>
      <c r="J27" s="86">
        <f>'1501 Summary'!L76</f>
        <v>0</v>
      </c>
      <c r="K27" s="86"/>
      <c r="L27" s="86">
        <f>'1501 Summary'!N76</f>
        <v>0</v>
      </c>
      <c r="M27" s="86"/>
      <c r="N27" s="86">
        <f>'1501 Summary'!P76</f>
        <v>0</v>
      </c>
      <c r="O27" s="86"/>
      <c r="P27" s="86">
        <f>'1501 Summary'!R76</f>
        <v>0</v>
      </c>
      <c r="Q27" s="86"/>
      <c r="R27" s="86">
        <f>'1501 Summary'!T76</f>
        <v>0</v>
      </c>
      <c r="S27" s="86"/>
      <c r="T27" s="86">
        <f>'1501 Summary'!V76</f>
        <v>0</v>
      </c>
      <c r="U27" s="86"/>
      <c r="V27" s="86">
        <f>'1501 Summary'!X76</f>
        <v>0</v>
      </c>
      <c r="W27" s="86"/>
      <c r="X27" s="86">
        <f>'1501 Summary'!Z76</f>
        <v>320076.01966496726</v>
      </c>
      <c r="Y27" s="86">
        <f>'1501 Summary'!AA76</f>
        <v>35157.15</v>
      </c>
      <c r="Z27" s="660">
        <f>'1501 Summary'!AB76</f>
        <v>361024.94537509111</v>
      </c>
      <c r="AA27" s="675"/>
      <c r="AB27" s="675"/>
      <c r="AC27" s="632"/>
    </row>
    <row r="28" spans="2:32" x14ac:dyDescent="0.25">
      <c r="B28" s="58">
        <v>24</v>
      </c>
      <c r="C28" s="85" t="s">
        <v>165</v>
      </c>
      <c r="D28" s="86">
        <f>'1501 Summary'!F77</f>
        <v>0</v>
      </c>
      <c r="E28" s="86"/>
      <c r="F28" s="86">
        <f>'1501 Summary'!H77</f>
        <v>0</v>
      </c>
      <c r="G28" s="86"/>
      <c r="H28" s="86">
        <f>'1501 Summary'!J77</f>
        <v>0</v>
      </c>
      <c r="I28" s="86"/>
      <c r="J28" s="86">
        <f>'1501 Summary'!L77</f>
        <v>0</v>
      </c>
      <c r="K28" s="86"/>
      <c r="L28" s="86">
        <f>'1501 Summary'!N77</f>
        <v>0</v>
      </c>
      <c r="M28" s="86"/>
      <c r="N28" s="86">
        <f>'1501 Summary'!P77</f>
        <v>0</v>
      </c>
      <c r="O28" s="86"/>
      <c r="P28" s="86">
        <f>'1501 Summary'!R77</f>
        <v>0</v>
      </c>
      <c r="Q28" s="86"/>
      <c r="R28" s="86">
        <f>'1501 Summary'!T77</f>
        <v>0</v>
      </c>
      <c r="S28" s="86"/>
      <c r="T28" s="86">
        <f>'1501 Summary'!V77</f>
        <v>0</v>
      </c>
      <c r="U28" s="86"/>
      <c r="V28" s="86">
        <f>'1501 Summary'!X77</f>
        <v>0</v>
      </c>
      <c r="W28" s="86"/>
      <c r="X28" s="86">
        <f>'1501 Summary'!Z77</f>
        <v>897005.16795865633</v>
      </c>
      <c r="Y28" s="86">
        <f>'1501 Summary'!AA77</f>
        <v>24299.87</v>
      </c>
      <c r="Z28" s="660">
        <f>'1501 Summary'!AB77</f>
        <v>1000636.3971945368</v>
      </c>
      <c r="AA28" s="675"/>
      <c r="AB28" s="675"/>
      <c r="AC28" s="632"/>
    </row>
    <row r="29" spans="2:32" x14ac:dyDescent="0.25">
      <c r="B29" s="58">
        <v>25</v>
      </c>
      <c r="C29" s="343">
        <v>511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660"/>
      <c r="AA29" s="673"/>
      <c r="AB29" s="669"/>
      <c r="AC29" s="632"/>
    </row>
    <row r="30" spans="2:32" x14ac:dyDescent="0.25">
      <c r="B30" s="58">
        <v>26</v>
      </c>
      <c r="C30" s="85" t="s">
        <v>163</v>
      </c>
      <c r="D30" s="86">
        <f>SUM('1501 Summary'!F129,'1501 Summary'!F155)</f>
        <v>1127045.7780879275</v>
      </c>
      <c r="E30" s="86"/>
      <c r="F30" s="86">
        <f>SUM('1501 Summary'!H129,'1501 Summary'!H155)</f>
        <v>1162245.9176552687</v>
      </c>
      <c r="G30" s="86"/>
      <c r="H30" s="86">
        <f>SUM('1501 Summary'!J129,'1501 Summary'!J155)</f>
        <v>1220204.8848569433</v>
      </c>
      <c r="I30" s="86"/>
      <c r="J30" s="86">
        <f>SUM('1501 Summary'!L129,'1501 Summary'!L155)</f>
        <v>858775.64549895329</v>
      </c>
      <c r="K30" s="86"/>
      <c r="L30" s="86">
        <f>SUM('1501 Summary'!N129,'1501 Summary'!N155)</f>
        <v>594039.8464759246</v>
      </c>
      <c r="M30" s="86"/>
      <c r="N30" s="86">
        <f>SUM('1501 Summary'!P129,'1501 Summary'!P155)</f>
        <v>447418.28332170274</v>
      </c>
      <c r="O30" s="86"/>
      <c r="P30" s="86">
        <f>SUM('1501 Summary'!R129,'1501 Summary'!R155)</f>
        <v>404171.80739706906</v>
      </c>
      <c r="Q30" s="86"/>
      <c r="R30" s="86">
        <f>SUM('1501 Summary'!T129,'1501 Summary'!T155)</f>
        <v>419619.05094207951</v>
      </c>
      <c r="S30" s="86"/>
      <c r="T30" s="86">
        <f>SUM('1501 Summary'!V129,'1501 Summary'!V155)</f>
        <v>379301.18632240058</v>
      </c>
      <c r="U30" s="86"/>
      <c r="V30" s="86">
        <f>SUM('1501 Summary'!X129,'1501 Summary'!X155)</f>
        <v>625535.79902302858</v>
      </c>
      <c r="W30" s="86"/>
      <c r="X30" s="86">
        <f>SUM('1501 Summary'!Z129,'1501 Summary'!Z155)</f>
        <v>865530.14654570818</v>
      </c>
      <c r="Y30" s="86"/>
      <c r="Z30" s="97">
        <f>SUM('1501 Summary'!AB129,'1501 Summary'!AB155)</f>
        <v>1082224.2149337055</v>
      </c>
      <c r="AA30" s="9"/>
    </row>
    <row r="31" spans="2:32" x14ac:dyDescent="0.25">
      <c r="B31" s="58">
        <v>27</v>
      </c>
      <c r="C31" s="85" t="s">
        <v>164</v>
      </c>
      <c r="D31" s="86">
        <f>SUM('1501 Summary'!F130,'1501 Summary'!F156)</f>
        <v>526993.99126001471</v>
      </c>
      <c r="E31" s="86"/>
      <c r="F31" s="86">
        <f>SUM('1501 Summary'!H130,'1501 Summary'!H156)</f>
        <v>522909.1405680991</v>
      </c>
      <c r="G31" s="86"/>
      <c r="H31" s="86">
        <f>SUM('1501 Summary'!J130,'1501 Summary'!J156)</f>
        <v>571373.17916970141</v>
      </c>
      <c r="I31" s="86"/>
      <c r="J31" s="86">
        <f>SUM('1501 Summary'!L130,'1501 Summary'!L156)</f>
        <v>431499.08958485071</v>
      </c>
      <c r="K31" s="86"/>
      <c r="L31" s="86">
        <f>SUM('1501 Summary'!N130,'1501 Summary'!N156)</f>
        <v>342413.87472687545</v>
      </c>
      <c r="M31" s="86"/>
      <c r="N31" s="86">
        <f>SUM('1501 Summary'!P130,'1501 Summary'!P156)</f>
        <v>270032.7749453751</v>
      </c>
      <c r="O31" s="86"/>
      <c r="P31" s="86">
        <f>SUM('1501 Summary'!R130,'1501 Summary'!R156)</f>
        <v>257837.12672978878</v>
      </c>
      <c r="Q31" s="86"/>
      <c r="R31" s="86">
        <f>SUM('1501 Summary'!T130,'1501 Summary'!T156)</f>
        <v>276085.03277494537</v>
      </c>
      <c r="S31" s="86"/>
      <c r="T31" s="86">
        <f>SUM('1501 Summary'!V130,'1501 Summary'!V156)</f>
        <v>253239.89439184271</v>
      </c>
      <c r="U31" s="86"/>
      <c r="V31" s="86">
        <f>SUM('1501 Summary'!X130,'1501 Summary'!X156)</f>
        <v>414269.84705025493</v>
      </c>
      <c r="W31" s="86"/>
      <c r="X31" s="86">
        <f>SUM('1501 Summary'!Z130,'1501 Summary'!Z156)</f>
        <v>502079.02403495996</v>
      </c>
      <c r="Y31" s="86"/>
      <c r="Z31" s="97">
        <f>SUM('1501 Summary'!AB130,'1501 Summary'!AB156)</f>
        <v>425639.20247632917</v>
      </c>
      <c r="AA31" s="856" t="s">
        <v>633</v>
      </c>
      <c r="AB31" s="857"/>
    </row>
    <row r="32" spans="2:32" x14ac:dyDescent="0.25">
      <c r="B32" s="58">
        <v>28</v>
      </c>
      <c r="C32" s="85" t="s">
        <v>165</v>
      </c>
      <c r="D32" s="86">
        <f>SUM('1501 Summary'!F131,'1501 Summary'!F157)</f>
        <v>154555.92469545957</v>
      </c>
      <c r="E32" s="86"/>
      <c r="F32" s="86">
        <f>SUM('1501 Summary'!H131,'1501 Summary'!H157)</f>
        <v>168306.01698043558</v>
      </c>
      <c r="G32" s="86"/>
      <c r="H32" s="86">
        <f>SUM('1501 Summary'!J131,'1501 Summary'!J157)</f>
        <v>202976.74418604653</v>
      </c>
      <c r="I32" s="86"/>
      <c r="J32" s="86">
        <f>SUM('1501 Summary'!L131,'1501 Summary'!L157)</f>
        <v>77614.248800295318</v>
      </c>
      <c r="K32" s="86"/>
      <c r="L32" s="86">
        <f>SUM('1501 Summary'!N131,'1501 Summary'!N157)</f>
        <v>23411.221853082316</v>
      </c>
      <c r="M32" s="86"/>
      <c r="N32" s="86">
        <f>SUM('1501 Summary'!P131,'1501 Summary'!P157)</f>
        <v>37534.883720930236</v>
      </c>
      <c r="O32" s="86"/>
      <c r="P32" s="86">
        <f>SUM('1501 Summary'!R131,'1501 Summary'!R157)</f>
        <v>59310.815799187891</v>
      </c>
      <c r="Q32" s="86"/>
      <c r="R32" s="86">
        <f>SUM('1501 Summary'!T131,'1501 Summary'!T157)</f>
        <v>56877.07641196013</v>
      </c>
      <c r="S32" s="86"/>
      <c r="T32" s="86">
        <f>SUM('1501 Summary'!V131,'1501 Summary'!V157)</f>
        <v>35145.07198228129</v>
      </c>
      <c r="U32" s="86"/>
      <c r="V32" s="86">
        <f>SUM('1501 Summary'!X131,'1501 Summary'!X157)</f>
        <v>74739.018087855293</v>
      </c>
      <c r="W32" s="86"/>
      <c r="X32" s="86">
        <f>SUM('1501 Summary'!Z131,'1501 Summary'!Z157)</f>
        <v>156497.9697305279</v>
      </c>
      <c r="Y32" s="86"/>
      <c r="Z32" s="97">
        <f>SUM('1501 Summary'!AB131,'1501 Summary'!AB157)</f>
        <v>137160.20671834625</v>
      </c>
      <c r="AA32" s="705">
        <v>43770</v>
      </c>
      <c r="AB32" s="705">
        <v>43800</v>
      </c>
    </row>
    <row r="33" spans="2:29" x14ac:dyDescent="0.25">
      <c r="B33" s="58">
        <v>29</v>
      </c>
      <c r="C33" s="85" t="s">
        <v>252</v>
      </c>
      <c r="D33" s="348">
        <f>SUM(D30,D26)/SUM('1501 Summary'!$F$128, '1501 Summary'!$F$154,'1501 Summary'!$F$74)</f>
        <v>12807.338387362812</v>
      </c>
      <c r="E33" s="348"/>
      <c r="F33" s="348">
        <f>SUM(F30,F26)/SUM('1501 Summary'!$H$128, '1501 Summary'!$H$154,'1501 Summary'!$H$74)</f>
        <v>13207.339973355325</v>
      </c>
      <c r="G33" s="348"/>
      <c r="H33" s="348">
        <f>SUM(H30,H26)/SUM('1501 Summary'!$J$128, '1501 Summary'!$J$154,'1501 Summary'!$J$74)</f>
        <v>13557.832053966036</v>
      </c>
      <c r="I33" s="348"/>
      <c r="J33" s="348">
        <f>SUM(J30,J26)/SUM('1501 Summary'!$L$128, '1501 Summary'!$L$154,'1501 Summary'!$L$74)</f>
        <v>10103.24288822298</v>
      </c>
      <c r="K33" s="348"/>
      <c r="L33" s="348">
        <f>SUM(L30,L26)/SUM('1501 Summary'!$N$128, '1501 Summary'!$N$154,'1501 Summary'!$N$74)</f>
        <v>7071.9029342371978</v>
      </c>
      <c r="M33" s="348"/>
      <c r="N33" s="348">
        <f>SUM(N30,N26)/SUM('1501 Summary'!$P$128, '1501 Summary'!$P$154,'1501 Summary'!$P$74)</f>
        <v>5326.4081347821757</v>
      </c>
      <c r="O33" s="348"/>
      <c r="P33" s="348">
        <f>SUM(P30,P26)/SUM('1501 Summary'!$R$128, '1501 Summary'!$R$154,'1501 Summary'!$R$74)</f>
        <v>4754.9624399655186</v>
      </c>
      <c r="Q33" s="348"/>
      <c r="R33" s="348">
        <f>SUM(R30,R26)/SUM('1501 Summary'!$T$128, '1501 Summary'!$T$154,'1501 Summary'!$T$74)</f>
        <v>4714.8207971020174</v>
      </c>
      <c r="S33" s="348"/>
      <c r="T33" s="348">
        <f>SUM(T30,T26)/SUM('1501 Summary'!$V$128, '1501 Summary'!$V$154,'1501 Summary'!$V$74)</f>
        <v>4261.8110822741637</v>
      </c>
      <c r="U33" s="348"/>
      <c r="V33" s="348">
        <f>SUM(V30,V26)/SUM('1501 Summary'!$X$128, '1501 Summary'!$X$154,'1501 Summary'!$X$74)</f>
        <v>7028.4921238542538</v>
      </c>
      <c r="W33" s="348"/>
      <c r="X33" s="348">
        <f>SUM(X30,X26)/SUM('1501 Summary'!$Z$128, '1501 Summary'!$Z$154,'1501 Summary'!$Z$74)</f>
        <v>10161.327741145305</v>
      </c>
      <c r="Y33" s="348"/>
      <c r="Z33" s="348">
        <f>SUM(Z30,Z26)/SUM('1501 Summary'!$AB$128, '1501 Summary'!$AB$154,'1501 Summary'!$AB$74)</f>
        <v>12570.167121099848</v>
      </c>
      <c r="AA33" s="706">
        <f>X30/SUM('1501 Summary'!$Z$128, '1501 Summary'!$Z$154)</f>
        <v>9511.3202917110793</v>
      </c>
      <c r="AB33" s="706">
        <f>Z30/SUM('1501 Summary'!$AB$128, '1501 Summary'!$AB$154)</f>
        <v>12024.713499263395</v>
      </c>
    </row>
    <row r="34" spans="2:29" x14ac:dyDescent="0.25">
      <c r="B34" s="58">
        <v>30</v>
      </c>
      <c r="C34" s="85" t="s">
        <v>253</v>
      </c>
      <c r="D34" s="348">
        <f>SUM(D31,D27)/SUM('1501 Summary'!$F$128, '1501 Summary'!$F$154,'1501 Summary'!$F$74)</f>
        <v>5988.5680825001673</v>
      </c>
      <c r="E34" s="348"/>
      <c r="F34" s="348">
        <f>SUM(F31,F27)/SUM('1501 Summary'!$H$128, '1501 Summary'!$H$154,'1501 Summary'!$H$74)</f>
        <v>5942.1493246374894</v>
      </c>
      <c r="G34" s="348"/>
      <c r="H34" s="348">
        <f>SUM(H31,H27)/SUM('1501 Summary'!$J$128, '1501 Summary'!$J$154,'1501 Summary'!$J$74)</f>
        <v>6348.5908796633494</v>
      </c>
      <c r="I34" s="348"/>
      <c r="J34" s="348">
        <f>SUM(J31,J27)/SUM('1501 Summary'!$L$128, '1501 Summary'!$L$154,'1501 Summary'!$L$74)</f>
        <v>5076.459877468832</v>
      </c>
      <c r="K34" s="348"/>
      <c r="L34" s="348">
        <f>SUM(L31,L27)/SUM('1501 Summary'!$N$128, '1501 Summary'!$N$154,'1501 Summary'!$N$74)</f>
        <v>4076.3556515104219</v>
      </c>
      <c r="M34" s="348"/>
      <c r="N34" s="348">
        <f>SUM(N31,N27)/SUM('1501 Summary'!$P$128, '1501 Summary'!$P$154,'1501 Summary'!$P$74)</f>
        <v>3214.6758922068466</v>
      </c>
      <c r="O34" s="348"/>
      <c r="P34" s="348">
        <f>SUM(P31,P27)/SUM('1501 Summary'!$R$128, '1501 Summary'!$R$154,'1501 Summary'!$R$74)</f>
        <v>3033.3779615269268</v>
      </c>
      <c r="Q34" s="348"/>
      <c r="R34" s="348">
        <f>SUM(R31,R27)/SUM('1501 Summary'!$T$128, '1501 Summary'!$T$154,'1501 Summary'!$T$74)</f>
        <v>3102.0790199432063</v>
      </c>
      <c r="S34" s="348"/>
      <c r="T34" s="348">
        <f>SUM(T31,T27)/SUM('1501 Summary'!$V$128, '1501 Summary'!$V$154,'1501 Summary'!$V$74)</f>
        <v>2845.3920718184572</v>
      </c>
      <c r="U34" s="348"/>
      <c r="V34" s="348">
        <f>SUM(V31,V27)/SUM('1501 Summary'!$X$128, '1501 Summary'!$X$154,'1501 Summary'!$X$74)</f>
        <v>4654.7173825871341</v>
      </c>
      <c r="W34" s="348"/>
      <c r="X34" s="348">
        <f>SUM(X31,X27)/SUM('1501 Summary'!$Z$128, '1501 Summary'!$Z$154,'1501 Summary'!$Z$74)</f>
        <v>8389.337180611501</v>
      </c>
      <c r="Y34" s="348"/>
      <c r="Z34" s="348">
        <f>SUM(Z31,Z27)/SUM('1501 Summary'!$AB$128, '1501 Summary'!$AB$154,'1501 Summary'!$AB$74)</f>
        <v>8109.9396685713436</v>
      </c>
      <c r="AA34" s="706">
        <f>X31/SUM('1501 Summary'!$Z$128, '1501 Summary'!$Z$154)</f>
        <v>5517.3519124720879</v>
      </c>
      <c r="AB34" s="706">
        <f>Z31/SUM('1501 Summary'!$AB$128, '1501 Summary'!$AB$154)</f>
        <v>4729.324471959213</v>
      </c>
    </row>
    <row r="35" spans="2:29" x14ac:dyDescent="0.25">
      <c r="B35" s="58">
        <v>31</v>
      </c>
      <c r="C35" s="85" t="s">
        <v>254</v>
      </c>
      <c r="D35" s="348">
        <f>SUM(D32,D28)/SUM('1501 Summary'!$F$128, '1501 Summary'!$F$154,'1501 Summary'!$F$74)</f>
        <v>1756.317326084768</v>
      </c>
      <c r="E35" s="348"/>
      <c r="F35" s="348">
        <f>SUM(F32,F28)/SUM('1501 Summary'!$H$128, '1501 Summary'!$H$154,'1501 Summary'!$H$74)</f>
        <v>1912.568374777677</v>
      </c>
      <c r="G35" s="348"/>
      <c r="H35" s="348">
        <f>SUM(H32,H28)/SUM('1501 Summary'!$J$128, '1501 Summary'!$J$154,'1501 Summary'!$J$74)</f>
        <v>2255.2971576227392</v>
      </c>
      <c r="I35" s="348"/>
      <c r="J35" s="348">
        <f>SUM(J32,J28)/SUM('1501 Summary'!$L$128, '1501 Summary'!$L$154,'1501 Summary'!$L$74)</f>
        <v>913.10880941523908</v>
      </c>
      <c r="K35" s="348"/>
      <c r="L35" s="348">
        <f>SUM(L32,L28)/SUM('1501 Summary'!$N$128, '1501 Summary'!$N$154,'1501 Summary'!$N$74)</f>
        <v>278.70502206050378</v>
      </c>
      <c r="M35" s="348"/>
      <c r="N35" s="348">
        <f>SUM(N32,N28)/SUM('1501 Summary'!$P$128, '1501 Summary'!$P$154,'1501 Summary'!$P$74)</f>
        <v>446.84385382059804</v>
      </c>
      <c r="O35" s="348"/>
      <c r="P35" s="348">
        <f>SUM(P32,P28)/SUM('1501 Summary'!$R$128, '1501 Summary'!$R$154,'1501 Summary'!$R$74)</f>
        <v>697.77430351985754</v>
      </c>
      <c r="Q35" s="348"/>
      <c r="R35" s="348">
        <f>SUM(R32,R28)/SUM('1501 Summary'!$T$128, '1501 Summary'!$T$154,'1501 Summary'!$T$74)</f>
        <v>639.06827429168686</v>
      </c>
      <c r="S35" s="348"/>
      <c r="T35" s="348">
        <f>SUM(T32,T28)/SUM('1501 Summary'!$V$128, '1501 Summary'!$V$154,'1501 Summary'!$V$74)</f>
        <v>394.88844923911563</v>
      </c>
      <c r="U35" s="348"/>
      <c r="V35" s="348">
        <f>SUM(V32,V28)/SUM('1501 Summary'!$X$128, '1501 Summary'!$X$154,'1501 Summary'!$X$74)</f>
        <v>839.76424817814939</v>
      </c>
      <c r="W35" s="348"/>
      <c r="X35" s="348">
        <f>SUM(X32,X28)/SUM('1501 Summary'!$Z$128, '1501 Summary'!$Z$154,'1501 Summary'!$Z$74)</f>
        <v>10750.032017236574</v>
      </c>
      <c r="Y35" s="348"/>
      <c r="Z35" s="348">
        <f>SUM(Z32,Z28)/SUM('1501 Summary'!$AB$128, '1501 Summary'!$AB$154,'1501 Summary'!$AB$74)</f>
        <v>11729.861896009103</v>
      </c>
      <c r="AA35" s="706">
        <f>X32/SUM('1501 Summary'!$Z$128, '1501 Summary'!$Z$154)</f>
        <v>1719.7579091266803</v>
      </c>
      <c r="AB35" s="706">
        <f>Z32/SUM('1501 Summary'!$AB$128, '1501 Summary'!$AB$154)</f>
        <v>1524.0022968705139</v>
      </c>
    </row>
    <row r="36" spans="2:29" s="70" customFormat="1" x14ac:dyDescent="0.25">
      <c r="B36" s="58">
        <v>32</v>
      </c>
      <c r="C36" s="343" t="s">
        <v>225</v>
      </c>
      <c r="D36" s="349">
        <f>SUM(D30:D32)/SUM('1501 Summary'!F128,'1501 Summary'!F154,'1501 Summary'!F74)</f>
        <v>20552.22379594775</v>
      </c>
      <c r="E36" s="349"/>
      <c r="F36" s="349">
        <f>SUM(F30:F32)/SUM('1501 Summary'!H128,'1501 Summary'!H154,'1501 Summary'!H74)</f>
        <v>21062.057672770494</v>
      </c>
      <c r="G36" s="349"/>
      <c r="H36" s="349">
        <f>SUM(H30:H32)/SUM('1501 Summary'!J128,'1501 Summary'!J154,'1501 Summary'!J74)</f>
        <v>22161.720091252126</v>
      </c>
      <c r="I36" s="349"/>
      <c r="J36" s="349">
        <f>SUM(J30:J32)/SUM('1501 Summary'!L128,'1501 Summary'!L154,'1501 Summary'!L74)</f>
        <v>16092.811575107053</v>
      </c>
      <c r="K36" s="349"/>
      <c r="L36" s="349">
        <f>SUM(L30:L32)/SUM('1501 Summary'!N128,'1501 Summary'!N154,'1501 Summary'!N74)</f>
        <v>11426.963607808124</v>
      </c>
      <c r="M36" s="349"/>
      <c r="N36" s="349">
        <f>SUM(N30:N32)/SUM('1501 Summary'!P128,'1501 Summary'!P154,'1501 Summary'!P74)</f>
        <v>8987.9278808096205</v>
      </c>
      <c r="O36" s="349"/>
      <c r="P36" s="349">
        <f>SUM(P30:P32)/SUM('1501 Summary'!R128,'1501 Summary'!R154,'1501 Summary'!R74)</f>
        <v>8486.1147050123036</v>
      </c>
      <c r="Q36" s="349"/>
      <c r="R36" s="349">
        <f>SUM(R30:R32)/SUM('1501 Summary'!T128,'1501 Summary'!T154,'1501 Summary'!T74)</f>
        <v>8455.9680913369102</v>
      </c>
      <c r="S36" s="349"/>
      <c r="T36" s="349">
        <f>SUM(T30:T32)/SUM('1501 Summary'!V128,'1501 Summary'!V154,'1501 Summary'!V74)</f>
        <v>7502.0916033317362</v>
      </c>
      <c r="U36" s="349"/>
      <c r="V36" s="349">
        <f>SUM(V30:V32)/SUM('1501 Summary'!X128,'1501 Summary'!X154,'1501 Summary'!X74)</f>
        <v>12522.973754619536</v>
      </c>
      <c r="W36" s="349"/>
      <c r="X36" s="704">
        <f>SUM(X26:X32)/SUM('1501 Summary'!Z128,'1501 Summary'!Z154,'1501 Summary'!Z74)</f>
        <v>29300.69693899338</v>
      </c>
      <c r="Y36" s="676"/>
      <c r="Z36" s="704">
        <f>SUM(Z26:Z32)/SUM('1501 Summary'!AB128,'1501 Summary'!AB154,'1501 Summary'!AB74)</f>
        <v>32409.968685680291</v>
      </c>
      <c r="AA36" s="707">
        <f>SUM(X30:X32)/SUM('1501 Summary'!Z128,'1501 Summary'!Z154)</f>
        <v>16748.430113309845</v>
      </c>
      <c r="AB36" s="708">
        <f>SUM(Z30:Z32)/SUM('1501 Summary'!AB128,'1501 Summary'!AB154)</f>
        <v>18278.040268093122</v>
      </c>
    </row>
    <row r="37" spans="2:29" x14ac:dyDescent="0.25">
      <c r="B37" s="58">
        <v>33</v>
      </c>
      <c r="C37" s="345">
        <v>570</v>
      </c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80"/>
      <c r="AA37" s="9"/>
    </row>
    <row r="38" spans="2:29" x14ac:dyDescent="0.25">
      <c r="B38" s="58">
        <v>34</v>
      </c>
      <c r="C38" s="80" t="s">
        <v>168</v>
      </c>
      <c r="D38" s="338">
        <f>'1501 Summary'!F200</f>
        <v>121886.13046231792</v>
      </c>
      <c r="E38" s="338"/>
      <c r="F38" s="338">
        <f>'1501 Summary'!H200</f>
        <v>121680.05066497781</v>
      </c>
      <c r="G38" s="338"/>
      <c r="H38" s="338">
        <f>'1501 Summary'!J200</f>
        <v>123408.99303356554</v>
      </c>
      <c r="I38" s="338"/>
      <c r="J38" s="338">
        <f>'1501 Summary'!L200</f>
        <v>118029.8923369221</v>
      </c>
      <c r="K38" s="338"/>
      <c r="L38" s="338">
        <f>'1501 Summary'!N200</f>
        <v>102877.89740341988</v>
      </c>
      <c r="M38" s="338"/>
      <c r="N38" s="338">
        <f>'1501 Summary'!P200</f>
        <v>90281.950601646604</v>
      </c>
      <c r="O38" s="338"/>
      <c r="P38" s="338">
        <f>'1501 Summary'!R200</f>
        <v>80372.007599746677</v>
      </c>
      <c r="Q38" s="338"/>
      <c r="R38" s="338">
        <f>'1501 Summary'!T200</f>
        <v>99416.972767574407</v>
      </c>
      <c r="S38" s="338"/>
      <c r="T38" s="338">
        <f>'1501 Summary'!V200</f>
        <v>76300.949968334389</v>
      </c>
      <c r="U38" s="338"/>
      <c r="V38" s="338">
        <f>'1501 Summary'!X200</f>
        <v>80596.960101329954</v>
      </c>
      <c r="W38" s="338"/>
      <c r="X38" s="338">
        <f>'1501 Summary'!Z200</f>
        <v>134706.01646611778</v>
      </c>
      <c r="Y38" s="338"/>
      <c r="Z38" s="380">
        <f>'1501 Summary'!AB200</f>
        <v>112878.91070297657</v>
      </c>
      <c r="AA38" s="9"/>
    </row>
    <row r="39" spans="2:29" x14ac:dyDescent="0.25">
      <c r="B39" s="58">
        <v>35</v>
      </c>
      <c r="C39" s="80" t="s">
        <v>169</v>
      </c>
      <c r="D39" s="338">
        <f>'1501 Summary'!F201</f>
        <v>138595.64056939504</v>
      </c>
      <c r="E39" s="338"/>
      <c r="F39" s="338">
        <f>'1501 Summary'!H201</f>
        <v>137130.78291814946</v>
      </c>
      <c r="G39" s="338"/>
      <c r="H39" s="338">
        <f>'1501 Summary'!J201</f>
        <v>146774.91103202847</v>
      </c>
      <c r="I39" s="338"/>
      <c r="J39" s="338">
        <f>'1501 Summary'!L201</f>
        <v>130114.76868327403</v>
      </c>
      <c r="K39" s="338"/>
      <c r="L39" s="338">
        <f>'1501 Summary'!N201</f>
        <v>88588.967971530248</v>
      </c>
      <c r="M39" s="338"/>
      <c r="N39" s="338">
        <f>'1501 Summary'!P201</f>
        <v>51974.199288256234</v>
      </c>
      <c r="O39" s="338"/>
      <c r="P39" s="338">
        <f>'1501 Summary'!R201</f>
        <v>30615.213523131675</v>
      </c>
      <c r="Q39" s="338"/>
      <c r="R39" s="338">
        <f>'1501 Summary'!T201</f>
        <v>20611.20996441281</v>
      </c>
      <c r="S39" s="338"/>
      <c r="T39" s="338">
        <f>'1501 Summary'!V201</f>
        <v>17325.177935943062</v>
      </c>
      <c r="U39" s="338"/>
      <c r="V39" s="338">
        <f>'1501 Summary'!X201</f>
        <v>30845.195729537365</v>
      </c>
      <c r="W39" s="338"/>
      <c r="X39" s="338">
        <f>'1501 Summary'!Z201</f>
        <v>98114.32384341638</v>
      </c>
      <c r="Y39" s="338"/>
      <c r="Z39" s="380">
        <f>'1501 Summary'!AB201</f>
        <v>117354.09252669038</v>
      </c>
      <c r="AA39" s="9"/>
    </row>
    <row r="40" spans="2:29" x14ac:dyDescent="0.25">
      <c r="B40" s="58">
        <v>36</v>
      </c>
      <c r="C40" s="80" t="s">
        <v>256</v>
      </c>
      <c r="D40" s="350">
        <f>D38/'1501 Summary'!F199</f>
        <v>15235.76630778974</v>
      </c>
      <c r="E40" s="350"/>
      <c r="F40" s="350">
        <f>F38/'1501 Summary'!H199</f>
        <v>15210.006333122226</v>
      </c>
      <c r="G40" s="350"/>
      <c r="H40" s="350">
        <f>H38/'1501 Summary'!J199</f>
        <v>15426.124129195692</v>
      </c>
      <c r="I40" s="350"/>
      <c r="J40" s="350">
        <f>J38/'1501 Summary'!L199</f>
        <v>14753.736542115263</v>
      </c>
      <c r="K40" s="350"/>
      <c r="L40" s="350">
        <f>L38/'1501 Summary'!N199</f>
        <v>14696.842486202839</v>
      </c>
      <c r="M40" s="350"/>
      <c r="N40" s="350">
        <f>N38/'1501 Summary'!P199</f>
        <v>12897.421514520944</v>
      </c>
      <c r="O40" s="350"/>
      <c r="P40" s="350">
        <f>P38/'1501 Summary'!R199</f>
        <v>11481.715371392382</v>
      </c>
      <c r="Q40" s="350"/>
      <c r="R40" s="350">
        <f>R38/'1501 Summary'!T199</f>
        <v>12427.121595946801</v>
      </c>
      <c r="S40" s="350"/>
      <c r="T40" s="350">
        <f>T38/'1501 Summary'!V199</f>
        <v>9537.6187460417987</v>
      </c>
      <c r="U40" s="350"/>
      <c r="V40" s="350">
        <f>V38/'1501 Summary'!X199</f>
        <v>10074.620012666244</v>
      </c>
      <c r="W40" s="350"/>
      <c r="X40" s="350">
        <f>X38/'1501 Summary'!Z199</f>
        <v>16838.252058264723</v>
      </c>
      <c r="Y40" s="350"/>
      <c r="Z40" s="367">
        <f>Z38/'1501 Summary'!AB199</f>
        <v>14109.863837872072</v>
      </c>
      <c r="AA40" s="9"/>
    </row>
    <row r="41" spans="2:29" x14ac:dyDescent="0.25">
      <c r="B41" s="58">
        <v>37</v>
      </c>
      <c r="C41" s="80" t="s">
        <v>257</v>
      </c>
      <c r="D41" s="350">
        <f>D39/'1501 Summary'!F199</f>
        <v>17324.45507117438</v>
      </c>
      <c r="E41" s="350"/>
      <c r="F41" s="350">
        <f>F39/'1501 Summary'!H199</f>
        <v>17141.347864768682</v>
      </c>
      <c r="G41" s="350"/>
      <c r="H41" s="350">
        <f>H39/'1501 Summary'!J199</f>
        <v>18346.863879003558</v>
      </c>
      <c r="I41" s="350"/>
      <c r="J41" s="350">
        <f>J39/'1501 Summary'!L199</f>
        <v>16264.346085409254</v>
      </c>
      <c r="K41" s="350"/>
      <c r="L41" s="350">
        <f>L39/'1501 Summary'!N199</f>
        <v>12655.56685307575</v>
      </c>
      <c r="M41" s="350"/>
      <c r="N41" s="350">
        <f>N39/'1501 Summary'!P199</f>
        <v>7424.8856126080336</v>
      </c>
      <c r="O41" s="350"/>
      <c r="P41" s="350">
        <f>P39/'1501 Summary'!R199</f>
        <v>4373.6019318759536</v>
      </c>
      <c r="Q41" s="350"/>
      <c r="R41" s="350">
        <f>R39/'1501 Summary'!T199</f>
        <v>2576.4012455516013</v>
      </c>
      <c r="S41" s="350"/>
      <c r="T41" s="350">
        <f>T39/'1501 Summary'!V199</f>
        <v>2165.6472419928828</v>
      </c>
      <c r="U41" s="350"/>
      <c r="V41" s="350">
        <f>V39/'1501 Summary'!X199</f>
        <v>3855.6494661921706</v>
      </c>
      <c r="W41" s="350"/>
      <c r="X41" s="350">
        <f>X39/'1501 Summary'!Z199</f>
        <v>12264.290480427047</v>
      </c>
      <c r="Y41" s="350"/>
      <c r="Z41" s="367">
        <f>Z39/'1501 Summary'!AB199</f>
        <v>14669.261565836297</v>
      </c>
      <c r="AA41" s="9"/>
    </row>
    <row r="42" spans="2:29" s="70" customFormat="1" x14ac:dyDescent="0.25">
      <c r="B42" s="58">
        <v>38</v>
      </c>
      <c r="C42" s="345" t="s">
        <v>226</v>
      </c>
      <c r="D42" s="351">
        <f>SUM(D38:D39)/SUM('1501 Summary'!F199)</f>
        <v>32560.221378964117</v>
      </c>
      <c r="E42" s="351"/>
      <c r="F42" s="351">
        <f>SUM(F38:F39)/SUM('1501 Summary'!H199)</f>
        <v>32351.354197890909</v>
      </c>
      <c r="G42" s="351"/>
      <c r="H42" s="351">
        <f>SUM(H38:H39)/SUM('1501 Summary'!J199)</f>
        <v>33772.988008199252</v>
      </c>
      <c r="I42" s="351"/>
      <c r="J42" s="351">
        <f>SUM(J38:J39)/SUM('1501 Summary'!L199)</f>
        <v>31018.082627524516</v>
      </c>
      <c r="K42" s="351"/>
      <c r="L42" s="351">
        <f>SUM(L38:L39)/SUM('1501 Summary'!N199)</f>
        <v>27352.409339278587</v>
      </c>
      <c r="M42" s="351"/>
      <c r="N42" s="351">
        <f>SUM(N38:N39)/SUM('1501 Summary'!P199)</f>
        <v>20322.307127128977</v>
      </c>
      <c r="O42" s="351"/>
      <c r="P42" s="351">
        <f>SUM(P38:P39)/SUM('1501 Summary'!R199)</f>
        <v>15855.317303268337</v>
      </c>
      <c r="Q42" s="351"/>
      <c r="R42" s="351">
        <f>SUM(R38:R39)/SUM('1501 Summary'!T199)</f>
        <v>15003.522841498401</v>
      </c>
      <c r="S42" s="351"/>
      <c r="T42" s="351">
        <f>SUM(T38:T39)/SUM('1501 Summary'!V199)</f>
        <v>11703.265988034682</v>
      </c>
      <c r="U42" s="351"/>
      <c r="V42" s="351">
        <f>SUM(V38:V39)/SUM('1501 Summary'!X199)</f>
        <v>13930.269478858416</v>
      </c>
      <c r="W42" s="351"/>
      <c r="X42" s="351">
        <f>SUM(X38:X39)/SUM('1501 Summary'!Z199)</f>
        <v>29102.54253869177</v>
      </c>
      <c r="Y42" s="351"/>
      <c r="Z42" s="385">
        <f>SUM(Z38:Z39)/SUM('1501 Summary'!AB199)</f>
        <v>28779.125403708371</v>
      </c>
      <c r="AA42" s="9"/>
    </row>
    <row r="43" spans="2:29" s="70" customFormat="1" x14ac:dyDescent="0.25">
      <c r="B43" s="58">
        <v>39</v>
      </c>
      <c r="C43" s="343" t="s">
        <v>261</v>
      </c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3"/>
      <c r="Z43" s="353"/>
      <c r="AA43" s="854" t="s">
        <v>634</v>
      </c>
      <c r="AB43" s="855"/>
    </row>
    <row r="44" spans="2:29" s="70" customFormat="1" x14ac:dyDescent="0.25">
      <c r="B44" s="58">
        <v>40</v>
      </c>
      <c r="C44" s="85" t="s">
        <v>159</v>
      </c>
      <c r="D44" s="354">
        <f>'1501 Summary'!F223</f>
        <v>7862115.3629712993</v>
      </c>
      <c r="E44" s="354"/>
      <c r="F44" s="354">
        <f>'1501 Summary'!H223</f>
        <v>8453276.8711311202</v>
      </c>
      <c r="G44" s="354"/>
      <c r="H44" s="354">
        <f>'1501 Summary'!J223</f>
        <v>8557635.9032076523</v>
      </c>
      <c r="I44" s="354"/>
      <c r="J44" s="354">
        <f>'1501 Summary'!L223</f>
        <v>8253032.0765334833</v>
      </c>
      <c r="K44" s="354"/>
      <c r="L44" s="354">
        <f>'1501 Summary'!N223</f>
        <v>7503525.792534234</v>
      </c>
      <c r="M44" s="354"/>
      <c r="N44" s="354">
        <f>'1501 Summary'!P223</f>
        <v>7181359.7824048027</v>
      </c>
      <c r="O44" s="354"/>
      <c r="P44" s="354">
        <f>'1501 Summary'!R223</f>
        <v>7238910.3357718997</v>
      </c>
      <c r="Q44" s="354"/>
      <c r="R44" s="354">
        <f>'1501 Summary'!T223</f>
        <v>7149827.9872444198</v>
      </c>
      <c r="S44" s="354"/>
      <c r="T44" s="354">
        <f>'1501 Summary'!V223</f>
        <v>7170331.4575126609</v>
      </c>
      <c r="U44" s="354"/>
      <c r="V44" s="354">
        <f>'1501 Summary'!X223</f>
        <v>8230819.9212155314</v>
      </c>
      <c r="W44" s="354"/>
      <c r="X44" s="354">
        <f>'1501 Summary'!Z223</f>
        <v>8763705.8713187017</v>
      </c>
      <c r="Y44" s="354"/>
      <c r="Z44" s="662">
        <f>'1501 Summary'!AB223</f>
        <v>7999591.071093603</v>
      </c>
      <c r="AA44" s="709">
        <f>X44+AD17</f>
        <v>9214061.8630702011</v>
      </c>
      <c r="AB44" s="709">
        <f>Z44+AD11</f>
        <v>8497698.012281673</v>
      </c>
      <c r="AC44" s="681"/>
    </row>
    <row r="45" spans="2:29" s="70" customFormat="1" x14ac:dyDescent="0.25">
      <c r="B45" s="58">
        <v>41</v>
      </c>
      <c r="C45" s="85" t="s">
        <v>127</v>
      </c>
      <c r="D45" s="354">
        <f>'1501 Summary'!F224</f>
        <v>5476198.4575835476</v>
      </c>
      <c r="E45" s="354"/>
      <c r="F45" s="354">
        <f>'1501 Summary'!H224</f>
        <v>5770126.992287918</v>
      </c>
      <c r="G45" s="354"/>
      <c r="H45" s="354">
        <f>'1501 Summary'!J224</f>
        <v>5321246.7866323907</v>
      </c>
      <c r="I45" s="354"/>
      <c r="J45" s="354">
        <f>'1501 Summary'!L224</f>
        <v>5312761.4395886892</v>
      </c>
      <c r="K45" s="354"/>
      <c r="L45" s="354">
        <f>'1501 Summary'!N224</f>
        <v>5304661.1825192804</v>
      </c>
      <c r="M45" s="354"/>
      <c r="N45" s="354">
        <f>'1501 Summary'!P224</f>
        <v>5195831.3624678664</v>
      </c>
      <c r="O45" s="354"/>
      <c r="P45" s="354">
        <f>'1501 Summary'!R224</f>
        <v>6592056.5552699231</v>
      </c>
      <c r="Q45" s="354"/>
      <c r="R45" s="354">
        <f>'1501 Summary'!T224</f>
        <v>4648257.5835475586</v>
      </c>
      <c r="S45" s="354"/>
      <c r="T45" s="354">
        <f>'1501 Summary'!V224</f>
        <v>4665568.6375321336</v>
      </c>
      <c r="U45" s="354"/>
      <c r="V45" s="354">
        <f>'1501 Summary'!X224</f>
        <v>5363985.6041131113</v>
      </c>
      <c r="W45" s="354"/>
      <c r="X45" s="354">
        <f>'1501 Summary'!Z224</f>
        <v>6149301.2853470445</v>
      </c>
      <c r="Y45" s="354"/>
      <c r="Z45" s="662">
        <f>'1501 Summary'!AB224</f>
        <v>4930934.7043701801</v>
      </c>
      <c r="AA45" s="709">
        <f>X45+AD18</f>
        <v>6349301.2853470445</v>
      </c>
      <c r="AB45" s="709">
        <f>Z45+AD12</f>
        <v>5130934.7043701801</v>
      </c>
    </row>
    <row r="46" spans="2:29" x14ac:dyDescent="0.25">
      <c r="B46" s="58">
        <v>42</v>
      </c>
      <c r="C46" s="85" t="s">
        <v>127</v>
      </c>
      <c r="D46" s="354">
        <f>'1501 Summary'!F225</f>
        <v>2797255.4991539759</v>
      </c>
      <c r="E46" s="354"/>
      <c r="F46" s="354">
        <f>'1501 Summary'!H225</f>
        <v>2945891.708967851</v>
      </c>
      <c r="G46" s="354"/>
      <c r="H46" s="354">
        <f>'1501 Summary'!J225</f>
        <v>2863669.2047377327</v>
      </c>
      <c r="I46" s="354"/>
      <c r="J46" s="354">
        <f>'1501 Summary'!L225</f>
        <v>2573247.8849407784</v>
      </c>
      <c r="K46" s="354"/>
      <c r="L46" s="354">
        <f>'1501 Summary'!N225</f>
        <v>2547390.8629441625</v>
      </c>
      <c r="M46" s="354"/>
      <c r="N46" s="354">
        <f>'1501 Summary'!P225</f>
        <v>2762310.4906937391</v>
      </c>
      <c r="O46" s="354"/>
      <c r="P46" s="354">
        <f>'1501 Summary'!R225</f>
        <v>0</v>
      </c>
      <c r="Q46" s="354"/>
      <c r="R46" s="354">
        <f>'1501 Summary'!T225</f>
        <v>2180871.4043993233</v>
      </c>
      <c r="S46" s="354"/>
      <c r="T46" s="354">
        <f>'1501 Summary'!V225</f>
        <v>2310089.6785109979</v>
      </c>
      <c r="U46" s="354"/>
      <c r="V46" s="354">
        <f>'1501 Summary'!X225</f>
        <v>2455660.7445008457</v>
      </c>
      <c r="W46" s="354"/>
      <c r="X46" s="354">
        <f>'1501 Summary'!Z225</f>
        <v>2629170.8967851098</v>
      </c>
      <c r="Y46" s="354"/>
      <c r="Z46" s="662">
        <f>'1501 Summary'!AB225</f>
        <v>2231098.9847715735</v>
      </c>
      <c r="AA46" s="709">
        <f>X46+AD19</f>
        <v>3326176.0647437661</v>
      </c>
      <c r="AB46" s="709">
        <f>Z46+AD13</f>
        <v>3031735.3819661103</v>
      </c>
    </row>
    <row r="47" spans="2:29" x14ac:dyDescent="0.25">
      <c r="B47" s="58">
        <v>43</v>
      </c>
      <c r="C47" s="85" t="s">
        <v>128</v>
      </c>
      <c r="D47" s="354">
        <f>'1501 Summary'!F226</f>
        <v>13211284.697508896</v>
      </c>
      <c r="E47" s="354"/>
      <c r="F47" s="354">
        <f>'1501 Summary'!H226</f>
        <v>13907637.010676157</v>
      </c>
      <c r="G47" s="354"/>
      <c r="H47" s="354">
        <f>'1501 Summary'!J226</f>
        <v>13482677.935943061</v>
      </c>
      <c r="I47" s="354"/>
      <c r="J47" s="354">
        <f>'1501 Summary'!L226</f>
        <v>13298076.512455516</v>
      </c>
      <c r="K47" s="354"/>
      <c r="L47" s="354">
        <f>'1501 Summary'!N226</f>
        <v>12506341.637010677</v>
      </c>
      <c r="M47" s="354"/>
      <c r="N47" s="354">
        <f>'1501 Summary'!P226</f>
        <v>14683366.548042705</v>
      </c>
      <c r="O47" s="354"/>
      <c r="P47" s="354">
        <f>'1501 Summary'!R226</f>
        <v>12263814.946619216</v>
      </c>
      <c r="Q47" s="354"/>
      <c r="R47" s="354">
        <f>'1501 Summary'!T226</f>
        <v>12690279.359430604</v>
      </c>
      <c r="S47" s="354"/>
      <c r="T47" s="354">
        <f>'1501 Summary'!V226</f>
        <v>14033218.861209964</v>
      </c>
      <c r="U47" s="354"/>
      <c r="V47" s="354">
        <f>'1501 Summary'!X226</f>
        <v>15854873.665480427</v>
      </c>
      <c r="W47" s="354"/>
      <c r="X47" s="354">
        <f>'1501 Summary'!Z226</f>
        <v>16079957.295373665</v>
      </c>
      <c r="Y47" s="354"/>
      <c r="Z47" s="662">
        <f>'1501 Summary'!AB226</f>
        <v>14656001.77935943</v>
      </c>
      <c r="AA47" s="709">
        <f>X47+AD20</f>
        <v>16079957.295373665</v>
      </c>
      <c r="AB47" s="709">
        <f>Z47+AD14</f>
        <v>14656001.77935943</v>
      </c>
    </row>
    <row r="48" spans="2:29" x14ac:dyDescent="0.25">
      <c r="B48" s="58">
        <v>44</v>
      </c>
      <c r="C48" s="85" t="s">
        <v>258</v>
      </c>
      <c r="D48" s="355">
        <f>D44/'1501 Summary'!F220</f>
        <v>42269.437435329564</v>
      </c>
      <c r="E48" s="355"/>
      <c r="F48" s="355">
        <f>F44/'1501 Summary'!H220</f>
        <v>45447.725113608176</v>
      </c>
      <c r="G48" s="355"/>
      <c r="H48" s="355">
        <f>H44/'1501 Summary'!J220</f>
        <v>46257.491368690011</v>
      </c>
      <c r="I48" s="355"/>
      <c r="J48" s="355">
        <f>J44/'1501 Summary'!L220</f>
        <v>44610.98419747829</v>
      </c>
      <c r="K48" s="355"/>
      <c r="L48" s="355">
        <f>L44/'1501 Summary'!N220</f>
        <v>40125.806377188419</v>
      </c>
      <c r="M48" s="355"/>
      <c r="N48" s="355">
        <f>N44/'1501 Summary'!P220</f>
        <v>37996.612605316419</v>
      </c>
      <c r="O48" s="355"/>
      <c r="P48" s="355">
        <f>P44/'1501 Summary'!R220</f>
        <v>38504.842211552655</v>
      </c>
      <c r="Q48" s="355"/>
      <c r="R48" s="355">
        <f>R44/'1501 Summary'!T220</f>
        <v>38030.999932151171</v>
      </c>
      <c r="S48" s="355"/>
      <c r="T48" s="355">
        <f>T44/'1501 Summary'!V220</f>
        <v>38344.018489372516</v>
      </c>
      <c r="U48" s="355"/>
      <c r="V48" s="355">
        <f>V44/'1501 Summary'!X220</f>
        <v>44251.720006535113</v>
      </c>
      <c r="W48" s="355"/>
      <c r="X48" s="355">
        <f>X44/'1501 Summary'!Z220</f>
        <v>48959.250677758107</v>
      </c>
      <c r="Y48" s="355"/>
      <c r="Z48" s="661">
        <f>Z44/'1501 Summary'!AB220</f>
        <v>44196.635751898357</v>
      </c>
      <c r="AA48" s="709">
        <f>AA44/SUM('1501 Summary'!$Z$220,'1501 Summary'!$Z$74)</f>
        <v>49537.967005753766</v>
      </c>
      <c r="AB48" s="709">
        <f>AB44/SUM('1501 Summary'!$AB$220,'1501 Summary'!$AB$74)</f>
        <v>45200.521341923792</v>
      </c>
    </row>
    <row r="49" spans="2:28" x14ac:dyDescent="0.25">
      <c r="B49" s="58">
        <v>45</v>
      </c>
      <c r="C49" s="85" t="s">
        <v>259</v>
      </c>
      <c r="D49" s="355">
        <f>D45/'1501 Summary'!F220</f>
        <v>29441.927191309394</v>
      </c>
      <c r="E49" s="355"/>
      <c r="F49" s="355">
        <f>F45/'1501 Summary'!H220</f>
        <v>31022.188130580205</v>
      </c>
      <c r="G49" s="355"/>
      <c r="H49" s="355">
        <f>H45/'1501 Summary'!J220</f>
        <v>28763.49614395887</v>
      </c>
      <c r="I49" s="355"/>
      <c r="J49" s="355">
        <f>J45/'1501 Summary'!L220</f>
        <v>28717.629403182105</v>
      </c>
      <c r="K49" s="355"/>
      <c r="L49" s="355">
        <f>L45/'1501 Summary'!N220</f>
        <v>28367.172099033585</v>
      </c>
      <c r="M49" s="355"/>
      <c r="N49" s="355">
        <f>N45/'1501 Summary'!P220</f>
        <v>27491.171229988711</v>
      </c>
      <c r="O49" s="355"/>
      <c r="P49" s="355">
        <f>P45/'1501 Summary'!R220</f>
        <v>35064.130613137888</v>
      </c>
      <c r="Q49" s="355"/>
      <c r="R49" s="355">
        <f>R45/'1501 Summary'!T220</f>
        <v>24724.774380572122</v>
      </c>
      <c r="S49" s="355"/>
      <c r="T49" s="355">
        <f>T45/'1501 Summary'!V220</f>
        <v>24949.564906588948</v>
      </c>
      <c r="U49" s="355"/>
      <c r="V49" s="355">
        <f>V45/'1501 Summary'!X220</f>
        <v>28838.632280178019</v>
      </c>
      <c r="W49" s="355"/>
      <c r="X49" s="355">
        <f>X45/'1501 Summary'!Z220</f>
        <v>34353.638465625947</v>
      </c>
      <c r="Y49" s="355"/>
      <c r="Z49" s="661">
        <f>Z45/'1501 Summary'!AB220</f>
        <v>27242.733173315912</v>
      </c>
      <c r="AA49" s="709">
        <f>AA45/SUM('1501 Summary'!$Z$220,'1501 Summary'!$Z$74)</f>
        <v>34136.028415844325</v>
      </c>
      <c r="AB49" s="709">
        <f>AB45/SUM('1501 Summary'!$AB$220,'1501 Summary'!$AB$74)</f>
        <v>27292.205874309468</v>
      </c>
    </row>
    <row r="50" spans="2:28" x14ac:dyDescent="0.25">
      <c r="B50" s="58">
        <v>46</v>
      </c>
      <c r="C50" s="85" t="s">
        <v>259</v>
      </c>
      <c r="D50" s="355">
        <f>D46/'1501 Summary'!F220</f>
        <v>15039.008059967613</v>
      </c>
      <c r="E50" s="355"/>
      <c r="F50" s="355">
        <f>F46/'1501 Summary'!H220</f>
        <v>15838.127467569091</v>
      </c>
      <c r="G50" s="355"/>
      <c r="H50" s="355">
        <f>H46/'1501 Summary'!J220</f>
        <v>15479.292998582339</v>
      </c>
      <c r="I50" s="355"/>
      <c r="J50" s="355">
        <f>J46/'1501 Summary'!L220</f>
        <v>13909.44802670691</v>
      </c>
      <c r="K50" s="355"/>
      <c r="L50" s="355">
        <f>L46/'1501 Summary'!N220</f>
        <v>13622.411031786965</v>
      </c>
      <c r="M50" s="355"/>
      <c r="N50" s="355">
        <f>N46/'1501 Summary'!P220</f>
        <v>14615.399421659995</v>
      </c>
      <c r="O50" s="355"/>
      <c r="P50" s="355">
        <f>P46/'1501 Summary'!R220</f>
        <v>0</v>
      </c>
      <c r="Q50" s="355"/>
      <c r="R50" s="355">
        <f>R46/'1501 Summary'!T220</f>
        <v>11600.379810634699</v>
      </c>
      <c r="S50" s="355"/>
      <c r="T50" s="355">
        <f>T46/'1501 Summary'!V220</f>
        <v>12353.420740700523</v>
      </c>
      <c r="U50" s="355"/>
      <c r="V50" s="355">
        <f>V46/'1501 Summary'!X220</f>
        <v>13202.477120972289</v>
      </c>
      <c r="W50" s="355"/>
      <c r="X50" s="355">
        <f>X46/'1501 Summary'!Z220</f>
        <v>14688.105568631898</v>
      </c>
      <c r="Y50" s="355"/>
      <c r="Z50" s="661">
        <f>Z46/'1501 Summary'!AB220</f>
        <v>12326.513728019743</v>
      </c>
      <c r="AA50" s="709">
        <f>AA46/SUM('1501 Summary'!$Z$220,'1501 Summary'!$Z$74)</f>
        <v>17882.667014751431</v>
      </c>
      <c r="AB50" s="709">
        <f>AB46/SUM('1501 Summary'!$AB$220,'1501 Summary'!$AB$74)</f>
        <v>16126.25203173463</v>
      </c>
    </row>
    <row r="51" spans="2:28" x14ac:dyDescent="0.25">
      <c r="B51" s="58">
        <v>47</v>
      </c>
      <c r="C51" s="85" t="s">
        <v>260</v>
      </c>
      <c r="D51" s="355">
        <f>D47/'1501 Summary'!F220</f>
        <v>71028.412352198371</v>
      </c>
      <c r="E51" s="355"/>
      <c r="F51" s="355">
        <f>F47/'1501 Summary'!H220</f>
        <v>74772.241992882569</v>
      </c>
      <c r="G51" s="355"/>
      <c r="H51" s="355">
        <f>H47/'1501 Summary'!J220</f>
        <v>72879.340194286822</v>
      </c>
      <c r="I51" s="355"/>
      <c r="J51" s="355">
        <f>J47/'1501 Summary'!L220</f>
        <v>71881.494661921708</v>
      </c>
      <c r="K51" s="355"/>
      <c r="L51" s="355">
        <f>L47/'1501 Summary'!N220</f>
        <v>66878.832283479554</v>
      </c>
      <c r="M51" s="355"/>
      <c r="N51" s="355">
        <f>N47/'1501 Summary'!P220</f>
        <v>77689.770095464046</v>
      </c>
      <c r="O51" s="355"/>
      <c r="P51" s="355">
        <f>P47/'1501 Summary'!R220</f>
        <v>65233.058226697962</v>
      </c>
      <c r="Q51" s="355"/>
      <c r="R51" s="355">
        <f>R47/'1501 Summary'!T220</f>
        <v>67501.485954418109</v>
      </c>
      <c r="S51" s="355"/>
      <c r="T51" s="355">
        <f>T47/'1501 Summary'!V220</f>
        <v>75043.951129465044</v>
      </c>
      <c r="U51" s="355"/>
      <c r="V51" s="355">
        <f>V47/'1501 Summary'!X220</f>
        <v>85241.256266023804</v>
      </c>
      <c r="W51" s="355"/>
      <c r="X51" s="355">
        <f>X47/'1501 Summary'!Z220</f>
        <v>89832.163661305385</v>
      </c>
      <c r="Y51" s="355"/>
      <c r="Z51" s="661">
        <f>Z47/'1501 Summary'!AB220</f>
        <v>80972.385521322823</v>
      </c>
      <c r="AA51" s="709">
        <f>AA47/SUM('1501 Summary'!$Z$220,'1501 Summary'!$Z$74)</f>
        <v>86451.383308460572</v>
      </c>
      <c r="AB51" s="709">
        <f>AB47/SUM('1501 Summary'!$AB$220,'1501 Summary'!$AB$74)</f>
        <v>77957.456273188451</v>
      </c>
    </row>
    <row r="52" spans="2:28" x14ac:dyDescent="0.25">
      <c r="B52" s="58">
        <v>48</v>
      </c>
      <c r="C52" s="343" t="s">
        <v>262</v>
      </c>
      <c r="D52" s="349">
        <f>SUM(D44:D47)/'1501 Summary'!F220</f>
        <v>157778.78503880493</v>
      </c>
      <c r="E52" s="349"/>
      <c r="F52" s="349">
        <f>SUM(F44:F47)/'1501 Summary'!H220</f>
        <v>167080.28270464001</v>
      </c>
      <c r="G52" s="349"/>
      <c r="H52" s="349">
        <f>SUM(H44:H47)/'1501 Summary'!J220</f>
        <v>163379.62070551806</v>
      </c>
      <c r="I52" s="349"/>
      <c r="J52" s="349">
        <f>SUM(J44:J47)/'1501 Summary'!L220</f>
        <v>159119.556289289</v>
      </c>
      <c r="K52" s="349"/>
      <c r="L52" s="349">
        <f>SUM(L44:L47)/'1501 Summary'!N220</f>
        <v>148994.22179148853</v>
      </c>
      <c r="M52" s="349"/>
      <c r="N52" s="349">
        <f>SUM(N44:N47)/'1501 Summary'!P220</f>
        <v>157792.95335242918</v>
      </c>
      <c r="O52" s="349"/>
      <c r="P52" s="349">
        <f>SUM(P44:P47)/'1501 Summary'!R220</f>
        <v>138802.03105138851</v>
      </c>
      <c r="Q52" s="349"/>
      <c r="R52" s="349">
        <f>SUM(R44:R47)/'1501 Summary'!T220</f>
        <v>141857.6400777761</v>
      </c>
      <c r="S52" s="349"/>
      <c r="T52" s="349">
        <f>SUM(T44:T47)/'1501 Summary'!V220</f>
        <v>150690.95526612704</v>
      </c>
      <c r="U52" s="349"/>
      <c r="V52" s="349">
        <f>SUM(V44:V47)/'1501 Summary'!X220</f>
        <v>171534.08567370923</v>
      </c>
      <c r="W52" s="349"/>
      <c r="X52" s="349">
        <f>SUM(X44:X47)/'1501 Summary'!Z220</f>
        <v>187833.15837332135</v>
      </c>
      <c r="Y52" s="349"/>
      <c r="Z52" s="663">
        <f>SUM(Z44:Z47)/'1501 Summary'!AB220</f>
        <v>164738.26817455681</v>
      </c>
      <c r="AA52" s="710">
        <f>SUM(AA44:AA47)/SUM('1501 Summary'!Z220,'1501 Summary'!Z74)</f>
        <v>188008.04574481008</v>
      </c>
      <c r="AB52" s="711">
        <f>SUM(AB44:AB47)/SUM('1501 Summary'!AB220,'1501 Summary'!AB74)</f>
        <v>166576.43552115635</v>
      </c>
    </row>
    <row r="53" spans="2:28" x14ac:dyDescent="0.25">
      <c r="B53" s="58">
        <v>49</v>
      </c>
      <c r="C53" s="356" t="s">
        <v>283</v>
      </c>
      <c r="D53" s="357"/>
      <c r="E53" s="357"/>
      <c r="F53" s="358"/>
      <c r="G53" s="359"/>
      <c r="H53" s="360"/>
      <c r="I53" s="360"/>
      <c r="J53" s="361"/>
      <c r="K53" s="361"/>
      <c r="L53" s="360"/>
      <c r="M53" s="360"/>
      <c r="N53" s="360"/>
      <c r="O53" s="360"/>
      <c r="P53" s="361"/>
      <c r="Q53" s="361"/>
      <c r="R53" s="360"/>
      <c r="S53" s="360"/>
      <c r="T53" s="360"/>
      <c r="U53" s="360"/>
      <c r="V53" s="360"/>
      <c r="W53" s="360"/>
      <c r="X53" s="360"/>
      <c r="Y53" s="362"/>
      <c r="Z53" s="363"/>
      <c r="AA53" s="9"/>
    </row>
    <row r="54" spans="2:28" x14ac:dyDescent="0.25">
      <c r="B54" s="58">
        <v>50</v>
      </c>
      <c r="C54" s="81" t="s">
        <v>159</v>
      </c>
      <c r="D54" s="364">
        <f>'1501 Summary'!F322</f>
        <v>100000</v>
      </c>
      <c r="E54" s="364"/>
      <c r="F54" s="364">
        <f>'1501 Summary'!H322</f>
        <v>100000</v>
      </c>
      <c r="G54" s="364"/>
      <c r="H54" s="364">
        <f>'1501 Summary'!J322</f>
        <v>100000</v>
      </c>
      <c r="I54" s="364"/>
      <c r="J54" s="364">
        <f>'1501 Summary'!L322</f>
        <v>100000</v>
      </c>
      <c r="K54" s="364"/>
      <c r="L54" s="364">
        <f>'1501 Summary'!N322</f>
        <v>100000</v>
      </c>
      <c r="M54" s="364"/>
      <c r="N54" s="364">
        <f>'1501 Summary'!P322</f>
        <v>100000</v>
      </c>
      <c r="O54" s="364"/>
      <c r="P54" s="364">
        <f>'1501 Summary'!R322</f>
        <v>100000</v>
      </c>
      <c r="Q54" s="364"/>
      <c r="R54" s="364">
        <f>'1501 Summary'!T322</f>
        <v>100000</v>
      </c>
      <c r="S54" s="364"/>
      <c r="T54" s="364">
        <f>'1501 Summary'!V322</f>
        <v>100000</v>
      </c>
      <c r="U54" s="364"/>
      <c r="V54" s="364">
        <f>'1501 Summary'!X322</f>
        <v>100000</v>
      </c>
      <c r="W54" s="364"/>
      <c r="X54" s="364">
        <f>'1501 Summary'!Z322</f>
        <v>100000</v>
      </c>
      <c r="Y54" s="364"/>
      <c r="Z54" s="386">
        <f>'1501 Summary'!AB322</f>
        <v>100000</v>
      </c>
      <c r="AA54" s="9"/>
    </row>
    <row r="55" spans="2:28" x14ac:dyDescent="0.25">
      <c r="B55" s="58">
        <v>51</v>
      </c>
      <c r="C55" s="81" t="s">
        <v>127</v>
      </c>
      <c r="D55" s="364">
        <f>'1501 Summary'!F323</f>
        <v>200000.00000000003</v>
      </c>
      <c r="E55" s="364"/>
      <c r="F55" s="364">
        <f>'1501 Summary'!H323</f>
        <v>200000.00000000003</v>
      </c>
      <c r="G55" s="364"/>
      <c r="H55" s="364">
        <f>'1501 Summary'!J323</f>
        <v>200000.00000000003</v>
      </c>
      <c r="I55" s="364"/>
      <c r="J55" s="364">
        <f>'1501 Summary'!L323</f>
        <v>200000.00000000003</v>
      </c>
      <c r="K55" s="364"/>
      <c r="L55" s="364">
        <f>'1501 Summary'!N323</f>
        <v>200000.00000000003</v>
      </c>
      <c r="M55" s="364"/>
      <c r="N55" s="364">
        <f>'1501 Summary'!P323</f>
        <v>200000.00000000003</v>
      </c>
      <c r="O55" s="364"/>
      <c r="P55" s="364">
        <f>'1501 Summary'!R323</f>
        <v>321542.41645244218</v>
      </c>
      <c r="Q55" s="364"/>
      <c r="R55" s="364">
        <f>'1501 Summary'!T323</f>
        <v>200000.00000000003</v>
      </c>
      <c r="S55" s="364"/>
      <c r="T55" s="364">
        <f>'1501 Summary'!V323</f>
        <v>200000.00000000003</v>
      </c>
      <c r="U55" s="364"/>
      <c r="V55" s="364">
        <f>'1501 Summary'!X323</f>
        <v>200000.00000000003</v>
      </c>
      <c r="W55" s="364"/>
      <c r="X55" s="364">
        <f>'1501 Summary'!Z323</f>
        <v>200000.00000000003</v>
      </c>
      <c r="Y55" s="364"/>
      <c r="Z55" s="386">
        <f>'1501 Summary'!AB323</f>
        <v>200000.00000000003</v>
      </c>
      <c r="AA55" s="9"/>
    </row>
    <row r="56" spans="2:28" x14ac:dyDescent="0.25">
      <c r="B56" s="58">
        <v>52</v>
      </c>
      <c r="C56" s="81" t="s">
        <v>127</v>
      </c>
      <c r="D56" s="364">
        <f>'1501 Summary'!F324</f>
        <v>200000</v>
      </c>
      <c r="E56" s="364"/>
      <c r="F56" s="364">
        <f>'1501 Summary'!H324</f>
        <v>200000</v>
      </c>
      <c r="G56" s="364"/>
      <c r="H56" s="364">
        <f>'1501 Summary'!J324</f>
        <v>200000</v>
      </c>
      <c r="I56" s="364"/>
      <c r="J56" s="364">
        <f>'1501 Summary'!L324</f>
        <v>200000</v>
      </c>
      <c r="K56" s="364"/>
      <c r="L56" s="364">
        <f>'1501 Summary'!N324</f>
        <v>200000</v>
      </c>
      <c r="M56" s="364"/>
      <c r="N56" s="364">
        <f>'1501 Summary'!P324</f>
        <v>200000</v>
      </c>
      <c r="O56" s="364"/>
      <c r="P56" s="364">
        <f>'1501 Summary'!R324</f>
        <v>0</v>
      </c>
      <c r="Q56" s="364"/>
      <c r="R56" s="364">
        <f>'1501 Summary'!T324</f>
        <v>200000</v>
      </c>
      <c r="S56" s="364"/>
      <c r="T56" s="364">
        <f>'1501 Summary'!V324</f>
        <v>200000</v>
      </c>
      <c r="U56" s="364"/>
      <c r="V56" s="364">
        <f>'1501 Summary'!X324</f>
        <v>200000</v>
      </c>
      <c r="W56" s="364"/>
      <c r="X56" s="364">
        <f>'1501 Summary'!Z324</f>
        <v>200000</v>
      </c>
      <c r="Y56" s="364"/>
      <c r="Z56" s="386">
        <f>'1501 Summary'!AB324</f>
        <v>200000</v>
      </c>
      <c r="AA56" s="9"/>
    </row>
    <row r="57" spans="2:28" x14ac:dyDescent="0.25">
      <c r="B57" s="58">
        <v>53</v>
      </c>
      <c r="C57" s="81" t="s">
        <v>128</v>
      </c>
      <c r="D57" s="364">
        <f>'1501 Summary'!F325</f>
        <v>13882578.291814946</v>
      </c>
      <c r="E57" s="364"/>
      <c r="F57" s="364">
        <f>'1501 Summary'!H325</f>
        <v>14444498.22064057</v>
      </c>
      <c r="G57" s="364"/>
      <c r="H57" s="364">
        <f>'1501 Summary'!J325</f>
        <v>6908861.2099644132</v>
      </c>
      <c r="I57" s="364"/>
      <c r="J57" s="364">
        <f>'1501 Summary'!L325</f>
        <v>9317658.3629893232</v>
      </c>
      <c r="K57" s="364"/>
      <c r="L57" s="364">
        <f>'1501 Summary'!N325</f>
        <v>7094206.4056939511</v>
      </c>
      <c r="M57" s="364"/>
      <c r="N57" s="364">
        <f>'1501 Summary'!P325</f>
        <v>4840649.466192171</v>
      </c>
      <c r="O57" s="364"/>
      <c r="P57" s="364">
        <f>'1501 Summary'!R325</f>
        <v>7324546.263345195</v>
      </c>
      <c r="Q57" s="364"/>
      <c r="R57" s="364">
        <f>'1501 Summary'!T325</f>
        <v>14001183.274021352</v>
      </c>
      <c r="S57" s="364"/>
      <c r="T57" s="364">
        <f>'1501 Summary'!V325</f>
        <v>15664686.832740212</v>
      </c>
      <c r="U57" s="364"/>
      <c r="V57" s="364">
        <f>'1501 Summary'!X325</f>
        <v>15153555.160142347</v>
      </c>
      <c r="W57" s="364"/>
      <c r="X57" s="364">
        <f>'1501 Summary'!Z325</f>
        <v>10566763.345195729</v>
      </c>
      <c r="Y57" s="364"/>
      <c r="Z57" s="386">
        <f>'1501 Summary'!AB325</f>
        <v>12199044.483985767</v>
      </c>
      <c r="AA57" s="9"/>
    </row>
    <row r="58" spans="2:28" x14ac:dyDescent="0.25">
      <c r="B58" s="58">
        <v>54</v>
      </c>
      <c r="C58" s="81" t="s">
        <v>258</v>
      </c>
      <c r="D58" s="364">
        <f>D54/'1501 Summary'!F319</f>
        <v>50000</v>
      </c>
      <c r="E58" s="364"/>
      <c r="F58" s="364">
        <f>F54/'1501 Summary'!H319</f>
        <v>50000</v>
      </c>
      <c r="G58" s="364"/>
      <c r="H58" s="364">
        <f>H54/'1501 Summary'!J319</f>
        <v>50000</v>
      </c>
      <c r="I58" s="364"/>
      <c r="J58" s="364">
        <f>J54/'1501 Summary'!L319</f>
        <v>50000</v>
      </c>
      <c r="K58" s="364"/>
      <c r="L58" s="364">
        <f>L54/'1501 Summary'!N319</f>
        <v>50000</v>
      </c>
      <c r="M58" s="364"/>
      <c r="N58" s="364">
        <f>N54/'1501 Summary'!P319</f>
        <v>50000</v>
      </c>
      <c r="O58" s="364"/>
      <c r="P58" s="364">
        <f>P54/'1501 Summary'!R319</f>
        <v>50000</v>
      </c>
      <c r="Q58" s="364"/>
      <c r="R58" s="364">
        <f>R54/'1501 Summary'!T319</f>
        <v>50000</v>
      </c>
      <c r="S58" s="364"/>
      <c r="T58" s="364">
        <f>T54/'1501 Summary'!V319</f>
        <v>50000</v>
      </c>
      <c r="U58" s="364"/>
      <c r="V58" s="364">
        <f>V54/'1501 Summary'!X319</f>
        <v>50000</v>
      </c>
      <c r="W58" s="364"/>
      <c r="X58" s="364">
        <f>X54/'1501 Summary'!Z319</f>
        <v>50000</v>
      </c>
      <c r="Y58" s="364"/>
      <c r="Z58" s="386">
        <f>Z54/'1501 Summary'!AB319</f>
        <v>50000</v>
      </c>
      <c r="AA58" s="9"/>
    </row>
    <row r="59" spans="2:28" x14ac:dyDescent="0.25">
      <c r="B59" s="58">
        <v>55</v>
      </c>
      <c r="C59" s="81" t="s">
        <v>259</v>
      </c>
      <c r="D59" s="364">
        <f>D55/'1501 Summary'!F319</f>
        <v>100000.00000000001</v>
      </c>
      <c r="E59" s="364"/>
      <c r="F59" s="364">
        <f>F55/'1501 Summary'!H319</f>
        <v>100000.00000000001</v>
      </c>
      <c r="G59" s="364"/>
      <c r="H59" s="364">
        <f>H55/'1501 Summary'!J319</f>
        <v>100000.00000000001</v>
      </c>
      <c r="I59" s="364"/>
      <c r="J59" s="364">
        <f>J55/'1501 Summary'!L319</f>
        <v>100000.00000000001</v>
      </c>
      <c r="K59" s="364"/>
      <c r="L59" s="364">
        <f>L55/'1501 Summary'!N319</f>
        <v>100000.00000000001</v>
      </c>
      <c r="M59" s="364"/>
      <c r="N59" s="364">
        <f>N55/'1501 Summary'!P319</f>
        <v>100000.00000000001</v>
      </c>
      <c r="O59" s="364"/>
      <c r="P59" s="364">
        <f>P55/'1501 Summary'!R319</f>
        <v>160771.20822622109</v>
      </c>
      <c r="Q59" s="364"/>
      <c r="R59" s="364">
        <f>R55/'1501 Summary'!T319</f>
        <v>100000.00000000001</v>
      </c>
      <c r="S59" s="364"/>
      <c r="T59" s="364">
        <f>T55/'1501 Summary'!V319</f>
        <v>100000.00000000001</v>
      </c>
      <c r="U59" s="364"/>
      <c r="V59" s="364">
        <f>V55/'1501 Summary'!X319</f>
        <v>100000.00000000001</v>
      </c>
      <c r="W59" s="364"/>
      <c r="X59" s="364">
        <f>X55/'1501 Summary'!Z319</f>
        <v>100000.00000000001</v>
      </c>
      <c r="Y59" s="364"/>
      <c r="Z59" s="386">
        <f>Z55/'1501 Summary'!AB319</f>
        <v>100000.00000000001</v>
      </c>
      <c r="AA59" s="9"/>
    </row>
    <row r="60" spans="2:28" x14ac:dyDescent="0.25">
      <c r="B60" s="58">
        <v>56</v>
      </c>
      <c r="C60" s="81" t="s">
        <v>259</v>
      </c>
      <c r="D60" s="364">
        <f>D56/'1501 Summary'!F319</f>
        <v>100000</v>
      </c>
      <c r="E60" s="364"/>
      <c r="F60" s="364">
        <f>F56/'1501 Summary'!H319</f>
        <v>100000</v>
      </c>
      <c r="G60" s="364"/>
      <c r="H60" s="364">
        <f>H56/'1501 Summary'!J319</f>
        <v>100000</v>
      </c>
      <c r="I60" s="364"/>
      <c r="J60" s="364">
        <f>J56/'1501 Summary'!L319</f>
        <v>100000</v>
      </c>
      <c r="K60" s="364"/>
      <c r="L60" s="364">
        <f>L56/'1501 Summary'!N319</f>
        <v>100000</v>
      </c>
      <c r="M60" s="364"/>
      <c r="N60" s="364">
        <f>N56/'1501 Summary'!P319</f>
        <v>100000</v>
      </c>
      <c r="O60" s="364"/>
      <c r="P60" s="364">
        <f>P56/'1501 Summary'!R319</f>
        <v>0</v>
      </c>
      <c r="Q60" s="364"/>
      <c r="R60" s="364">
        <f>R56/'1501 Summary'!T319</f>
        <v>100000</v>
      </c>
      <c r="S60" s="364"/>
      <c r="T60" s="364">
        <f>T56/'1501 Summary'!V319</f>
        <v>100000</v>
      </c>
      <c r="U60" s="364"/>
      <c r="V60" s="364">
        <f>V56/'1501 Summary'!X319</f>
        <v>100000</v>
      </c>
      <c r="W60" s="364"/>
      <c r="X60" s="364">
        <f>X56/'1501 Summary'!Z319</f>
        <v>100000</v>
      </c>
      <c r="Y60" s="364"/>
      <c r="Z60" s="386">
        <f>Z56/'1501 Summary'!AB319</f>
        <v>100000</v>
      </c>
      <c r="AA60" s="9"/>
    </row>
    <row r="61" spans="2:28" x14ac:dyDescent="0.25">
      <c r="B61" s="58">
        <v>57</v>
      </c>
      <c r="C61" s="81" t="s">
        <v>260</v>
      </c>
      <c r="D61" s="364">
        <f>D57/'1501 Summary'!F319</f>
        <v>6941289.1459074728</v>
      </c>
      <c r="E61" s="364"/>
      <c r="F61" s="364">
        <f>F57/'1501 Summary'!H319</f>
        <v>7222249.110320285</v>
      </c>
      <c r="G61" s="364"/>
      <c r="H61" s="364">
        <f>H57/'1501 Summary'!J319</f>
        <v>3454430.6049822066</v>
      </c>
      <c r="I61" s="364"/>
      <c r="J61" s="364">
        <f>J57/'1501 Summary'!L319</f>
        <v>4658829.1814946616</v>
      </c>
      <c r="K61" s="364"/>
      <c r="L61" s="364">
        <f>L57/'1501 Summary'!N319</f>
        <v>3547103.2028469755</v>
      </c>
      <c r="M61" s="364"/>
      <c r="N61" s="364">
        <f>N57/'1501 Summary'!P319</f>
        <v>2420324.7330960855</v>
      </c>
      <c r="O61" s="364"/>
      <c r="P61" s="364">
        <f>P57/'1501 Summary'!R319</f>
        <v>3662273.1316725975</v>
      </c>
      <c r="Q61" s="364"/>
      <c r="R61" s="364">
        <f>R57/'1501 Summary'!T319</f>
        <v>7000591.6370106759</v>
      </c>
      <c r="S61" s="364"/>
      <c r="T61" s="364">
        <f>T57/'1501 Summary'!V319</f>
        <v>7832343.4163701059</v>
      </c>
      <c r="U61" s="364"/>
      <c r="V61" s="364">
        <f>V57/'1501 Summary'!X319</f>
        <v>7576777.5800711736</v>
      </c>
      <c r="W61" s="364"/>
      <c r="X61" s="364">
        <f>X57/'1501 Summary'!Z319</f>
        <v>5283381.6725978646</v>
      </c>
      <c r="Y61" s="364"/>
      <c r="Z61" s="386">
        <f>Z57/'1501 Summary'!AB319</f>
        <v>6099522.2419928834</v>
      </c>
      <c r="AA61" s="9"/>
    </row>
    <row r="62" spans="2:28" x14ac:dyDescent="0.25">
      <c r="B62" s="58">
        <v>58</v>
      </c>
      <c r="C62" s="345" t="s">
        <v>263</v>
      </c>
      <c r="D62" s="346">
        <f>SUM(D54:D57)/'1501 Summary'!F319</f>
        <v>7191289.1459074728</v>
      </c>
      <c r="E62" s="346"/>
      <c r="F62" s="346">
        <f>SUM(F54:F57)/'1501 Summary'!H319</f>
        <v>7472249.110320285</v>
      </c>
      <c r="G62" s="346"/>
      <c r="H62" s="346">
        <f>SUM(H54:H57)/'1501 Summary'!J319</f>
        <v>3704430.6049822066</v>
      </c>
      <c r="I62" s="346"/>
      <c r="J62" s="346">
        <f>SUM(J54:J57)/'1501 Summary'!L319</f>
        <v>4908829.1814946616</v>
      </c>
      <c r="K62" s="346"/>
      <c r="L62" s="346">
        <f>SUM(L54:L57)/'1501 Summary'!N319</f>
        <v>3797103.2028469755</v>
      </c>
      <c r="M62" s="346"/>
      <c r="N62" s="346">
        <f>SUM(N54:N57)/'1501 Summary'!P319</f>
        <v>2670324.7330960855</v>
      </c>
      <c r="O62" s="346"/>
      <c r="P62" s="346">
        <f>SUM(P54:P57)/'1501 Summary'!R319</f>
        <v>3873044.3398988186</v>
      </c>
      <c r="Q62" s="346"/>
      <c r="R62" s="346">
        <f>SUM(R54:R57)/'1501 Summary'!T319</f>
        <v>7250591.6370106759</v>
      </c>
      <c r="S62" s="346"/>
      <c r="T62" s="346">
        <f>SUM(T54:T57)/'1501 Summary'!V319</f>
        <v>8082343.4163701059</v>
      </c>
      <c r="U62" s="346"/>
      <c r="V62" s="346">
        <f>SUM(V54:V57)/'1501 Summary'!X319</f>
        <v>7826777.5800711736</v>
      </c>
      <c r="W62" s="346"/>
      <c r="X62" s="346">
        <f>SUM(X54:X57)/'1501 Summary'!Z319</f>
        <v>5533381.6725978646</v>
      </c>
      <c r="Y62" s="346"/>
      <c r="Z62" s="384">
        <f>SUM(Z54:Z57)/'1501 Summary'!AB319</f>
        <v>6349522.2419928834</v>
      </c>
      <c r="AA62" s="9"/>
    </row>
    <row r="63" spans="2:28" x14ac:dyDescent="0.25">
      <c r="B63" s="58">
        <v>59</v>
      </c>
      <c r="C63" s="345">
        <v>6633</v>
      </c>
      <c r="D63" s="338"/>
      <c r="E63" s="338"/>
      <c r="F63" s="338"/>
      <c r="G63" s="365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66"/>
      <c r="Z63" s="367"/>
      <c r="AA63" s="9"/>
    </row>
    <row r="64" spans="2:28" x14ac:dyDescent="0.25">
      <c r="B64" s="58">
        <v>60</v>
      </c>
      <c r="C64" s="81" t="s">
        <v>159</v>
      </c>
      <c r="D64" s="338">
        <f>'1501 Summary'!F342</f>
        <v>100000</v>
      </c>
      <c r="E64" s="338"/>
      <c r="F64" s="338">
        <f>'1501 Summary'!H342</f>
        <v>100000</v>
      </c>
      <c r="G64" s="338"/>
      <c r="H64" s="338">
        <f>'1501 Summary'!J342</f>
        <v>100000</v>
      </c>
      <c r="I64" s="338"/>
      <c r="J64" s="338">
        <f>'1501 Summary'!L342</f>
        <v>100000</v>
      </c>
      <c r="K64" s="338"/>
      <c r="L64" s="338">
        <f>'1501 Summary'!N342</f>
        <v>100000</v>
      </c>
      <c r="M64" s="338"/>
      <c r="N64" s="338">
        <f>'1501 Summary'!P342</f>
        <v>100000</v>
      </c>
      <c r="O64" s="338"/>
      <c r="P64" s="338">
        <f>'1501 Summary'!R342</f>
        <v>100000</v>
      </c>
      <c r="Q64" s="338"/>
      <c r="R64" s="338">
        <f>'1501 Summary'!T342</f>
        <v>100000</v>
      </c>
      <c r="S64" s="338"/>
      <c r="T64" s="338">
        <f>'1501 Summary'!V342</f>
        <v>100000</v>
      </c>
      <c r="U64" s="338"/>
      <c r="V64" s="338">
        <f>'1501 Summary'!X342</f>
        <v>100000</v>
      </c>
      <c r="W64" s="338"/>
      <c r="X64" s="338">
        <f>'1501 Summary'!Z342</f>
        <v>100000</v>
      </c>
      <c r="Y64" s="338"/>
      <c r="Z64" s="380">
        <f>'1501 Summary'!AB342</f>
        <v>100000</v>
      </c>
      <c r="AA64" s="9"/>
    </row>
    <row r="65" spans="2:27" x14ac:dyDescent="0.25">
      <c r="B65" s="58">
        <v>61</v>
      </c>
      <c r="C65" s="63" t="s">
        <v>127</v>
      </c>
      <c r="D65" s="62">
        <f>'1501 Summary'!F343</f>
        <v>200000.00000000003</v>
      </c>
      <c r="E65" s="62"/>
      <c r="F65" s="62">
        <f>'1501 Summary'!H343</f>
        <v>200000.00000000003</v>
      </c>
      <c r="G65" s="62"/>
      <c r="H65" s="62">
        <f>'1501 Summary'!J343</f>
        <v>200000.00000000003</v>
      </c>
      <c r="I65" s="62"/>
      <c r="J65" s="62">
        <f>'1501 Summary'!L343</f>
        <v>200000.00000000003</v>
      </c>
      <c r="K65" s="62"/>
      <c r="L65" s="62">
        <f>'1501 Summary'!N343</f>
        <v>200000.00000000003</v>
      </c>
      <c r="M65" s="62"/>
      <c r="N65" s="62">
        <f>'1501 Summary'!P343</f>
        <v>200000.00000000003</v>
      </c>
      <c r="O65" s="62"/>
      <c r="P65" s="62">
        <f>'1501 Summary'!R343</f>
        <v>200000.00000000003</v>
      </c>
      <c r="Q65" s="62"/>
      <c r="R65" s="62">
        <f>'1501 Summary'!T343</f>
        <v>200000.00000000003</v>
      </c>
      <c r="S65" s="62"/>
      <c r="T65" s="62">
        <f>'1501 Summary'!V343</f>
        <v>200000.00000000003</v>
      </c>
      <c r="U65" s="62"/>
      <c r="V65" s="62">
        <f>'1501 Summary'!X343</f>
        <v>200000.00000000003</v>
      </c>
      <c r="W65" s="62"/>
      <c r="X65" s="62">
        <f>'1501 Summary'!Z343</f>
        <v>200000.00000000003</v>
      </c>
      <c r="Y65" s="62"/>
      <c r="Z65" s="387">
        <f>'1501 Summary'!AB343</f>
        <v>200000.00000000003</v>
      </c>
      <c r="AA65" s="9"/>
    </row>
    <row r="66" spans="2:27" x14ac:dyDescent="0.25">
      <c r="B66" s="58">
        <v>62</v>
      </c>
      <c r="C66" s="63" t="s">
        <v>127</v>
      </c>
      <c r="D66" s="62">
        <f>'1501 Summary'!F344</f>
        <v>200000</v>
      </c>
      <c r="E66" s="62"/>
      <c r="F66" s="62">
        <f>'1501 Summary'!H344</f>
        <v>200000</v>
      </c>
      <c r="G66" s="62"/>
      <c r="H66" s="62">
        <f>'1501 Summary'!J344</f>
        <v>200000</v>
      </c>
      <c r="I66" s="62"/>
      <c r="J66" s="62">
        <f>'1501 Summary'!L344</f>
        <v>200000</v>
      </c>
      <c r="K66" s="62"/>
      <c r="L66" s="62">
        <f>'1501 Summary'!N344</f>
        <v>200000</v>
      </c>
      <c r="M66" s="62"/>
      <c r="N66" s="62">
        <f>'1501 Summary'!P344</f>
        <v>81981.387478849399</v>
      </c>
      <c r="O66" s="62"/>
      <c r="P66" s="62">
        <f>'1501 Summary'!R344</f>
        <v>200000</v>
      </c>
      <c r="Q66" s="62"/>
      <c r="R66" s="62">
        <f>'1501 Summary'!T344</f>
        <v>200000</v>
      </c>
      <c r="S66" s="62"/>
      <c r="T66" s="62">
        <f>'1501 Summary'!V344</f>
        <v>200000</v>
      </c>
      <c r="U66" s="62"/>
      <c r="V66" s="62">
        <f>'1501 Summary'!X344</f>
        <v>200000</v>
      </c>
      <c r="W66" s="62"/>
      <c r="X66" s="62">
        <f>'1501 Summary'!Z344</f>
        <v>200000</v>
      </c>
      <c r="Y66" s="62"/>
      <c r="Z66" s="387">
        <f>'1501 Summary'!AB344</f>
        <v>200000</v>
      </c>
      <c r="AA66" s="9"/>
    </row>
    <row r="67" spans="2:27" x14ac:dyDescent="0.25">
      <c r="B67" s="58">
        <v>63</v>
      </c>
      <c r="C67" s="63" t="s">
        <v>128</v>
      </c>
      <c r="D67" s="62">
        <f>'1501 Summary'!F345</f>
        <v>3950624.555160142</v>
      </c>
      <c r="E67" s="62"/>
      <c r="F67" s="62">
        <f>'1501 Summary'!H345</f>
        <v>3588087.1886120997</v>
      </c>
      <c r="G67" s="62"/>
      <c r="H67" s="62">
        <f>'1501 Summary'!J345</f>
        <v>5346715.3024911033</v>
      </c>
      <c r="I67" s="62"/>
      <c r="J67" s="62">
        <f>'1501 Summary'!L345</f>
        <v>2588142.3487544484</v>
      </c>
      <c r="K67" s="62"/>
      <c r="L67" s="62">
        <f>'1501 Summary'!N345</f>
        <v>2051096.0854092527</v>
      </c>
      <c r="M67" s="62"/>
      <c r="N67" s="62">
        <f>'1501 Summary'!P345</f>
        <v>-42820.284697508898</v>
      </c>
      <c r="O67" s="62"/>
      <c r="P67" s="62">
        <f>'1501 Summary'!R345</f>
        <v>6276820.2846975094</v>
      </c>
      <c r="Q67" s="62"/>
      <c r="R67" s="62">
        <f>'1501 Summary'!T345</f>
        <v>13622838.078291817</v>
      </c>
      <c r="S67" s="62"/>
      <c r="T67" s="62">
        <f>'1501 Summary'!V345</f>
        <v>15105297.153024912</v>
      </c>
      <c r="U67" s="62"/>
      <c r="V67" s="62">
        <f>'1501 Summary'!X345</f>
        <v>14012834.519572955</v>
      </c>
      <c r="W67" s="62"/>
      <c r="X67" s="62">
        <f>'1501 Summary'!Z345</f>
        <v>167138.79003558721</v>
      </c>
      <c r="Y67" s="62"/>
      <c r="Z67" s="387">
        <f>'1501 Summary'!AB345</f>
        <v>5456005.3380782921</v>
      </c>
      <c r="AA67" s="9"/>
    </row>
    <row r="68" spans="2:27" x14ac:dyDescent="0.25">
      <c r="B68" s="58">
        <v>64</v>
      </c>
      <c r="C68" s="63" t="s">
        <v>258</v>
      </c>
      <c r="D68" s="62">
        <f>D64/'1501 Summary'!F339</f>
        <v>100000</v>
      </c>
      <c r="E68" s="62"/>
      <c r="F68" s="62">
        <f>F64/'1501 Summary'!H339</f>
        <v>100000</v>
      </c>
      <c r="G68" s="62"/>
      <c r="H68" s="62">
        <f>H64/'1501 Summary'!J339</f>
        <v>100000</v>
      </c>
      <c r="I68" s="62"/>
      <c r="J68" s="62">
        <f>J64/'1501 Summary'!L339</f>
        <v>100000</v>
      </c>
      <c r="K68" s="62"/>
      <c r="L68" s="62">
        <f>L64/'1501 Summary'!N339</f>
        <v>100000</v>
      </c>
      <c r="M68" s="62"/>
      <c r="N68" s="62">
        <f>N64/'1501 Summary'!P339</f>
        <v>100000</v>
      </c>
      <c r="O68" s="62"/>
      <c r="P68" s="62">
        <f>P64/'1501 Summary'!R339</f>
        <v>100000</v>
      </c>
      <c r="Q68" s="62"/>
      <c r="R68" s="62">
        <f>R64/'1501 Summary'!T339</f>
        <v>100000</v>
      </c>
      <c r="S68" s="62"/>
      <c r="T68" s="62">
        <f>T64/'1501 Summary'!V339</f>
        <v>100000</v>
      </c>
      <c r="U68" s="62"/>
      <c r="V68" s="62">
        <f>V64/'1501 Summary'!X339</f>
        <v>100000</v>
      </c>
      <c r="W68" s="62"/>
      <c r="X68" s="62">
        <f>X64/'1501 Summary'!Z339</f>
        <v>100000</v>
      </c>
      <c r="Y68" s="62"/>
      <c r="Z68" s="387">
        <f>Z64/'1501 Summary'!AB339</f>
        <v>100000</v>
      </c>
      <c r="AA68" s="9"/>
    </row>
    <row r="69" spans="2:27" x14ac:dyDescent="0.25">
      <c r="B69" s="58">
        <v>65</v>
      </c>
      <c r="C69" s="63" t="s">
        <v>259</v>
      </c>
      <c r="D69" s="62">
        <f>D65/'1501 Summary'!F339</f>
        <v>200000.00000000003</v>
      </c>
      <c r="E69" s="62"/>
      <c r="F69" s="62">
        <f>F65/'1501 Summary'!H339</f>
        <v>200000.00000000003</v>
      </c>
      <c r="G69" s="62"/>
      <c r="H69" s="62">
        <f>H65/'1501 Summary'!J339</f>
        <v>200000.00000000003</v>
      </c>
      <c r="I69" s="62"/>
      <c r="J69" s="62">
        <f>J65/'1501 Summary'!L339</f>
        <v>200000.00000000003</v>
      </c>
      <c r="K69" s="62"/>
      <c r="L69" s="62">
        <f>L65/'1501 Summary'!N339</f>
        <v>200000.00000000003</v>
      </c>
      <c r="M69" s="62"/>
      <c r="N69" s="62">
        <f>N65/'1501 Summary'!P339</f>
        <v>200000.00000000003</v>
      </c>
      <c r="O69" s="62"/>
      <c r="P69" s="62">
        <f>P65/'1501 Summary'!R339</f>
        <v>200000.00000000003</v>
      </c>
      <c r="Q69" s="62"/>
      <c r="R69" s="62">
        <f>R65/'1501 Summary'!T339</f>
        <v>200000.00000000003</v>
      </c>
      <c r="S69" s="62"/>
      <c r="T69" s="62">
        <f>T65/'1501 Summary'!V339</f>
        <v>200000.00000000003</v>
      </c>
      <c r="U69" s="62"/>
      <c r="V69" s="62">
        <f>V65/'1501 Summary'!X339</f>
        <v>200000.00000000003</v>
      </c>
      <c r="W69" s="62"/>
      <c r="X69" s="62">
        <f>X65/'1501 Summary'!Z339</f>
        <v>200000.00000000003</v>
      </c>
      <c r="Y69" s="62"/>
      <c r="Z69" s="387">
        <f>Z65/'1501 Summary'!AB339</f>
        <v>200000.00000000003</v>
      </c>
      <c r="AA69" s="9"/>
    </row>
    <row r="70" spans="2:27" x14ac:dyDescent="0.25">
      <c r="B70" s="58">
        <v>66</v>
      </c>
      <c r="C70" s="63" t="s">
        <v>259</v>
      </c>
      <c r="D70" s="62">
        <f>D66/'1501 Summary'!F339</f>
        <v>200000</v>
      </c>
      <c r="E70" s="62"/>
      <c r="F70" s="62">
        <f>F66/'1501 Summary'!H339</f>
        <v>200000</v>
      </c>
      <c r="G70" s="62"/>
      <c r="H70" s="62">
        <f>H66/'1501 Summary'!J339</f>
        <v>200000</v>
      </c>
      <c r="I70" s="62"/>
      <c r="J70" s="62">
        <f>J66/'1501 Summary'!L339</f>
        <v>200000</v>
      </c>
      <c r="K70" s="62"/>
      <c r="L70" s="62">
        <f>L66/'1501 Summary'!N339</f>
        <v>200000</v>
      </c>
      <c r="M70" s="62"/>
      <c r="N70" s="62">
        <f>N66/'1501 Summary'!P339</f>
        <v>81981.387478849399</v>
      </c>
      <c r="O70" s="62"/>
      <c r="P70" s="62">
        <f>P66/'1501 Summary'!R339</f>
        <v>200000</v>
      </c>
      <c r="Q70" s="62"/>
      <c r="R70" s="62">
        <f>R66/'1501 Summary'!T339</f>
        <v>200000</v>
      </c>
      <c r="S70" s="62"/>
      <c r="T70" s="62">
        <f>T66/'1501 Summary'!V339</f>
        <v>200000</v>
      </c>
      <c r="U70" s="62"/>
      <c r="V70" s="62">
        <f>V66/'1501 Summary'!X339</f>
        <v>200000</v>
      </c>
      <c r="W70" s="62"/>
      <c r="X70" s="62">
        <f>X66/'1501 Summary'!Z339</f>
        <v>200000</v>
      </c>
      <c r="Y70" s="62"/>
      <c r="Z70" s="387">
        <f>Z66/'1501 Summary'!AB339</f>
        <v>200000</v>
      </c>
      <c r="AA70" s="9"/>
    </row>
    <row r="71" spans="2:27" x14ac:dyDescent="0.25">
      <c r="B71" s="58">
        <v>67</v>
      </c>
      <c r="C71" s="63" t="s">
        <v>260</v>
      </c>
      <c r="D71" s="62">
        <f>D67/'1501 Summary'!F339</f>
        <v>3950624.555160142</v>
      </c>
      <c r="E71" s="62"/>
      <c r="F71" s="62">
        <f>F67/'1501 Summary'!H339</f>
        <v>3588087.1886120997</v>
      </c>
      <c r="G71" s="62"/>
      <c r="H71" s="62">
        <f>H67/'1501 Summary'!J339</f>
        <v>5346715.3024911033</v>
      </c>
      <c r="I71" s="62"/>
      <c r="J71" s="62">
        <f>J67/'1501 Summary'!L339</f>
        <v>2588142.3487544484</v>
      </c>
      <c r="K71" s="62"/>
      <c r="L71" s="62">
        <f>L67/'1501 Summary'!N339</f>
        <v>2051096.0854092527</v>
      </c>
      <c r="M71" s="62"/>
      <c r="N71" s="62">
        <f>N67/'1501 Summary'!P339</f>
        <v>-42820.284697508898</v>
      </c>
      <c r="O71" s="62"/>
      <c r="P71" s="62">
        <f>P67/'1501 Summary'!R339</f>
        <v>6276820.2846975094</v>
      </c>
      <c r="Q71" s="62"/>
      <c r="R71" s="62">
        <f>R67/'1501 Summary'!T339</f>
        <v>13622838.078291817</v>
      </c>
      <c r="S71" s="62"/>
      <c r="T71" s="62">
        <f>T67/'1501 Summary'!V339</f>
        <v>15105297.153024912</v>
      </c>
      <c r="U71" s="62"/>
      <c r="V71" s="62">
        <f>V67/'1501 Summary'!X339</f>
        <v>14012834.519572955</v>
      </c>
      <c r="W71" s="62"/>
      <c r="X71" s="62">
        <f>X67/'1501 Summary'!Z339</f>
        <v>167138.79003558721</v>
      </c>
      <c r="Y71" s="62"/>
      <c r="Z71" s="387">
        <f>Z67/'1501 Summary'!AB339</f>
        <v>5456005.3380782921</v>
      </c>
      <c r="AA71" s="9"/>
    </row>
    <row r="72" spans="2:27" x14ac:dyDescent="0.25">
      <c r="B72" s="58">
        <v>68</v>
      </c>
      <c r="C72" s="82" t="s">
        <v>264</v>
      </c>
      <c r="D72" s="83">
        <f>SUM(D68:D71)</f>
        <v>4450624.5551601425</v>
      </c>
      <c r="E72" s="83"/>
      <c r="F72" s="83">
        <f t="shared" ref="F72:Z72" si="1">SUM(F68:F71)</f>
        <v>4088087.1886120997</v>
      </c>
      <c r="G72" s="83"/>
      <c r="H72" s="83">
        <f t="shared" si="1"/>
        <v>5846715.3024911033</v>
      </c>
      <c r="I72" s="83"/>
      <c r="J72" s="83">
        <f t="shared" si="1"/>
        <v>3088142.3487544484</v>
      </c>
      <c r="K72" s="83"/>
      <c r="L72" s="83">
        <f t="shared" si="1"/>
        <v>2551096.0854092529</v>
      </c>
      <c r="M72" s="83"/>
      <c r="N72" s="83">
        <f t="shared" si="1"/>
        <v>339161.10278134048</v>
      </c>
      <c r="O72" s="83"/>
      <c r="P72" s="83">
        <f t="shared" si="1"/>
        <v>6776820.2846975094</v>
      </c>
      <c r="Q72" s="83"/>
      <c r="R72" s="83">
        <f t="shared" si="1"/>
        <v>14122838.078291817</v>
      </c>
      <c r="S72" s="83"/>
      <c r="T72" s="83">
        <f t="shared" si="1"/>
        <v>15605297.153024912</v>
      </c>
      <c r="U72" s="83"/>
      <c r="V72" s="83">
        <f t="shared" si="1"/>
        <v>14512834.519572955</v>
      </c>
      <c r="W72" s="83"/>
      <c r="X72" s="83">
        <f t="shared" si="1"/>
        <v>667138.79003558727</v>
      </c>
      <c r="Y72" s="83"/>
      <c r="Z72" s="388">
        <f t="shared" si="1"/>
        <v>5956005.3380782921</v>
      </c>
      <c r="AA72" s="9"/>
    </row>
    <row r="73" spans="2:27" x14ac:dyDescent="0.25">
      <c r="B73" s="58">
        <v>69</v>
      </c>
      <c r="C73" s="82">
        <v>6635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389"/>
      <c r="AA73" s="9"/>
    </row>
    <row r="74" spans="2:27" x14ac:dyDescent="0.25">
      <c r="B74" s="58">
        <v>70</v>
      </c>
      <c r="C74" s="63" t="s">
        <v>159</v>
      </c>
      <c r="D74" s="62">
        <f>'1501 Summary'!F360</f>
        <v>57483.023822922529</v>
      </c>
      <c r="E74" s="62"/>
      <c r="F74" s="62">
        <f>'1501 Summary'!H360</f>
        <v>100000</v>
      </c>
      <c r="G74" s="62"/>
      <c r="H74" s="62">
        <f>'1501 Summary'!J360</f>
        <v>100000</v>
      </c>
      <c r="I74" s="62"/>
      <c r="J74" s="62">
        <f>'1501 Summary'!L360</f>
        <v>0</v>
      </c>
      <c r="K74" s="62"/>
      <c r="L74" s="62">
        <f>'1501 Summary'!N360</f>
        <v>24269.930594635149</v>
      </c>
      <c r="M74" s="62"/>
      <c r="N74" s="62">
        <f>'1501 Summary'!P360</f>
        <v>100000</v>
      </c>
      <c r="O74" s="62"/>
      <c r="P74" s="62">
        <f>'1501 Summary'!R360</f>
        <v>100000</v>
      </c>
      <c r="Q74" s="62"/>
      <c r="R74" s="62">
        <f>'1501 Summary'!T360</f>
        <v>100000</v>
      </c>
      <c r="S74" s="62"/>
      <c r="T74" s="62">
        <f>'1501 Summary'!V360</f>
        <v>100000</v>
      </c>
      <c r="U74" s="62"/>
      <c r="V74" s="62">
        <f>'1501 Summary'!X360</f>
        <v>100000</v>
      </c>
      <c r="W74" s="62"/>
      <c r="X74" s="62">
        <f>'1501 Summary'!Z360</f>
        <v>100000</v>
      </c>
      <c r="Y74" s="62"/>
      <c r="Z74" s="387">
        <f>'1501 Summary'!AB360</f>
        <v>100000</v>
      </c>
      <c r="AA74" s="9"/>
    </row>
    <row r="75" spans="2:27" x14ac:dyDescent="0.25">
      <c r="B75" s="58">
        <v>71</v>
      </c>
      <c r="C75" s="63" t="s">
        <v>127</v>
      </c>
      <c r="D75" s="62">
        <f>'1501 Summary'!F361</f>
        <v>0</v>
      </c>
      <c r="E75" s="62"/>
      <c r="F75" s="62">
        <f>'1501 Summary'!H361</f>
        <v>6085.8611825192811</v>
      </c>
      <c r="G75" s="62"/>
      <c r="H75" s="62">
        <f>'1501 Summary'!J361</f>
        <v>128696.1439588689</v>
      </c>
      <c r="I75" s="62"/>
      <c r="J75" s="62">
        <f>'1501 Summary'!L361</f>
        <v>0</v>
      </c>
      <c r="K75" s="62"/>
      <c r="L75" s="62">
        <f>'1501 Summary'!N361</f>
        <v>0</v>
      </c>
      <c r="M75" s="62"/>
      <c r="N75" s="62">
        <f>'1501 Summary'!P361</f>
        <v>134043.18766066839</v>
      </c>
      <c r="O75" s="62"/>
      <c r="P75" s="62">
        <f>'1501 Summary'!R361</f>
        <v>200000.00000000003</v>
      </c>
      <c r="Q75" s="62"/>
      <c r="R75" s="62">
        <f>'1501 Summary'!T361</f>
        <v>200000.00000000003</v>
      </c>
      <c r="S75" s="62"/>
      <c r="T75" s="62">
        <f>'1501 Summary'!V361</f>
        <v>200000.00000000003</v>
      </c>
      <c r="U75" s="62"/>
      <c r="V75" s="62">
        <f>'1501 Summary'!X361</f>
        <v>200000.00000000003</v>
      </c>
      <c r="W75" s="62"/>
      <c r="X75" s="62">
        <f>'1501 Summary'!Z361</f>
        <v>200000.00000000003</v>
      </c>
      <c r="Y75" s="62"/>
      <c r="Z75" s="387">
        <f>'1501 Summary'!AB361</f>
        <v>111268.89460154242</v>
      </c>
      <c r="AA75" s="9"/>
    </row>
    <row r="76" spans="2:27" x14ac:dyDescent="0.25">
      <c r="B76" s="58">
        <v>72</v>
      </c>
      <c r="C76" s="63" t="s">
        <v>127</v>
      </c>
      <c r="D76" s="62">
        <f>'1501 Summary'!F362</f>
        <v>0</v>
      </c>
      <c r="E76" s="62"/>
      <c r="F76" s="62">
        <f>'1501 Summary'!H362</f>
        <v>0</v>
      </c>
      <c r="G76" s="62"/>
      <c r="H76" s="62">
        <f>'1501 Summary'!J362</f>
        <v>0</v>
      </c>
      <c r="I76" s="62"/>
      <c r="J76" s="62">
        <f>'1501 Summary'!L362</f>
        <v>0</v>
      </c>
      <c r="K76" s="62"/>
      <c r="L76" s="62">
        <f>'1501 Summary'!N362</f>
        <v>0</v>
      </c>
      <c r="M76" s="62"/>
      <c r="N76" s="62">
        <f>'1501 Summary'!P362</f>
        <v>0</v>
      </c>
      <c r="O76" s="62"/>
      <c r="P76" s="62">
        <f>'1501 Summary'!R362</f>
        <v>200000</v>
      </c>
      <c r="Q76" s="62"/>
      <c r="R76" s="62">
        <f>'1501 Summary'!T362</f>
        <v>200000</v>
      </c>
      <c r="S76" s="62"/>
      <c r="T76" s="62">
        <f>'1501 Summary'!V362</f>
        <v>200000</v>
      </c>
      <c r="U76" s="62"/>
      <c r="V76" s="62">
        <f>'1501 Summary'!X362</f>
        <v>200000</v>
      </c>
      <c r="W76" s="62"/>
      <c r="X76" s="62">
        <f>'1501 Summary'!Z362</f>
        <v>200000</v>
      </c>
      <c r="Y76" s="62"/>
      <c r="Z76" s="387">
        <f>'1501 Summary'!AB362</f>
        <v>0</v>
      </c>
      <c r="AA76" s="9"/>
    </row>
    <row r="77" spans="2:27" x14ac:dyDescent="0.25">
      <c r="B77" s="58">
        <v>73</v>
      </c>
      <c r="C77" s="63" t="s">
        <v>128</v>
      </c>
      <c r="D77" s="62">
        <f>'1501 Summary'!F363</f>
        <v>0</v>
      </c>
      <c r="E77" s="62"/>
      <c r="F77" s="62">
        <f>'1501 Summary'!H363</f>
        <v>0</v>
      </c>
      <c r="G77" s="62"/>
      <c r="H77" s="62">
        <f>'1501 Summary'!J363</f>
        <v>0</v>
      </c>
      <c r="I77" s="62"/>
      <c r="J77" s="62">
        <f>'1501 Summary'!L363</f>
        <v>0</v>
      </c>
      <c r="K77" s="62"/>
      <c r="L77" s="62">
        <f>'1501 Summary'!N363</f>
        <v>0</v>
      </c>
      <c r="M77" s="62"/>
      <c r="N77" s="62">
        <f>'1501 Summary'!P363</f>
        <v>0</v>
      </c>
      <c r="O77" s="62"/>
      <c r="P77" s="62">
        <f>'1501 Summary'!R363</f>
        <v>612893.23843416374</v>
      </c>
      <c r="Q77" s="62"/>
      <c r="R77" s="62">
        <f>'1501 Summary'!T363</f>
        <v>4550507.1174377222</v>
      </c>
      <c r="S77" s="62"/>
      <c r="T77" s="62">
        <f>'1501 Summary'!V363</f>
        <v>9000953.736654805</v>
      </c>
      <c r="U77" s="62"/>
      <c r="V77" s="62">
        <f>'1501 Summary'!X363</f>
        <v>4352567.6156583633</v>
      </c>
      <c r="W77" s="62"/>
      <c r="X77" s="62">
        <f>'1501 Summary'!Z363</f>
        <v>397403.91459074733</v>
      </c>
      <c r="Y77" s="62"/>
      <c r="Z77" s="387">
        <f>'1501 Summary'!AB363</f>
        <v>0</v>
      </c>
      <c r="AA77" s="9"/>
    </row>
    <row r="78" spans="2:27" x14ac:dyDescent="0.25">
      <c r="B78" s="58">
        <v>74</v>
      </c>
      <c r="C78" s="63" t="s">
        <v>258</v>
      </c>
      <c r="D78" s="62">
        <f>D74/'1501 Summary'!F358</f>
        <v>57483.023822922529</v>
      </c>
      <c r="E78" s="62"/>
      <c r="F78" s="62">
        <f>F74/'1501 Summary'!H358</f>
        <v>100000</v>
      </c>
      <c r="G78" s="62"/>
      <c r="H78" s="62">
        <f>H74/'1501 Summary'!J358</f>
        <v>100000</v>
      </c>
      <c r="I78" s="62"/>
      <c r="J78" s="62">
        <f>J74/'1501 Summary'!L358</f>
        <v>0</v>
      </c>
      <c r="K78" s="62"/>
      <c r="L78" s="62">
        <f>L74/'1501 Summary'!N358</f>
        <v>24269.930594635149</v>
      </c>
      <c r="M78" s="62"/>
      <c r="N78" s="62">
        <f>N74/'1501 Summary'!P358</f>
        <v>100000</v>
      </c>
      <c r="O78" s="62"/>
      <c r="P78" s="62">
        <f>P74/'1501 Summary'!R358</f>
        <v>100000</v>
      </c>
      <c r="Q78" s="62"/>
      <c r="R78" s="62">
        <f>R74/'1501 Summary'!T358</f>
        <v>100000</v>
      </c>
      <c r="S78" s="62"/>
      <c r="T78" s="62">
        <f>T74/'1501 Summary'!V358</f>
        <v>100000</v>
      </c>
      <c r="U78" s="62"/>
      <c r="V78" s="62">
        <f>V74/'1501 Summary'!X358</f>
        <v>100000</v>
      </c>
      <c r="W78" s="62"/>
      <c r="X78" s="62">
        <f>X74/'1501 Summary'!Z358</f>
        <v>100000</v>
      </c>
      <c r="Y78" s="62"/>
      <c r="Z78" s="387">
        <f>Z74/'1501 Summary'!AB358</f>
        <v>100000</v>
      </c>
      <c r="AA78" s="9"/>
    </row>
    <row r="79" spans="2:27" x14ac:dyDescent="0.25">
      <c r="B79" s="58">
        <v>75</v>
      </c>
      <c r="C79" s="63" t="s">
        <v>259</v>
      </c>
      <c r="D79" s="62">
        <f>D75/'1501 Summary'!F358</f>
        <v>0</v>
      </c>
      <c r="E79" s="62"/>
      <c r="F79" s="62">
        <f>F75/'1501 Summary'!H358</f>
        <v>6085.8611825192811</v>
      </c>
      <c r="G79" s="62"/>
      <c r="H79" s="62">
        <f>H75/'1501 Summary'!J358</f>
        <v>128696.1439588689</v>
      </c>
      <c r="I79" s="62"/>
      <c r="J79" s="62">
        <f>J75/'1501 Summary'!L358</f>
        <v>0</v>
      </c>
      <c r="K79" s="62"/>
      <c r="L79" s="62">
        <f>L75/'1501 Summary'!N358</f>
        <v>0</v>
      </c>
      <c r="M79" s="62"/>
      <c r="N79" s="62">
        <f>N75/'1501 Summary'!P358</f>
        <v>134043.18766066839</v>
      </c>
      <c r="O79" s="62"/>
      <c r="P79" s="62">
        <f>P75/'1501 Summary'!R358</f>
        <v>200000.00000000003</v>
      </c>
      <c r="Q79" s="62"/>
      <c r="R79" s="62">
        <f>R75/'1501 Summary'!T358</f>
        <v>200000.00000000003</v>
      </c>
      <c r="S79" s="62"/>
      <c r="T79" s="62">
        <f>T75/'1501 Summary'!V358</f>
        <v>200000.00000000003</v>
      </c>
      <c r="U79" s="62"/>
      <c r="V79" s="62">
        <f>V75/'1501 Summary'!X358</f>
        <v>200000.00000000003</v>
      </c>
      <c r="W79" s="62"/>
      <c r="X79" s="62">
        <f>X75/'1501 Summary'!Z358</f>
        <v>200000.00000000003</v>
      </c>
      <c r="Y79" s="62"/>
      <c r="Z79" s="387">
        <f>Z75/'1501 Summary'!AB358</f>
        <v>111268.89460154242</v>
      </c>
      <c r="AA79" s="9"/>
    </row>
    <row r="80" spans="2:27" x14ac:dyDescent="0.25">
      <c r="B80" s="58">
        <v>76</v>
      </c>
      <c r="C80" s="63" t="s">
        <v>259</v>
      </c>
      <c r="D80" s="62">
        <f>D76/'1501 Summary'!F358</f>
        <v>0</v>
      </c>
      <c r="E80" s="62"/>
      <c r="F80" s="62">
        <f>F76/'1501 Summary'!H358</f>
        <v>0</v>
      </c>
      <c r="G80" s="62"/>
      <c r="H80" s="62">
        <f>H76/'1501 Summary'!J358</f>
        <v>0</v>
      </c>
      <c r="I80" s="62"/>
      <c r="J80" s="62">
        <f>J76/'1501 Summary'!L358</f>
        <v>0</v>
      </c>
      <c r="K80" s="62"/>
      <c r="L80" s="62">
        <f>L76/'1501 Summary'!N358</f>
        <v>0</v>
      </c>
      <c r="M80" s="62"/>
      <c r="N80" s="62">
        <f>N76/'1501 Summary'!P358</f>
        <v>0</v>
      </c>
      <c r="O80" s="62"/>
      <c r="P80" s="62">
        <f>P76/'1501 Summary'!R358</f>
        <v>200000</v>
      </c>
      <c r="Q80" s="62"/>
      <c r="R80" s="62">
        <f>R76/'1501 Summary'!T358</f>
        <v>200000</v>
      </c>
      <c r="S80" s="62"/>
      <c r="T80" s="62">
        <f>T76/'1501 Summary'!V358</f>
        <v>200000</v>
      </c>
      <c r="U80" s="62"/>
      <c r="V80" s="62">
        <f>V76/'1501 Summary'!X358</f>
        <v>200000</v>
      </c>
      <c r="W80" s="62"/>
      <c r="X80" s="62">
        <f>X76/'1501 Summary'!Z358</f>
        <v>200000</v>
      </c>
      <c r="Y80" s="62"/>
      <c r="Z80" s="387">
        <f>Z76/'1501 Summary'!AB358</f>
        <v>0</v>
      </c>
      <c r="AA80" s="9"/>
    </row>
    <row r="81" spans="2:28" x14ac:dyDescent="0.25">
      <c r="B81" s="58">
        <v>77</v>
      </c>
      <c r="C81" s="63" t="s">
        <v>260</v>
      </c>
      <c r="D81" s="62">
        <f>D77/'1501 Summary'!F358</f>
        <v>0</v>
      </c>
      <c r="E81" s="62"/>
      <c r="F81" s="62">
        <f>F77/'1501 Summary'!H358</f>
        <v>0</v>
      </c>
      <c r="G81" s="62"/>
      <c r="H81" s="62">
        <f>H77/'1501 Summary'!J358</f>
        <v>0</v>
      </c>
      <c r="I81" s="62"/>
      <c r="J81" s="62">
        <f>J77/'1501 Summary'!L358</f>
        <v>0</v>
      </c>
      <c r="K81" s="62"/>
      <c r="L81" s="62">
        <f>L77/'1501 Summary'!N358</f>
        <v>0</v>
      </c>
      <c r="M81" s="62"/>
      <c r="N81" s="62">
        <f>N77/'1501 Summary'!P358</f>
        <v>0</v>
      </c>
      <c r="O81" s="62"/>
      <c r="P81" s="62">
        <f>P77/'1501 Summary'!R358</f>
        <v>612893.23843416374</v>
      </c>
      <c r="Q81" s="62"/>
      <c r="R81" s="62">
        <f>R77/'1501 Summary'!T358</f>
        <v>4550507.1174377222</v>
      </c>
      <c r="S81" s="62"/>
      <c r="T81" s="62">
        <f>T77/'1501 Summary'!V358</f>
        <v>9000953.736654805</v>
      </c>
      <c r="U81" s="62"/>
      <c r="V81" s="62">
        <f>V77/'1501 Summary'!X358</f>
        <v>4352567.6156583633</v>
      </c>
      <c r="W81" s="62"/>
      <c r="X81" s="62">
        <f>X77/'1501 Summary'!Z358</f>
        <v>397403.91459074733</v>
      </c>
      <c r="Y81" s="62"/>
      <c r="Z81" s="387">
        <f>Z77/'1501 Summary'!AB358</f>
        <v>0</v>
      </c>
      <c r="AA81" s="9"/>
    </row>
    <row r="82" spans="2:28" x14ac:dyDescent="0.25">
      <c r="B82" s="682">
        <v>78</v>
      </c>
      <c r="C82" s="712" t="s">
        <v>609</v>
      </c>
      <c r="D82" s="713">
        <v>-9355</v>
      </c>
      <c r="E82" s="713"/>
      <c r="F82" s="713">
        <v>-91658</v>
      </c>
      <c r="G82" s="713"/>
      <c r="H82" s="713">
        <v>-92891</v>
      </c>
      <c r="I82" s="713"/>
      <c r="J82" s="713">
        <v>-93856</v>
      </c>
      <c r="K82" s="713"/>
      <c r="L82" s="713">
        <v>-93736</v>
      </c>
      <c r="M82" s="713"/>
      <c r="N82" s="713">
        <v>-87451</v>
      </c>
      <c r="O82" s="713"/>
      <c r="P82" s="713">
        <v>-91178</v>
      </c>
      <c r="Q82" s="713"/>
      <c r="R82" s="713">
        <v>-87456</v>
      </c>
      <c r="S82" s="713"/>
      <c r="T82" s="713">
        <v>-88987</v>
      </c>
      <c r="U82" s="713"/>
      <c r="V82" s="713">
        <v>-96465</v>
      </c>
      <c r="W82" s="713"/>
      <c r="X82" s="713">
        <v>-97394</v>
      </c>
      <c r="Y82" s="713"/>
      <c r="Z82" s="714">
        <v>-99941</v>
      </c>
      <c r="AA82" s="9"/>
    </row>
    <row r="83" spans="2:28" x14ac:dyDescent="0.25">
      <c r="B83" s="682">
        <v>79</v>
      </c>
      <c r="C83" s="82" t="s">
        <v>265</v>
      </c>
      <c r="D83" s="83">
        <f>SUM(D74:D77)/'1501 Summary'!F358</f>
        <v>57483.023822922529</v>
      </c>
      <c r="E83" s="83"/>
      <c r="F83" s="83">
        <f>SUM(F74:F77)/'1501 Summary'!H358</f>
        <v>106085.86118251928</v>
      </c>
      <c r="G83" s="83"/>
      <c r="H83" s="83">
        <f>SUM(H74:H77)/'1501 Summary'!J358</f>
        <v>228696.1439588689</v>
      </c>
      <c r="I83" s="83"/>
      <c r="J83" s="83">
        <f>SUM(J74:J77)/'1501 Summary'!L358</f>
        <v>0</v>
      </c>
      <c r="K83" s="83"/>
      <c r="L83" s="83">
        <f>SUM(L74:L77)/'1501 Summary'!N358</f>
        <v>24269.930594635149</v>
      </c>
      <c r="M83" s="83"/>
      <c r="N83" s="83">
        <f>SUM(N74:N77)/'1501 Summary'!P358</f>
        <v>234043.18766066839</v>
      </c>
      <c r="O83" s="83"/>
      <c r="P83" s="83">
        <f>SUM(P74:P77)/'1501 Summary'!R358</f>
        <v>1112893.2384341639</v>
      </c>
      <c r="Q83" s="83"/>
      <c r="R83" s="83">
        <f>SUM(R74:R77)/'1501 Summary'!T358</f>
        <v>5050507.1174377222</v>
      </c>
      <c r="S83" s="83"/>
      <c r="T83" s="83">
        <f>SUM(T74:T77)/'1501 Summary'!V358</f>
        <v>9500953.736654805</v>
      </c>
      <c r="U83" s="83"/>
      <c r="V83" s="83">
        <f>SUM(V74:V77)/'1501 Summary'!X358</f>
        <v>4852567.6156583633</v>
      </c>
      <c r="W83" s="83"/>
      <c r="X83" s="83">
        <f>SUM(X74:X77)/'1501 Summary'!Z358</f>
        <v>897403.91459074733</v>
      </c>
      <c r="Y83" s="83"/>
      <c r="Z83" s="388">
        <f>SUM(Z74:Z77)/'1501 Summary'!AB358</f>
        <v>211268.89460154242</v>
      </c>
      <c r="AA83" s="9"/>
    </row>
    <row r="84" spans="2:28" x14ac:dyDescent="0.25">
      <c r="B84" s="682">
        <v>80</v>
      </c>
      <c r="C84" s="82">
        <v>906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388"/>
    </row>
    <row r="85" spans="2:28" x14ac:dyDescent="0.25">
      <c r="B85" s="682">
        <v>81</v>
      </c>
      <c r="C85" s="63" t="s">
        <v>159</v>
      </c>
      <c r="D85" s="135">
        <f>'1501 Summary'!F252</f>
        <v>2617900</v>
      </c>
      <c r="E85" s="135"/>
      <c r="F85" s="135">
        <f>'1501 Summary'!H252</f>
        <v>3202150</v>
      </c>
      <c r="G85" s="135"/>
      <c r="H85" s="135">
        <f>'1501 Summary'!J252</f>
        <v>2316550</v>
      </c>
      <c r="I85" s="135"/>
      <c r="J85" s="135">
        <f>'1501 Summary'!L252</f>
        <v>2298400</v>
      </c>
      <c r="K85" s="135"/>
      <c r="L85" s="135">
        <f>'1501 Summary'!N252</f>
        <v>2069824.9999999998</v>
      </c>
      <c r="M85" s="135"/>
      <c r="N85" s="135">
        <f>'1501 Summary'!P252</f>
        <v>1973650</v>
      </c>
      <c r="O85" s="135"/>
      <c r="P85" s="135">
        <f>'1501 Summary'!R252</f>
        <v>2265725</v>
      </c>
      <c r="Q85" s="135"/>
      <c r="R85" s="135">
        <f>'1501 Summary'!T252</f>
        <v>2468675</v>
      </c>
      <c r="S85" s="135"/>
      <c r="T85" s="135">
        <f>'1501 Summary'!V252</f>
        <v>2310625</v>
      </c>
      <c r="U85" s="135"/>
      <c r="V85" s="135">
        <f>'1501 Summary'!X252</f>
        <v>2238150</v>
      </c>
      <c r="W85" s="135"/>
      <c r="X85" s="135">
        <f>'1501 Summary'!Z252</f>
        <v>2832250</v>
      </c>
      <c r="Y85" s="135"/>
      <c r="Z85" s="390">
        <f>'1501 Summary'!AB252</f>
        <v>3143974.9999999995</v>
      </c>
    </row>
    <row r="86" spans="2:28" x14ac:dyDescent="0.25">
      <c r="B86" s="682">
        <v>82</v>
      </c>
      <c r="C86" s="63" t="s">
        <v>534</v>
      </c>
      <c r="D86" s="135">
        <f>'1501 Summary'!F253</f>
        <v>2545058.179517509</v>
      </c>
      <c r="E86" s="135"/>
      <c r="F86" s="135">
        <f>'1501 Summary'!H253</f>
        <v>3006870.1345143453</v>
      </c>
      <c r="G86" s="135"/>
      <c r="H86" s="135">
        <f>'1501 Summary'!J253</f>
        <v>2292202.1566308145</v>
      </c>
      <c r="I86" s="135"/>
      <c r="J86" s="135">
        <f>'1501 Summary'!L253</f>
        <v>2283506.8632575027</v>
      </c>
      <c r="K86" s="135"/>
      <c r="L86" s="135">
        <f>'1501 Summary'!N253</f>
        <v>2069825.7365279344</v>
      </c>
      <c r="M86" s="135"/>
      <c r="N86" s="135">
        <f>'1501 Summary'!P253</f>
        <v>1973659.6704536076</v>
      </c>
      <c r="O86" s="135"/>
      <c r="P86" s="135">
        <f>'1501 Summary'!R253</f>
        <v>2265713.2836354636</v>
      </c>
      <c r="Q86" s="135"/>
      <c r="R86" s="135">
        <f>'1501 Summary'!T253</f>
        <v>2468668.1245018495</v>
      </c>
      <c r="S86" s="135"/>
      <c r="T86" s="135">
        <f>'1501 Summary'!V253</f>
        <v>2310614.9475792442</v>
      </c>
      <c r="U86" s="135"/>
      <c r="V86" s="135">
        <f>'1501 Summary'!X253</f>
        <v>2238144.1894368259</v>
      </c>
      <c r="W86" s="135"/>
      <c r="X86" s="135">
        <f>'1501 Summary'!Z253</f>
        <v>2855886.1798587129</v>
      </c>
      <c r="Y86" s="135"/>
      <c r="Z86" s="390">
        <f>'1501 Summary'!AB253</f>
        <v>3224084.2546987939</v>
      </c>
    </row>
    <row r="87" spans="2:28" x14ac:dyDescent="0.25">
      <c r="B87" s="682">
        <v>83</v>
      </c>
      <c r="C87" s="63" t="s">
        <v>258</v>
      </c>
      <c r="D87" s="135">
        <f>D85/'1501 Summary'!F249</f>
        <v>2617900</v>
      </c>
      <c r="E87" s="135"/>
      <c r="F87" s="135">
        <f>F85/'1501 Summary'!H249</f>
        <v>3202150</v>
      </c>
      <c r="G87" s="135"/>
      <c r="H87" s="135">
        <f>H85/'1501 Summary'!J249</f>
        <v>2316550</v>
      </c>
      <c r="I87" s="135"/>
      <c r="J87" s="135">
        <f>J85/'1501 Summary'!L249</f>
        <v>2298400</v>
      </c>
      <c r="K87" s="135"/>
      <c r="L87" s="135">
        <f>L85/'1501 Summary'!N249</f>
        <v>2069824.9999999998</v>
      </c>
      <c r="M87" s="135"/>
      <c r="N87" s="135">
        <f>N85/'1501 Summary'!P249</f>
        <v>1973650</v>
      </c>
      <c r="O87" s="135"/>
      <c r="P87" s="135">
        <f>P85/'1501 Summary'!R249</f>
        <v>2265725</v>
      </c>
      <c r="Q87" s="135"/>
      <c r="R87" s="135">
        <f>R85/'1501 Summary'!T249</f>
        <v>2468675</v>
      </c>
      <c r="S87" s="135"/>
      <c r="T87" s="135">
        <f>T85/'1501 Summary'!V249</f>
        <v>2310625</v>
      </c>
      <c r="U87" s="135"/>
      <c r="V87" s="135">
        <f>V85/'1501 Summary'!X249</f>
        <v>2238150</v>
      </c>
      <c r="W87" s="135"/>
      <c r="X87" s="135">
        <f>X85/'1501 Summary'!Z249</f>
        <v>2832250</v>
      </c>
      <c r="Y87" s="135"/>
      <c r="Z87" s="390">
        <f>Z85/'1501 Summary'!AB249</f>
        <v>3143974.9999999995</v>
      </c>
    </row>
    <row r="88" spans="2:28" x14ac:dyDescent="0.25">
      <c r="B88" s="682">
        <v>84</v>
      </c>
      <c r="C88" s="63" t="s">
        <v>535</v>
      </c>
      <c r="D88" s="135">
        <f>D86/'1501 Summary'!F249</f>
        <v>2545058.179517509</v>
      </c>
      <c r="E88" s="135"/>
      <c r="F88" s="135">
        <f>F86/'1501 Summary'!H249</f>
        <v>3006870.1345143453</v>
      </c>
      <c r="G88" s="135"/>
      <c r="H88" s="135">
        <f>H86/'1501 Summary'!J249</f>
        <v>2292202.1566308145</v>
      </c>
      <c r="I88" s="135"/>
      <c r="J88" s="135">
        <f>J86/'1501 Summary'!L249</f>
        <v>2283506.8632575027</v>
      </c>
      <c r="K88" s="135"/>
      <c r="L88" s="135">
        <f>L86/'1501 Summary'!N249</f>
        <v>2069825.7365279344</v>
      </c>
      <c r="M88" s="135"/>
      <c r="N88" s="135">
        <f>N86/'1501 Summary'!P249</f>
        <v>1973659.6704536076</v>
      </c>
      <c r="O88" s="135"/>
      <c r="P88" s="135">
        <f>P86/'1501 Summary'!R249</f>
        <v>2265713.2836354636</v>
      </c>
      <c r="Q88" s="135"/>
      <c r="R88" s="135">
        <f>R86/'1501 Summary'!T249</f>
        <v>2468668.1245018495</v>
      </c>
      <c r="S88" s="135"/>
      <c r="T88" s="135">
        <f>T86/'1501 Summary'!V249</f>
        <v>2310614.9475792442</v>
      </c>
      <c r="U88" s="135"/>
      <c r="V88" s="135">
        <f>V86/'1501 Summary'!X249</f>
        <v>2238144.1894368259</v>
      </c>
      <c r="W88" s="135"/>
      <c r="X88" s="135">
        <f>X86/'1501 Summary'!Z249</f>
        <v>2855886.1798587129</v>
      </c>
      <c r="Y88" s="135"/>
      <c r="Z88" s="390">
        <f>Z86/'1501 Summary'!AB249</f>
        <v>3224084.2546987939</v>
      </c>
    </row>
    <row r="89" spans="2:28" x14ac:dyDescent="0.25">
      <c r="B89" s="682">
        <v>85</v>
      </c>
      <c r="C89" s="82" t="s">
        <v>533</v>
      </c>
      <c r="D89" s="83">
        <f>SUM(D85:D86)/'1501 Summary'!F249</f>
        <v>5162958.1795175094</v>
      </c>
      <c r="E89" s="83"/>
      <c r="F89" s="83">
        <f>SUM(F85:F86)/'1501 Summary'!H249</f>
        <v>6209020.1345143449</v>
      </c>
      <c r="G89" s="83"/>
      <c r="H89" s="83">
        <f>SUM(H85:H86)/'1501 Summary'!J249</f>
        <v>4608752.1566308141</v>
      </c>
      <c r="I89" s="83"/>
      <c r="J89" s="83">
        <f>SUM(J85:J86)/'1501 Summary'!L249</f>
        <v>4581906.8632575031</v>
      </c>
      <c r="K89" s="83"/>
      <c r="L89" s="83">
        <f>SUM(L85:L86)/'1501 Summary'!N249</f>
        <v>4139650.7365279342</v>
      </c>
      <c r="M89" s="83"/>
      <c r="N89" s="83">
        <f>SUM(N85:N86)/'1501 Summary'!P249</f>
        <v>3947309.6704536076</v>
      </c>
      <c r="O89" s="83"/>
      <c r="P89" s="83">
        <f>SUM(P85:P86)/'1501 Summary'!R249</f>
        <v>4531438.2836354636</v>
      </c>
      <c r="Q89" s="83"/>
      <c r="R89" s="83">
        <f>SUM(R85:R86)/'1501 Summary'!T249</f>
        <v>4937343.1245018495</v>
      </c>
      <c r="S89" s="83"/>
      <c r="T89" s="83">
        <f>SUM(T85:T86)/'1501 Summary'!V249</f>
        <v>4621239.9475792442</v>
      </c>
      <c r="U89" s="83"/>
      <c r="V89" s="83">
        <f>SUM(V85:V86)/'1501 Summary'!X249</f>
        <v>4476294.1894368259</v>
      </c>
      <c r="W89" s="83"/>
      <c r="X89" s="83">
        <f>SUM(X85:X86)/'1501 Summary'!Z249</f>
        <v>5688136.1798587125</v>
      </c>
      <c r="Y89" s="83"/>
      <c r="Z89" s="388">
        <f>SUM(Z85:Z86)/'1501 Summary'!AB249</f>
        <v>6368059.2546987934</v>
      </c>
      <c r="AA89" s="854" t="s">
        <v>634</v>
      </c>
      <c r="AB89" s="855"/>
    </row>
    <row r="90" spans="2:28" x14ac:dyDescent="0.25">
      <c r="B90" s="682">
        <v>86</v>
      </c>
      <c r="C90" s="82" t="s">
        <v>267</v>
      </c>
      <c r="D90" s="83">
        <f>SUM(D44,D54,D64,D74,D85)/SUM('1501 Summary'!F220,'1501 Summary'!F319,'1501 Summary'!F339,'1501 Summary'!F358,'1501 Summary'!F249)</f>
        <v>56217.269040807441</v>
      </c>
      <c r="E90" s="83"/>
      <c r="F90" s="83">
        <f>SUM(F44,F54,F64,F74,F85)/SUM('1501 Summary'!H220,'1501 Summary'!H319,'1501 Summary'!H339,'1501 Summary'!H358,'1501 Summary'!H249)</f>
        <v>62593.857964037277</v>
      </c>
      <c r="G90" s="83"/>
      <c r="H90" s="83">
        <f>SUM(H44,H54,H64,H74,H85)/SUM('1501 Summary'!J220,'1501 Summary'!J319,'1501 Summary'!J339,'1501 Summary'!J358,'1501 Summary'!J249)</f>
        <v>58811.504753724483</v>
      </c>
      <c r="I90" s="83"/>
      <c r="J90" s="83">
        <f>SUM(J44,J54,J64,J74,J85)/SUM('1501 Summary'!L220,'1501 Summary'!L319,'1501 Summary'!L339,'1501 Summary'!L358,'1501 Summary'!L249)</f>
        <v>56586.48461333412</v>
      </c>
      <c r="K90" s="83"/>
      <c r="L90" s="83">
        <f>SUM(L44,L54,L64,L74,L85)/SUM('1501 Summary'!N220,'1501 Summary'!N319,'1501 Summary'!N339,'1501 Summary'!N358,'1501 Summary'!N249)</f>
        <v>51029.27459962952</v>
      </c>
      <c r="M90" s="83"/>
      <c r="N90" s="83">
        <f>SUM(N44,N54,N64,N74,N85)/SUM('1501 Summary'!P220,'1501 Summary'!P319,'1501 Summary'!P339,'1501 Summary'!P358,'1501 Summary'!P249)</f>
        <v>48737.163826828881</v>
      </c>
      <c r="O90" s="83"/>
      <c r="P90" s="83">
        <f>SUM(P44,P54,P64,P74,P85)/SUM('1501 Summary'!R220,'1501 Summary'!R319,'1501 Summary'!R339,'1501 Summary'!R358,'1501 Summary'!R249)</f>
        <v>50801.219356331087</v>
      </c>
      <c r="Q90" s="83"/>
      <c r="R90" s="83">
        <f>SUM(R44,R54,R64,R74,R85)/SUM('1501 Summary'!T220,'1501 Summary'!T319,'1501 Summary'!T339,'1501 Summary'!T358,'1501 Summary'!T249)</f>
        <v>51391.20718779492</v>
      </c>
      <c r="S90" s="83"/>
      <c r="T90" s="83">
        <f>SUM(T44,T54,T64,T74,T85)/SUM('1501 Summary'!V220,'1501 Summary'!V319,'1501 Summary'!V339,'1501 Summary'!V358,'1501 Summary'!V249)</f>
        <v>50942.481549545111</v>
      </c>
      <c r="U90" s="83"/>
      <c r="V90" s="83">
        <f>SUM(V44,V54,V64,V74,V85)/SUM('1501 Summary'!X220,'1501 Summary'!X319,'1501 Summary'!X339,'1501 Summary'!X358,'1501 Summary'!X249)</f>
        <v>56382.041472332618</v>
      </c>
      <c r="W90" s="83"/>
      <c r="X90" s="83">
        <f>SUM(X44,X54,X64,X74,X85)/SUM('1501 Summary'!Z220,'1501 Summary'!Z319,'1501 Summary'!Z339,'1501 Summary'!Z358,'1501 Summary'!Z249)</f>
        <v>64651.934083253815</v>
      </c>
      <c r="Y90" s="83"/>
      <c r="Z90" s="664">
        <f>SUM(Z44,Z54,Z64,Z74,Z85)/SUM('1501 Summary'!AB220,'1501 Summary'!AB319,'1501 Summary'!AB339,'1501 Summary'!AB358,'1501 Summary'!AB249)</f>
        <v>61524.548769320441</v>
      </c>
      <c r="AA90" s="718">
        <f>SUM(AA44,X54,X64,X74,X85)/SUM('1501 Summary'!Z220,'1501 Summary'!Z319,'1501 Summary'!Z339,'1501 Summary'!Z358,'1501 Summary'!Z249,'1501 Summary'!Z74)</f>
        <v>64640.376246440843</v>
      </c>
      <c r="AB90" s="719">
        <f>SUM(AB44,Z54,Z64,Z74,Z85)/SUM('1501 Summary'!AB220,'1501 Summary'!AB319,'1501 Summary'!AB339,'1501 Summary'!AB358,'1501 Summary'!AB249,'1501 Summary'!AB74)</f>
        <v>61873.953431511261</v>
      </c>
    </row>
    <row r="91" spans="2:28" x14ac:dyDescent="0.25">
      <c r="B91" s="682">
        <v>87</v>
      </c>
      <c r="C91" s="82" t="s">
        <v>268</v>
      </c>
      <c r="D91" s="83">
        <f>SUM(D45,D55,D65,D75,D86)/SUM('1501 Summary'!F220,'1501 Summary'!F319,'1501 Summary'!F339,'1501 Summary'!F358,'1501 Summary'!F249)</f>
        <v>44090.34888534584</v>
      </c>
      <c r="E91" s="83"/>
      <c r="F91" s="83">
        <f>SUM(F45,F55,F65,F75,F86)/SUM('1501 Summary'!H220,'1501 Summary'!H319,'1501 Summary'!H339,'1501 Summary'!H358,'1501 Summary'!H249)</f>
        <v>48078.968523480537</v>
      </c>
      <c r="G91" s="83"/>
      <c r="H91" s="83">
        <f>SUM(H45,H55,H65,H75,H86)/SUM('1501 Summary'!J220,'1501 Summary'!J319,'1501 Summary'!J339,'1501 Summary'!J358,'1501 Summary'!J249)</f>
        <v>42853.39519590565</v>
      </c>
      <c r="I91" s="83"/>
      <c r="J91" s="83">
        <f>SUM(J45,J55,J65,J75,J86)/SUM('1501 Summary'!L220,'1501 Summary'!L319,'1501 Summary'!L339,'1501 Summary'!L358,'1501 Summary'!L249)</f>
        <v>42085.622646558899</v>
      </c>
      <c r="K91" s="83"/>
      <c r="L91" s="83">
        <f>SUM(L45,L55,L65,L75,L86)/SUM('1501 Summary'!N220,'1501 Summary'!N319,'1501 Summary'!N339,'1501 Summary'!N358,'1501 Summary'!N249)</f>
        <v>40492.119370037581</v>
      </c>
      <c r="M91" s="83"/>
      <c r="N91" s="83">
        <f>SUM(N45,N55,N65,N75,N86)/SUM('1501 Summary'!P220,'1501 Summary'!P319,'1501 Summary'!P339,'1501 Summary'!P358,'1501 Summary'!P249)</f>
        <v>39708.939281351253</v>
      </c>
      <c r="O91" s="83"/>
      <c r="P91" s="83">
        <f>SUM(P45,P55,P65,P75,P86)/SUM('1501 Summary'!R220,'1501 Summary'!R319,'1501 Summary'!R339,'1501 Summary'!R358,'1501 Summary'!R249)</f>
        <v>49633.742255740042</v>
      </c>
      <c r="Q91" s="83"/>
      <c r="R91" s="83">
        <f>SUM(R45,R55,R65,R75,R86)/SUM('1501 Summary'!T220,'1501 Summary'!T319,'1501 Summary'!T339,'1501 Summary'!T358,'1501 Summary'!T249)</f>
        <v>39984.071026162739</v>
      </c>
      <c r="S91" s="83"/>
      <c r="T91" s="83">
        <f>SUM(T45,T55,T65,T75,T86)/SUM('1501 Summary'!V220,'1501 Summary'!V319,'1501 Summary'!V339,'1501 Summary'!V358,'1501 Summary'!V249)</f>
        <v>39459.289505788423</v>
      </c>
      <c r="U91" s="83"/>
      <c r="V91" s="83">
        <f>SUM(V45,V55,V65,V75,V86)/SUM('1501 Summary'!X220,'1501 Summary'!X319,'1501 Summary'!X339,'1501 Summary'!X358,'1501 Summary'!X249)</f>
        <v>42943.087924345222</v>
      </c>
      <c r="W91" s="83"/>
      <c r="X91" s="83">
        <f>SUM(X45,X55,X65,X75,X86)/SUM('1501 Summary'!Z220,'1501 Summary'!Z319,'1501 Summary'!Z339,'1501 Summary'!Z358,'1501 Summary'!Z249)</f>
        <v>52202.105789161724</v>
      </c>
      <c r="Y91" s="83"/>
      <c r="Z91" s="664">
        <f>SUM(Z45,Z55,Z65,Z75,Z86)/SUM('1501 Summary'!AB220,'1501 Summary'!AB319,'1501 Summary'!AB339,'1501 Summary'!AB358,'1501 Summary'!AB249)</f>
        <v>46592.945449841493</v>
      </c>
      <c r="AA91" s="718">
        <f>SUM(AA45,X55,X65,X75,X86)/SUM('1501 Summary'!Z220,'1501 Summary'!Z319,'1501 Summary'!Z339,'1501 Summary'!Z358,'1501 Summary'!Z249,'1501 Summary'!Z74)</f>
        <v>51336.060027255269</v>
      </c>
      <c r="AB91" s="719">
        <f>SUM(AB45,Z55,Z65,Z75,Z86)/SUM('1501 Summary'!AB220,'1501 Summary'!AB319,'1501 Summary'!AB339,'1501 Summary'!AB358,'1501 Summary'!AB249,'1501 Summary'!AB74)</f>
        <v>45939.315303992313</v>
      </c>
    </row>
    <row r="92" spans="2:28" x14ac:dyDescent="0.25">
      <c r="B92" s="682">
        <v>88</v>
      </c>
      <c r="C92" s="82" t="s">
        <v>268</v>
      </c>
      <c r="D92" s="83">
        <f>SUM(D46,D56,D66,D76)/SUM('1501 Summary'!F220,'1501 Summary'!F319,'1501 Summary'!F339,'1501 Summary'!F358)</f>
        <v>16827.660521863032</v>
      </c>
      <c r="E92" s="83"/>
      <c r="F92" s="83">
        <f>SUM(F46,F56,F66,F76)/SUM('1501 Summary'!H220,'1501 Summary'!H319,'1501 Summary'!H339,'1501 Summary'!H358)</f>
        <v>17609.956362988691</v>
      </c>
      <c r="G92" s="83"/>
      <c r="H92" s="83">
        <f>SUM(H46,H56,H66,H76)/SUM('1501 Summary'!J220,'1501 Summary'!J319,'1501 Summary'!J339,'1501 Summary'!J358)</f>
        <v>17268.091030358373</v>
      </c>
      <c r="I92" s="83"/>
      <c r="J92" s="83">
        <f>SUM(J46,J56,J66,J76)/SUM('1501 Summary'!L220,'1501 Summary'!L319,'1501 Summary'!L339,'1501 Summary'!L358)</f>
        <v>15731.470290691948</v>
      </c>
      <c r="K92" s="83"/>
      <c r="L92" s="83">
        <f>SUM(L46,L56,L66,L76)/SUM('1501 Summary'!N220,'1501 Summary'!N319,'1501 Summary'!N339,'1501 Summary'!N358)</f>
        <v>15431.365774576767</v>
      </c>
      <c r="M92" s="83"/>
      <c r="N92" s="83">
        <f>SUM(N46,N56,N66,N76)/SUM('1501 Summary'!P220,'1501 Summary'!P319,'1501 Summary'!P339,'1501 Summary'!P358)</f>
        <v>15773.533047526365</v>
      </c>
      <c r="O92" s="83"/>
      <c r="P92" s="83">
        <f>SUM(P46,P56,P66,P76)/SUM('1501 Summary'!R220,'1501 Summary'!R319,'1501 Summary'!R339,'1501 Summary'!R358)</f>
        <v>2083.3333333333335</v>
      </c>
      <c r="Q92" s="83"/>
      <c r="R92" s="83">
        <f>SUM(R46,R56,R66,R76)/SUM('1501 Summary'!T220,'1501 Summary'!T319,'1501 Summary'!T339,'1501 Summary'!T358)</f>
        <v>14483.705231246475</v>
      </c>
      <c r="S92" s="83"/>
      <c r="T92" s="83">
        <f>SUM(T46,T56,T66,T76)/SUM('1501 Summary'!V220,'1501 Summary'!V319,'1501 Summary'!V339,'1501 Summary'!V358)</f>
        <v>15236.071615240826</v>
      </c>
      <c r="U92" s="83"/>
      <c r="V92" s="83">
        <f>SUM(V46,V56,V66,V76)/SUM('1501 Summary'!X220,'1501 Summary'!X319,'1501 Summary'!X339,'1501 Summary'!X358)</f>
        <v>16082.424971057082</v>
      </c>
      <c r="W92" s="83"/>
      <c r="X92" s="83">
        <f>SUM(X46,X56,X66,X76)/SUM('1501 Summary'!Z220,'1501 Summary'!Z319,'1501 Summary'!Z339,'1501 Summary'!Z358)</f>
        <v>17645.742605383115</v>
      </c>
      <c r="Y92" s="83"/>
      <c r="Z92" s="664">
        <f>SUM(Z46,Z56,Z66,Z76)/SUM('1501 Summary'!AB220,'1501 Summary'!AB319,'1501 Summary'!AB339,'1501 Summary'!AB358)</f>
        <v>14222.156674440937</v>
      </c>
      <c r="AA92" s="718">
        <f>SUM(AA46,X56,X66,X76)/SUM('1501 Summary'!Z220,'1501 Summary'!Z319,'1501 Summary'!Z339,'1501 Summary'!Z358,'1501 Summary'!Z74)</f>
        <v>20664.08455128298</v>
      </c>
      <c r="AB92" s="719">
        <f>SUM(AB46,Z56,Z66,Z76)/SUM('1501 Summary'!AB220,'1501 Summary'!AB319,'1501 Summary'!AB339,'1501 Summary'!AB358,'1501 Summary'!AB74)</f>
        <v>17873.621781073492</v>
      </c>
    </row>
    <row r="93" spans="2:28" x14ac:dyDescent="0.25">
      <c r="B93" s="682">
        <v>89</v>
      </c>
      <c r="C93" s="715" t="s">
        <v>269</v>
      </c>
      <c r="D93" s="716">
        <f>SUM(D47,D57,D67,D77,D82)/SUM('1501 Summary'!F220,'1501 Summary'!F319,'1501 Summary'!F339,'1501 Summary'!F358)</f>
        <v>163342.80286570516</v>
      </c>
      <c r="E93" s="716"/>
      <c r="F93" s="716">
        <f>SUM(F47,F57,F67,F77,F82)/SUM('1501 Summary'!H220,'1501 Summary'!H319,'1501 Summary'!H339,'1501 Summary'!H358)</f>
        <v>167624.0232627833</v>
      </c>
      <c r="G93" s="716"/>
      <c r="H93" s="716">
        <f>SUM(H47,H57,H67,H77,H82)/SUM('1501 Summary'!J220,'1501 Summary'!J319,'1501 Summary'!J339,'1501 Summary'!J358)</f>
        <v>135689.75369523058</v>
      </c>
      <c r="I93" s="716"/>
      <c r="J93" s="716">
        <f>SUM(J47,J57,J67,J77,J82)/SUM('1501 Summary'!L220,'1501 Summary'!L319,'1501 Summary'!L339,'1501 Summary'!L358)</f>
        <v>132857.25515449356</v>
      </c>
      <c r="K93" s="716"/>
      <c r="L93" s="716">
        <f>SUM(L47,L57,L67,L77,L82)/SUM('1501 Summary'!N220,'1501 Summary'!N319,'1501 Summary'!N339,'1501 Summary'!N358)</f>
        <v>112868.62894300462</v>
      </c>
      <c r="M93" s="716"/>
      <c r="N93" s="716">
        <f>SUM(N47,N57,N67,N77,N82)/SUM('1501 Summary'!P220,'1501 Summary'!P319,'1501 Summary'!P339,'1501 Summary'!P358)</f>
        <v>100485.72398724024</v>
      </c>
      <c r="O93" s="716"/>
      <c r="P93" s="716">
        <f>SUM(P47,P57,P67,P77,P82)/SUM('1501 Summary'!R220,'1501 Summary'!R319,'1501 Summary'!R339,'1501 Summary'!R358)</f>
        <v>137431.75381820876</v>
      </c>
      <c r="Q93" s="716"/>
      <c r="R93" s="716">
        <f>SUM(R47,R57,R67,R77,R82)/SUM('1501 Summary'!T220,'1501 Summary'!T319,'1501 Summary'!T339,'1501 Summary'!T358)</f>
        <v>233215.37411032026</v>
      </c>
      <c r="S93" s="716"/>
      <c r="T93" s="716">
        <f>SUM(T47,T57,T67,T77,T82)/SUM('1501 Summary'!V220,'1501 Summary'!V319,'1501 Summary'!V339,'1501 Summary'!V358)</f>
        <v>281231.25436455442</v>
      </c>
      <c r="U93" s="716"/>
      <c r="V93" s="716">
        <f>SUM(V47,V57,V67,V77,V82)/SUM('1501 Summary'!X220,'1501 Summary'!X319,'1501 Summary'!X339,'1501 Summary'!X358)</f>
        <v>259354.55768870574</v>
      </c>
      <c r="W93" s="716"/>
      <c r="X93" s="716">
        <f>SUM(X47,X57,X67,X77,X82)/SUM('1501 Summary'!Z220,'1501 Summary'!Z319,'1501 Summary'!Z339,'1501 Summary'!Z358)</f>
        <v>148163.22046555043</v>
      </c>
      <c r="Y93" s="716"/>
      <c r="Z93" s="717">
        <f>SUM(Z47,Z57,Z67,Z77,Z82)/SUM('1501 Summary'!AB220,'1501 Summary'!AB319,'1501 Summary'!AB339,'1501 Summary'!AB358)</f>
        <v>174114.11135904587</v>
      </c>
      <c r="AA93" s="716">
        <f>SUM(X47,X57,X67,X77,X82)/SUM('1501 Summary'!Z220,'1501 Summary'!Z319,'1501 Summary'!Z339,'1501 Summary'!Z358)</f>
        <v>148163.22046555043</v>
      </c>
      <c r="AB93" s="717">
        <f>SUM(Z47,Z57,Z67,Z77,Z82)/SUM('1501 Summary'!AB220,'1501 Summary'!AB319,'1501 Summary'!AB339,'1501 Summary'!AB358)</f>
        <v>174114.11135904587</v>
      </c>
    </row>
    <row r="94" spans="2:28" ht="15.75" thickBot="1" x14ac:dyDescent="0.3">
      <c r="B94" s="682">
        <v>90</v>
      </c>
      <c r="C94" s="98"/>
      <c r="D94" s="391"/>
      <c r="E94" s="391"/>
      <c r="F94" s="65"/>
      <c r="G94" s="67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9"/>
      <c r="Z94" s="69"/>
      <c r="AA94" s="507"/>
      <c r="AB94" s="507"/>
    </row>
    <row r="95" spans="2:28" ht="15.75" thickBot="1" x14ac:dyDescent="0.3">
      <c r="B95" s="682">
        <v>91</v>
      </c>
    </row>
    <row r="96" spans="2:28" ht="15" customHeight="1" x14ac:dyDescent="0.25">
      <c r="B96" s="682">
        <v>92</v>
      </c>
      <c r="C96" s="849" t="s">
        <v>537</v>
      </c>
      <c r="D96" s="849"/>
      <c r="E96" s="849"/>
      <c r="F96" s="849"/>
      <c r="G96" s="849"/>
      <c r="H96" s="849"/>
      <c r="I96" s="849"/>
      <c r="J96" s="849"/>
      <c r="K96" s="849"/>
      <c r="L96" s="849"/>
      <c r="M96" s="849"/>
      <c r="N96" s="849"/>
      <c r="O96" s="849"/>
      <c r="P96" s="849"/>
      <c r="Q96" s="849"/>
      <c r="R96" s="849"/>
      <c r="S96" s="849"/>
      <c r="T96" s="849"/>
      <c r="U96" s="849"/>
      <c r="V96" s="849"/>
      <c r="W96" s="849"/>
      <c r="X96" s="849"/>
      <c r="Y96" s="849"/>
      <c r="Z96" s="850"/>
    </row>
    <row r="97" spans="1:32" x14ac:dyDescent="0.25">
      <c r="B97" s="682">
        <v>93</v>
      </c>
      <c r="C97" s="378" t="s">
        <v>217</v>
      </c>
      <c r="D97" s="378" t="s">
        <v>218</v>
      </c>
      <c r="E97" s="378"/>
      <c r="F97" s="378" t="s">
        <v>34</v>
      </c>
      <c r="G97" s="378"/>
      <c r="H97" s="378" t="s">
        <v>35</v>
      </c>
      <c r="I97" s="378"/>
      <c r="J97" s="378" t="s">
        <v>37</v>
      </c>
      <c r="K97" s="378"/>
      <c r="L97" s="378" t="s">
        <v>39</v>
      </c>
      <c r="M97" s="378"/>
      <c r="N97" s="378" t="s">
        <v>50</v>
      </c>
      <c r="O97" s="378"/>
      <c r="P97" s="378" t="s">
        <v>51</v>
      </c>
      <c r="Q97" s="378"/>
      <c r="R97" s="378" t="s">
        <v>77</v>
      </c>
      <c r="S97" s="378"/>
      <c r="T97" s="378" t="s">
        <v>52</v>
      </c>
      <c r="U97" s="378"/>
      <c r="V97" s="378" t="s">
        <v>41</v>
      </c>
      <c r="W97" s="378"/>
      <c r="X97" s="378" t="s">
        <v>43</v>
      </c>
      <c r="Y97" s="378"/>
      <c r="Z97" s="60" t="s">
        <v>44</v>
      </c>
      <c r="AA97" s="378" t="s">
        <v>227</v>
      </c>
      <c r="AB97" s="378" t="s">
        <v>229</v>
      </c>
      <c r="AC97" s="60" t="s">
        <v>422</v>
      </c>
      <c r="AD97" s="378" t="s">
        <v>436</v>
      </c>
    </row>
    <row r="98" spans="1:32" ht="43.5" customHeight="1" x14ac:dyDescent="0.25">
      <c r="B98" s="682">
        <v>94</v>
      </c>
      <c r="C98" s="61" t="s">
        <v>219</v>
      </c>
      <c r="D98" s="61" t="s">
        <v>79</v>
      </c>
      <c r="E98" s="61"/>
      <c r="F98" s="61" t="s">
        <v>80</v>
      </c>
      <c r="G98" s="61"/>
      <c r="H98" s="61" t="s">
        <v>81</v>
      </c>
      <c r="I98" s="61"/>
      <c r="J98" s="61" t="s">
        <v>82</v>
      </c>
      <c r="K98" s="61"/>
      <c r="L98" s="61" t="s">
        <v>83</v>
      </c>
      <c r="M98" s="61"/>
      <c r="N98" s="61" t="s">
        <v>84</v>
      </c>
      <c r="O98" s="61"/>
      <c r="P98" s="61" t="s">
        <v>85</v>
      </c>
      <c r="Q98" s="61"/>
      <c r="R98" s="61" t="s">
        <v>86</v>
      </c>
      <c r="S98" s="61"/>
      <c r="T98" s="61" t="s">
        <v>87</v>
      </c>
      <c r="U98" s="61"/>
      <c r="V98" s="61" t="s">
        <v>88</v>
      </c>
      <c r="W98" s="61"/>
      <c r="X98" s="61" t="s">
        <v>89</v>
      </c>
      <c r="Y98" s="61"/>
      <c r="Z98" s="95" t="s">
        <v>90</v>
      </c>
      <c r="AA98" s="397"/>
      <c r="AB98" s="398" t="s">
        <v>228</v>
      </c>
      <c r="AC98" s="398" t="s">
        <v>478</v>
      </c>
      <c r="AD98" s="398" t="s">
        <v>567</v>
      </c>
    </row>
    <row r="99" spans="1:32" x14ac:dyDescent="0.25">
      <c r="B99" s="682">
        <v>95</v>
      </c>
      <c r="C99" s="63" t="s">
        <v>249</v>
      </c>
      <c r="D99" s="368">
        <f>D8*SUM('1501 Summary'!$AB$6)</f>
        <v>21481403.558054745</v>
      </c>
      <c r="E99" s="368"/>
      <c r="F99" s="368">
        <f>F8*SUM('1501 Summary'!$AB$6)</f>
        <v>17282496.365299165</v>
      </c>
      <c r="G99" s="368"/>
      <c r="H99" s="368">
        <f>H8*SUM('1501 Summary'!$AB$6)</f>
        <v>14550887.329602273</v>
      </c>
      <c r="I99" s="368"/>
      <c r="J99" s="368">
        <f>J8*SUM('1501 Summary'!$AB$6)</f>
        <v>9553553.7802296188</v>
      </c>
      <c r="K99" s="368"/>
      <c r="L99" s="368">
        <f>L8*SUM('1501 Summary'!$AB$6)</f>
        <v>6059718.5388262738</v>
      </c>
      <c r="M99" s="368"/>
      <c r="N99" s="368">
        <f>N8*SUM('1501 Summary'!$AB$6)</f>
        <v>3709463.2561856038</v>
      </c>
      <c r="O99" s="368"/>
      <c r="P99" s="368">
        <f>P8*SUM('1501 Summary'!$AB$6)</f>
        <v>3106265.7935826126</v>
      </c>
      <c r="Q99" s="368"/>
      <c r="R99" s="368">
        <f>R8*SUM('1501 Summary'!$AB$6)</f>
        <v>3112645.5987847848</v>
      </c>
      <c r="S99" s="368"/>
      <c r="T99" s="368">
        <f>T8*SUM('1501 Summary'!$AB$6)</f>
        <v>3972281.2075161906</v>
      </c>
      <c r="U99" s="368"/>
      <c r="V99" s="368">
        <f>V8*SUM('1501 Summary'!$AB$6)</f>
        <v>9102021.7976925541</v>
      </c>
      <c r="W99" s="368"/>
      <c r="X99" s="368">
        <f>X8*SUM('1501 Summary'!$AB$6)</f>
        <v>17003957.468034908</v>
      </c>
      <c r="Y99" s="368"/>
      <c r="Z99" s="369">
        <f>Z8*SUM('1501 Summary'!$AB$6)</f>
        <v>22806992.536832273</v>
      </c>
      <c r="AA99" s="71">
        <f>SUM(D99:Z99)</f>
        <v>131741687.23064102</v>
      </c>
      <c r="AB99" s="376">
        <f>SUM('1501 Summary'!$AB$6)*12</f>
        <v>2344308</v>
      </c>
      <c r="AC99" s="138">
        <f>SUM('1501 Summary'!F6,'1501 Summary'!H6,'1501 Summary'!J6,'1501 Summary'!L6,'1501 Summary'!N6,'1501 Summary'!P6,'1501 Summary'!R6,'1501 Summary'!T6,'1501 Summary'!V6,'1501 Summary'!X6,'1501 Summary'!Z6,'1501 Summary'!AB6)/12</f>
        <v>193477.59333333335</v>
      </c>
      <c r="AD99" s="73">
        <f>('2020 New Customers'!C18)*12</f>
        <v>2377210.5179602341</v>
      </c>
      <c r="AE99" s="9"/>
      <c r="AF99" s="9"/>
    </row>
    <row r="100" spans="1:32" x14ac:dyDescent="0.25">
      <c r="B100" s="682">
        <v>96</v>
      </c>
      <c r="C100" s="75" t="s">
        <v>273</v>
      </c>
      <c r="D100" s="373">
        <f>D10*SUM('1501 Summary'!$AB$30,'1501 Summary'!$AB$49)</f>
        <v>14962920.09105991</v>
      </c>
      <c r="E100" s="373"/>
      <c r="F100" s="373">
        <f>F10*SUM('1501 Summary'!$AB$30,'1501 Summary'!$AB$49)</f>
        <v>11941476.853740096</v>
      </c>
      <c r="G100" s="373"/>
      <c r="H100" s="373">
        <f>H10*SUM('1501 Summary'!$AB$30,'1501 Summary'!$AB$49)</f>
        <v>9514310.0195858628</v>
      </c>
      <c r="I100" s="373"/>
      <c r="J100" s="373">
        <f>J10*SUM('1501 Summary'!$AB$30,'1501 Summary'!$AB$49)</f>
        <v>6184290.0073053576</v>
      </c>
      <c r="K100" s="373"/>
      <c r="L100" s="373">
        <f>L10*SUM('1501 Summary'!$AB$30,'1501 Summary'!$AB$49)</f>
        <v>4507576.2480000183</v>
      </c>
      <c r="M100" s="373"/>
      <c r="N100" s="373">
        <f>N10*SUM('1501 Summary'!$AB$30,'1501 Summary'!$AB$49)</f>
        <v>3185951.0085212658</v>
      </c>
      <c r="O100" s="373"/>
      <c r="P100" s="373">
        <f>P10*SUM('1501 Summary'!$AB$30,'1501 Summary'!$AB$49)</f>
        <v>3154644.5544320531</v>
      </c>
      <c r="Q100" s="373"/>
      <c r="R100" s="373">
        <f>R10*SUM('1501 Summary'!$AB$30,'1501 Summary'!$AB$49)</f>
        <v>3172920.6924638362</v>
      </c>
      <c r="S100" s="373"/>
      <c r="T100" s="373">
        <f>T10*SUM('1501 Summary'!$AB$30,'1501 Summary'!$AB$49)</f>
        <v>3848957.8058954026</v>
      </c>
      <c r="U100" s="373"/>
      <c r="V100" s="373">
        <f>V10*SUM('1501 Summary'!$AB$30,'1501 Summary'!$AB$49)</f>
        <v>7254098.4631915251</v>
      </c>
      <c r="W100" s="373"/>
      <c r="X100" s="373">
        <f>X10*SUM('1501 Summary'!$AB$30,'1501 Summary'!$AB$49)</f>
        <v>11095081.839790983</v>
      </c>
      <c r="Y100" s="373"/>
      <c r="Z100" s="392">
        <f>Z10*SUM('1501 Summary'!$AB$30,'1501 Summary'!$AB$49)</f>
        <v>14473775.727049282</v>
      </c>
      <c r="AA100" s="71">
        <f>SUM(D100:Z100)</f>
        <v>93296003.311035588</v>
      </c>
      <c r="AB100" s="377">
        <f>SUM('1501 Summary'!$AB$30,'1501 Summary'!$AB$49)*12</f>
        <v>322116</v>
      </c>
      <c r="AC100" s="73">
        <f>SUM('1501 Summary'!F49,'1501 Summary'!H49,'1501 Summary'!J49,'1501 Summary'!L49,'1501 Summary'!N49,'1501 Summary'!P49,'1501 Summary'!R49,'1501 Summary'!T49,'1501 Summary'!V49,'1501 Summary'!X49,'1501 Summary'!Z49,'1501 Summary'!AB49,'1501 Summary'!AB30,'1501 Summary'!Z30,'1501 Summary'!X30,'1501 Summary'!V30,'1501 Summary'!T30,'1501 Summary'!R30,'1501 Summary'!P30,'1501 Summary'!N30,'1501 Summary'!L30,'1501 Summary'!J30,'1501 Summary'!H30,'1501 Summary'!F30)/12</f>
        <v>26611.29294871795</v>
      </c>
      <c r="AD100" s="73">
        <f>('2020 New Customers'!D18)*12</f>
        <v>325585.60335617326</v>
      </c>
      <c r="AE100" s="9"/>
      <c r="AF100" s="9"/>
    </row>
    <row r="101" spans="1:32" x14ac:dyDescent="0.25">
      <c r="B101" s="682">
        <v>97</v>
      </c>
      <c r="C101" s="63">
        <v>505</v>
      </c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9"/>
      <c r="AA101" s="84"/>
      <c r="AB101" s="377"/>
      <c r="AC101" s="136"/>
      <c r="AD101" s="73"/>
      <c r="AE101" s="9"/>
      <c r="AF101" s="9"/>
    </row>
    <row r="102" spans="1:32" x14ac:dyDescent="0.25">
      <c r="B102" s="682">
        <v>98</v>
      </c>
      <c r="C102" s="63" t="s">
        <v>160</v>
      </c>
      <c r="D102" s="368">
        <f>(D20)*($AB$102/12)</f>
        <v>194340.07098025919</v>
      </c>
      <c r="E102" s="368"/>
      <c r="F102" s="368">
        <f t="shared" ref="F102:Z102" si="2">(F20)*($AB$102/12)</f>
        <v>198435.0250724245</v>
      </c>
      <c r="G102" s="368"/>
      <c r="H102" s="368">
        <f t="shared" si="2"/>
        <v>205749.5769055803</v>
      </c>
      <c r="I102" s="368"/>
      <c r="J102" s="368">
        <f t="shared" si="2"/>
        <v>183273.59427443455</v>
      </c>
      <c r="K102" s="368"/>
      <c r="L102" s="368">
        <f t="shared" si="2"/>
        <v>141801.01412570136</v>
      </c>
      <c r="M102" s="368"/>
      <c r="N102" s="368">
        <f t="shared" si="2"/>
        <v>106600.76388016609</v>
      </c>
      <c r="O102" s="368"/>
      <c r="P102" s="368">
        <f t="shared" si="2"/>
        <v>90402.736365577541</v>
      </c>
      <c r="Q102" s="368"/>
      <c r="R102" s="368">
        <f t="shared" si="2"/>
        <v>84398.169395629971</v>
      </c>
      <c r="S102" s="368"/>
      <c r="T102" s="368">
        <f t="shared" si="2"/>
        <v>92092.139562676224</v>
      </c>
      <c r="U102" s="368"/>
      <c r="V102" s="368">
        <f t="shared" si="2"/>
        <v>133088.39782184863</v>
      </c>
      <c r="W102" s="368"/>
      <c r="X102" s="368">
        <f t="shared" si="2"/>
        <v>174658.5047865161</v>
      </c>
      <c r="Y102" s="368"/>
      <c r="Z102" s="369">
        <f t="shared" si="2"/>
        <v>191214.32972942691</v>
      </c>
      <c r="AA102" s="71">
        <f>SUM(D102:Z102)</f>
        <v>1796054.322900241</v>
      </c>
      <c r="AB102" s="377">
        <f>SUM('1501 Summary'!$AB$101,'1501 Summary'!$AB$180)*12</f>
        <v>5856</v>
      </c>
      <c r="AC102" s="73">
        <f>SUM('1501 Summary'!F101,'1501 Summary'!H101,'1501 Summary'!J101,'1501 Summary'!L101,'1501 Summary'!N101,'1501 Summary'!P101,'1501 Summary'!R101,'1501 Summary'!T101,'1501 Summary'!V101,'1501 Summary'!X101,'1501 Summary'!Z101,'1501 Summary'!AB101,'1501 Summary'!F180,'1501 Summary'!H180,'1501 Summary'!J180,'1501 Summary'!L180,'1501 Summary'!N180,'1501 Summary'!P180,'1501 Summary'!R180,'1501 Summary'!T180,'1501 Summary'!V180,'1501 Summary'!X180,'1501 Summary'!Z180,'1501 Summary'!AB180)/12</f>
        <v>481.91666666666669</v>
      </c>
      <c r="AD102" s="73">
        <f>('2020 New Customers'!E18)*12</f>
        <v>5894.5263157894724</v>
      </c>
      <c r="AE102" s="9"/>
      <c r="AF102" s="9"/>
    </row>
    <row r="103" spans="1:32" x14ac:dyDescent="0.25">
      <c r="B103" s="682">
        <v>99</v>
      </c>
      <c r="C103" s="63" t="s">
        <v>161</v>
      </c>
      <c r="D103" s="368">
        <f t="shared" ref="D103:Z103" si="3">(D21)*($AB$102/12)</f>
        <v>698387.7119573321</v>
      </c>
      <c r="E103" s="368"/>
      <c r="F103" s="368">
        <f t="shared" si="3"/>
        <v>723016.34030108422</v>
      </c>
      <c r="G103" s="368"/>
      <c r="H103" s="368">
        <f t="shared" si="3"/>
        <v>768541.60303038161</v>
      </c>
      <c r="I103" s="368"/>
      <c r="J103" s="368">
        <f t="shared" si="3"/>
        <v>585399.82631121867</v>
      </c>
      <c r="K103" s="368"/>
      <c r="L103" s="368">
        <f t="shared" si="3"/>
        <v>412618.147901399</v>
      </c>
      <c r="M103" s="368"/>
      <c r="N103" s="368">
        <f t="shared" si="3"/>
        <v>303387.93231473467</v>
      </c>
      <c r="O103" s="368"/>
      <c r="P103" s="368">
        <f t="shared" si="3"/>
        <v>279357.09619900072</v>
      </c>
      <c r="Q103" s="368"/>
      <c r="R103" s="368">
        <f t="shared" si="3"/>
        <v>272356.05256572872</v>
      </c>
      <c r="S103" s="368"/>
      <c r="T103" s="368">
        <f t="shared" si="3"/>
        <v>298836.84950773552</v>
      </c>
      <c r="U103" s="368"/>
      <c r="V103" s="368">
        <f t="shared" si="3"/>
        <v>407885.21791435569</v>
      </c>
      <c r="W103" s="368"/>
      <c r="X103" s="368">
        <f t="shared" si="3"/>
        <v>542537.34133536008</v>
      </c>
      <c r="Y103" s="368"/>
      <c r="Z103" s="369">
        <f t="shared" si="3"/>
        <v>663264.02434806665</v>
      </c>
      <c r="AA103" s="71">
        <f t="shared" ref="AA103:AA120" si="4">SUM(D103:Z103)</f>
        <v>5955588.143686397</v>
      </c>
      <c r="AB103" s="377"/>
      <c r="AC103" s="136"/>
      <c r="AD103" s="73"/>
      <c r="AE103" s="9"/>
      <c r="AF103" s="9"/>
    </row>
    <row r="104" spans="1:32" x14ac:dyDescent="0.25">
      <c r="B104" s="682">
        <v>100</v>
      </c>
      <c r="C104" s="63" t="s">
        <v>162</v>
      </c>
      <c r="D104" s="368">
        <f t="shared" ref="D104:Z104" si="5">(D22)*($AB$102/12)</f>
        <v>562177.83876820025</v>
      </c>
      <c r="E104" s="368"/>
      <c r="F104" s="368">
        <f t="shared" si="5"/>
        <v>725105.85736923234</v>
      </c>
      <c r="G104" s="368"/>
      <c r="H104" s="368">
        <f t="shared" si="5"/>
        <v>816782.44734708616</v>
      </c>
      <c r="I104" s="368"/>
      <c r="J104" s="368">
        <f t="shared" si="5"/>
        <v>582014.37290593912</v>
      </c>
      <c r="K104" s="368"/>
      <c r="L104" s="368">
        <f t="shared" si="5"/>
        <v>257597.30651931031</v>
      </c>
      <c r="M104" s="368"/>
      <c r="N104" s="368">
        <f t="shared" si="5"/>
        <v>175201.87107495344</v>
      </c>
      <c r="O104" s="368"/>
      <c r="P104" s="368">
        <f t="shared" si="5"/>
        <v>178651.78946509288</v>
      </c>
      <c r="Q104" s="368"/>
      <c r="R104" s="368">
        <f t="shared" si="5"/>
        <v>206663.57161042653</v>
      </c>
      <c r="S104" s="368"/>
      <c r="T104" s="368">
        <f t="shared" si="5"/>
        <v>271927.92957544461</v>
      </c>
      <c r="U104" s="368"/>
      <c r="V104" s="368">
        <f t="shared" si="5"/>
        <v>763197.04454235022</v>
      </c>
      <c r="W104" s="368"/>
      <c r="X104" s="368">
        <f t="shared" si="5"/>
        <v>453753.09697827091</v>
      </c>
      <c r="Y104" s="368"/>
      <c r="Z104" s="369">
        <f t="shared" si="5"/>
        <v>568661.79001721169</v>
      </c>
      <c r="AA104" s="71">
        <f t="shared" si="4"/>
        <v>5561734.9161735196</v>
      </c>
      <c r="AB104" s="377"/>
      <c r="AC104" s="136"/>
      <c r="AD104" s="73"/>
      <c r="AE104" s="9"/>
      <c r="AF104" s="9"/>
    </row>
    <row r="105" spans="1:32" x14ac:dyDescent="0.25">
      <c r="A105" t="s">
        <v>541</v>
      </c>
      <c r="B105" s="682">
        <v>101</v>
      </c>
      <c r="C105" s="63" t="s">
        <v>220</v>
      </c>
      <c r="D105" s="368">
        <f>SUM(D102:D104)</f>
        <v>1454905.6217057914</v>
      </c>
      <c r="E105" s="368"/>
      <c r="F105" s="368">
        <f t="shared" ref="F105:Z105" si="6">SUM(F102:F104)</f>
        <v>1646557.222742741</v>
      </c>
      <c r="G105" s="368"/>
      <c r="H105" s="368">
        <f t="shared" si="6"/>
        <v>1791073.6272830481</v>
      </c>
      <c r="I105" s="368"/>
      <c r="J105" s="368">
        <f t="shared" si="6"/>
        <v>1350687.7934915924</v>
      </c>
      <c r="K105" s="368"/>
      <c r="L105" s="368">
        <f t="shared" si="6"/>
        <v>812016.46854641067</v>
      </c>
      <c r="M105" s="368"/>
      <c r="N105" s="368">
        <f t="shared" si="6"/>
        <v>585190.56726985425</v>
      </c>
      <c r="O105" s="368"/>
      <c r="P105" s="368">
        <f t="shared" si="6"/>
        <v>548411.62202967121</v>
      </c>
      <c r="Q105" s="368"/>
      <c r="R105" s="368">
        <f t="shared" si="6"/>
        <v>563417.79357178521</v>
      </c>
      <c r="S105" s="368"/>
      <c r="T105" s="368">
        <f t="shared" si="6"/>
        <v>662856.91864585644</v>
      </c>
      <c r="U105" s="368"/>
      <c r="V105" s="368">
        <f t="shared" si="6"/>
        <v>1304170.6602785545</v>
      </c>
      <c r="W105" s="368"/>
      <c r="X105" s="368">
        <f t="shared" si="6"/>
        <v>1170948.9431001469</v>
      </c>
      <c r="Y105" s="368"/>
      <c r="Z105" s="369">
        <f t="shared" si="6"/>
        <v>1423140.1440947051</v>
      </c>
      <c r="AA105" s="71">
        <f t="shared" si="4"/>
        <v>13313377.38276016</v>
      </c>
      <c r="AB105" s="287"/>
      <c r="AC105" s="136"/>
      <c r="AD105" s="73"/>
      <c r="AE105" s="9"/>
      <c r="AF105" s="9"/>
    </row>
    <row r="106" spans="1:32" ht="15.75" thickBot="1" x14ac:dyDescent="0.3">
      <c r="A106" t="s">
        <v>540</v>
      </c>
      <c r="B106" s="682">
        <v>102</v>
      </c>
      <c r="C106" s="76">
        <v>511</v>
      </c>
      <c r="D106" s="374"/>
      <c r="E106" s="374"/>
      <c r="F106" s="374"/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635"/>
      <c r="Y106" s="635"/>
      <c r="Z106" s="636"/>
      <c r="AA106" s="71"/>
      <c r="AB106" s="287"/>
      <c r="AC106" s="136"/>
      <c r="AD106" s="73"/>
      <c r="AE106" s="9"/>
    </row>
    <row r="107" spans="1:32" x14ac:dyDescent="0.25">
      <c r="B107" s="682">
        <v>103</v>
      </c>
      <c r="C107" s="66" t="s">
        <v>163</v>
      </c>
      <c r="D107" s="375">
        <f>D33*($AB$107/12)</f>
        <v>1152660.454862653</v>
      </c>
      <c r="E107" s="375"/>
      <c r="F107" s="375">
        <f>F33*($AB$107/12)</f>
        <v>1188660.5976019793</v>
      </c>
      <c r="G107" s="375"/>
      <c r="H107" s="375">
        <f t="shared" ref="H107:V107" si="7">H33*($AB$107/12)</f>
        <v>1220204.8848569433</v>
      </c>
      <c r="I107" s="375"/>
      <c r="J107" s="375">
        <f t="shared" si="7"/>
        <v>909291.85994006821</v>
      </c>
      <c r="K107" s="375"/>
      <c r="L107" s="375">
        <f t="shared" si="7"/>
        <v>636471.26408134785</v>
      </c>
      <c r="M107" s="375"/>
      <c r="N107" s="375">
        <f t="shared" si="7"/>
        <v>479376.73213039583</v>
      </c>
      <c r="O107" s="375"/>
      <c r="P107" s="375">
        <f t="shared" si="7"/>
        <v>427946.61959689669</v>
      </c>
      <c r="Q107" s="375"/>
      <c r="R107" s="375">
        <f t="shared" si="7"/>
        <v>424333.87173918157</v>
      </c>
      <c r="S107" s="375"/>
      <c r="T107" s="375">
        <f t="shared" si="7"/>
        <v>383562.99740467471</v>
      </c>
      <c r="U107" s="375"/>
      <c r="V107" s="375">
        <f t="shared" si="7"/>
        <v>632564.29114688281</v>
      </c>
      <c r="W107" s="633"/>
      <c r="X107" s="720">
        <f>AA33*($AB$107/12)</f>
        <v>856018.82625399716</v>
      </c>
      <c r="Y107" s="721"/>
      <c r="Z107" s="721">
        <f>AB33*($AB$107/12)</f>
        <v>1082224.2149337055</v>
      </c>
      <c r="AA107" s="722">
        <f>SUM(D107:Z107)</f>
        <v>9393316.614548726</v>
      </c>
      <c r="AB107" s="730">
        <f>SUM('1501 Summary'!$AB$128,'1501 Summary'!$AB$154)*12</f>
        <v>1080</v>
      </c>
      <c r="AC107" s="731">
        <f>SUM('1501 Summary'!F128,'1501 Summary'!H128,'1501 Summary'!J128,'1501 Summary'!L128,'1501 Summary'!N128,'1501 Summary'!P128,'1501 Summary'!R128,'1501 Summary'!T128,'1501 Summary'!V128,'1501 Summary'!X128,'1501 Summary'!Z128,'1501 Summary'!AB128,'1501 Summary'!F154,'1501 Summary'!H154,'1501 Summary'!J154,'1501 Summary'!L154,'1501 Summary'!N154,'1501 Summary'!P154,'1501 Summary'!R154,'1501 Summary'!T154,'1501 Summary'!V154,'1501 Summary'!X154,'1501 Summary'!Z154,'1501 Summary'!AB154)/12</f>
        <v>87.666666666666671</v>
      </c>
      <c r="AD107" s="732">
        <f>SUM('2020 New Customers'!F18:H18)*12</f>
        <v>1092.5581395348836</v>
      </c>
      <c r="AE107" s="9"/>
    </row>
    <row r="108" spans="1:32" x14ac:dyDescent="0.25">
      <c r="B108" s="682">
        <v>104</v>
      </c>
      <c r="C108" s="66" t="s">
        <v>164</v>
      </c>
      <c r="D108" s="374">
        <f>D34*($AB$107/12)</f>
        <v>538971.12742501509</v>
      </c>
      <c r="E108" s="374"/>
      <c r="F108" s="374">
        <f>F34*($AB$107/12)</f>
        <v>534793.43921737408</v>
      </c>
      <c r="G108" s="374"/>
      <c r="H108" s="374">
        <f t="shared" ref="H108:V108" si="8">H34*($AB$107/12)</f>
        <v>571373.17916970141</v>
      </c>
      <c r="I108" s="374"/>
      <c r="J108" s="374">
        <f t="shared" si="8"/>
        <v>456881.38897219487</v>
      </c>
      <c r="K108" s="374"/>
      <c r="L108" s="374">
        <f t="shared" si="8"/>
        <v>366872.00863593799</v>
      </c>
      <c r="M108" s="374"/>
      <c r="N108" s="374">
        <f t="shared" si="8"/>
        <v>289320.8302986162</v>
      </c>
      <c r="O108" s="374"/>
      <c r="P108" s="374">
        <f t="shared" si="8"/>
        <v>273004.01653742342</v>
      </c>
      <c r="Q108" s="374"/>
      <c r="R108" s="374">
        <f t="shared" si="8"/>
        <v>279187.11179488857</v>
      </c>
      <c r="S108" s="374"/>
      <c r="T108" s="374">
        <f t="shared" si="8"/>
        <v>256085.28646366115</v>
      </c>
      <c r="U108" s="374"/>
      <c r="V108" s="374">
        <f t="shared" si="8"/>
        <v>418924.56443284207</v>
      </c>
      <c r="W108" s="634"/>
      <c r="X108" s="723">
        <f>AA34*($AB$107/12)</f>
        <v>496561.67212248791</v>
      </c>
      <c r="Y108" s="724"/>
      <c r="Z108" s="713">
        <f t="shared" ref="Z108:Z109" si="9">AB34*($AB$107/12)</f>
        <v>425639.20247632917</v>
      </c>
      <c r="AA108" s="725">
        <f t="shared" si="4"/>
        <v>4907613.8275464717</v>
      </c>
      <c r="AB108" s="677"/>
      <c r="AC108" s="136"/>
      <c r="AD108" s="73"/>
      <c r="AE108" s="9"/>
    </row>
    <row r="109" spans="1:32" x14ac:dyDescent="0.25">
      <c r="B109" s="682">
        <v>105</v>
      </c>
      <c r="C109" s="66" t="s">
        <v>165</v>
      </c>
      <c r="D109" s="374">
        <f>D35*($AB$107/12)</f>
        <v>158068.55934762911</v>
      </c>
      <c r="E109" s="374"/>
      <c r="F109" s="374">
        <f>F35*($AB$107/12)</f>
        <v>172131.15372999094</v>
      </c>
      <c r="G109" s="374"/>
      <c r="H109" s="374">
        <f t="shared" ref="H109:V109" si="10">H35*($AB$107/12)</f>
        <v>202976.74418604653</v>
      </c>
      <c r="I109" s="374"/>
      <c r="J109" s="374">
        <f t="shared" si="10"/>
        <v>82179.792847371515</v>
      </c>
      <c r="K109" s="374"/>
      <c r="L109" s="374">
        <f t="shared" si="10"/>
        <v>25083.451985445339</v>
      </c>
      <c r="M109" s="374"/>
      <c r="N109" s="374">
        <f t="shared" si="10"/>
        <v>40215.946843853824</v>
      </c>
      <c r="O109" s="374"/>
      <c r="P109" s="374">
        <f t="shared" si="10"/>
        <v>62799.687316787182</v>
      </c>
      <c r="Q109" s="374"/>
      <c r="R109" s="374">
        <f t="shared" si="10"/>
        <v>57516.144686251821</v>
      </c>
      <c r="S109" s="374"/>
      <c r="T109" s="374">
        <f t="shared" si="10"/>
        <v>35539.960431520405</v>
      </c>
      <c r="U109" s="374"/>
      <c r="V109" s="374">
        <f t="shared" si="10"/>
        <v>75578.782336033444</v>
      </c>
      <c r="W109" s="634"/>
      <c r="X109" s="723">
        <f>AA35*($AB$107/12)</f>
        <v>154778.21182140123</v>
      </c>
      <c r="Y109" s="724"/>
      <c r="Z109" s="713">
        <f t="shared" si="9"/>
        <v>137160.20671834625</v>
      </c>
      <c r="AA109" s="725">
        <f t="shared" si="4"/>
        <v>1204028.6422506776</v>
      </c>
      <c r="AB109" s="377"/>
      <c r="AC109" s="136"/>
      <c r="AD109" s="73"/>
      <c r="AE109" s="9"/>
    </row>
    <row r="110" spans="1:32" ht="15.75" thickBot="1" x14ac:dyDescent="0.3">
      <c r="B110" s="682">
        <v>106</v>
      </c>
      <c r="C110" s="66" t="s">
        <v>255</v>
      </c>
      <c r="D110" s="374">
        <f>SUM(D107:D109)</f>
        <v>1849700.1416352973</v>
      </c>
      <c r="E110" s="374"/>
      <c r="F110" s="374">
        <f t="shared" ref="F110:Z110" si="11">SUM(F107:F109)</f>
        <v>1895585.1905493443</v>
      </c>
      <c r="G110" s="374"/>
      <c r="H110" s="374">
        <f t="shared" si="11"/>
        <v>1994554.8082126912</v>
      </c>
      <c r="I110" s="374"/>
      <c r="J110" s="374">
        <f t="shared" si="11"/>
        <v>1448353.0417596346</v>
      </c>
      <c r="K110" s="374"/>
      <c r="L110" s="374">
        <f t="shared" si="11"/>
        <v>1028426.7247027312</v>
      </c>
      <c r="M110" s="374"/>
      <c r="N110" s="374">
        <f t="shared" si="11"/>
        <v>808913.50927286583</v>
      </c>
      <c r="O110" s="374"/>
      <c r="P110" s="374">
        <f t="shared" si="11"/>
        <v>763750.32345110737</v>
      </c>
      <c r="Q110" s="374"/>
      <c r="R110" s="374">
        <f t="shared" si="11"/>
        <v>761037.12822032208</v>
      </c>
      <c r="S110" s="374"/>
      <c r="T110" s="374">
        <f t="shared" si="11"/>
        <v>675188.24429985625</v>
      </c>
      <c r="U110" s="374"/>
      <c r="V110" s="374">
        <f t="shared" si="11"/>
        <v>1127067.6379157584</v>
      </c>
      <c r="W110" s="634"/>
      <c r="X110" s="726">
        <f>SUM(X107:X109)</f>
        <v>1507358.7101978862</v>
      </c>
      <c r="Y110" s="727"/>
      <c r="Z110" s="728">
        <f t="shared" si="11"/>
        <v>1645023.624128381</v>
      </c>
      <c r="AA110" s="729">
        <f>SUM(D110:Z110)</f>
        <v>15504959.084345875</v>
      </c>
      <c r="AB110" s="377"/>
      <c r="AC110" s="136"/>
      <c r="AD110" s="73"/>
      <c r="AE110" s="9"/>
    </row>
    <row r="111" spans="1:32" x14ac:dyDescent="0.25">
      <c r="B111" s="682">
        <v>107</v>
      </c>
      <c r="C111" s="92">
        <v>570</v>
      </c>
      <c r="D111" s="371"/>
      <c r="E111" s="371"/>
      <c r="F111" s="371"/>
      <c r="G111" s="371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2"/>
      <c r="AA111" s="71"/>
      <c r="AB111" s="377"/>
      <c r="AC111" s="136"/>
      <c r="AD111" s="73"/>
      <c r="AE111" s="9"/>
    </row>
    <row r="112" spans="1:32" x14ac:dyDescent="0.25">
      <c r="B112" s="682">
        <v>108</v>
      </c>
      <c r="C112" s="80" t="s">
        <v>168</v>
      </c>
      <c r="D112" s="368">
        <f>D40*($AB$112/12)</f>
        <v>121886.13046231792</v>
      </c>
      <c r="E112" s="368"/>
      <c r="F112" s="368">
        <f>F40*($AB$112/12)</f>
        <v>121680.05066497781</v>
      </c>
      <c r="G112" s="368"/>
      <c r="H112" s="368">
        <f>H40*($AB$112/12)</f>
        <v>123408.99303356554</v>
      </c>
      <c r="I112" s="368"/>
      <c r="J112" s="368">
        <f>J40*($AB$112/12)</f>
        <v>118029.8923369221</v>
      </c>
      <c r="K112" s="368"/>
      <c r="L112" s="368">
        <f>L40*($AB$112/12)</f>
        <v>117574.73988962271</v>
      </c>
      <c r="M112" s="368"/>
      <c r="N112" s="368">
        <f>N40*($AB$112/12)</f>
        <v>103179.37211616755</v>
      </c>
      <c r="O112" s="368"/>
      <c r="P112" s="368">
        <f>P40*($AB$112/12)</f>
        <v>91853.722971139054</v>
      </c>
      <c r="Q112" s="368"/>
      <c r="R112" s="368">
        <f>R40*($AB$112/12)</f>
        <v>99416.972767574407</v>
      </c>
      <c r="S112" s="368"/>
      <c r="T112" s="368">
        <f>T40*($AB$112/12)</f>
        <v>76300.949968334389</v>
      </c>
      <c r="U112" s="368"/>
      <c r="V112" s="368">
        <f>V40*($AB$112/12)</f>
        <v>80596.960101329954</v>
      </c>
      <c r="W112" s="368"/>
      <c r="X112" s="368">
        <f>X40*($AB$112/12)</f>
        <v>134706.01646611778</v>
      </c>
      <c r="Y112" s="368"/>
      <c r="Z112" s="368">
        <f>Z40*($AB$112/12)</f>
        <v>112878.91070297657</v>
      </c>
      <c r="AA112" s="71">
        <f t="shared" si="4"/>
        <v>1301512.7114810457</v>
      </c>
      <c r="AB112" s="377">
        <f>SUM('1501 Summary'!$AB$199)*12</f>
        <v>96</v>
      </c>
      <c r="AC112" s="139">
        <f>SUM('1501 Summary'!F199,'1501 Summary'!H199,'1501 Summary'!J199,'1501 Summary'!L199,'1501 Summary'!N199,'1501 Summary'!P199,'1501 Summary'!R199,'1501 Summary'!T199,'1501 Summary'!V199,'1501 Summary'!X199,'1501 Summary'!Z199,'1501 Summary'!AB199)/12</f>
        <v>7.75</v>
      </c>
      <c r="AD112" s="73">
        <f>SUM('2020 New Customers'!I18)*12</f>
        <v>96</v>
      </c>
      <c r="AE112" s="9"/>
    </row>
    <row r="113" spans="2:31" x14ac:dyDescent="0.25">
      <c r="B113" s="682">
        <v>109</v>
      </c>
      <c r="C113" s="80" t="s">
        <v>169</v>
      </c>
      <c r="D113" s="368">
        <f>D41*($AB$112/12)</f>
        <v>138595.64056939504</v>
      </c>
      <c r="E113" s="368"/>
      <c r="F113" s="368">
        <f>F41*($AB$112/12)</f>
        <v>137130.78291814946</v>
      </c>
      <c r="G113" s="368"/>
      <c r="H113" s="368">
        <f>H41*($AB$112/12)</f>
        <v>146774.91103202847</v>
      </c>
      <c r="I113" s="368"/>
      <c r="J113" s="368">
        <f>J41*($AB$112/12)</f>
        <v>130114.76868327403</v>
      </c>
      <c r="K113" s="368"/>
      <c r="L113" s="368">
        <f>L41*($AB$112/12)</f>
        <v>101244.534824606</v>
      </c>
      <c r="M113" s="368"/>
      <c r="N113" s="368">
        <f>N41*($AB$112/12)</f>
        <v>59399.084900864269</v>
      </c>
      <c r="O113" s="368"/>
      <c r="P113" s="368">
        <f>P41*($AB$112/12)</f>
        <v>34988.815455007629</v>
      </c>
      <c r="Q113" s="368"/>
      <c r="R113" s="368">
        <f>R41*($AB$112/12)</f>
        <v>20611.20996441281</v>
      </c>
      <c r="S113" s="368"/>
      <c r="T113" s="368">
        <f>T41*($AB$112/12)</f>
        <v>17325.177935943062</v>
      </c>
      <c r="U113" s="368"/>
      <c r="V113" s="368">
        <f>V41*($AB$112/12)</f>
        <v>30845.195729537365</v>
      </c>
      <c r="W113" s="368"/>
      <c r="X113" s="368">
        <f>X41*($AB$112/12)</f>
        <v>98114.32384341638</v>
      </c>
      <c r="Y113" s="368"/>
      <c r="Z113" s="368">
        <f>Z41*($AB$112/12)</f>
        <v>117354.09252669038</v>
      </c>
      <c r="AA113" s="71">
        <f t="shared" si="4"/>
        <v>1032498.538383325</v>
      </c>
      <c r="AB113" s="377"/>
      <c r="AE113" s="9"/>
    </row>
    <row r="114" spans="2:31" x14ac:dyDescent="0.25">
      <c r="B114" s="682">
        <v>110</v>
      </c>
      <c r="C114" s="63" t="s">
        <v>536</v>
      </c>
      <c r="D114" s="370">
        <f>SUM(D112:D113)</f>
        <v>260481.77103171294</v>
      </c>
      <c r="E114" s="370"/>
      <c r="F114" s="370">
        <f t="shared" ref="F114:Z114" si="12">SUM(F112:F113)</f>
        <v>258810.83358312727</v>
      </c>
      <c r="G114" s="370"/>
      <c r="H114" s="370">
        <f t="shared" si="12"/>
        <v>270183.90406559402</v>
      </c>
      <c r="I114" s="370"/>
      <c r="J114" s="370">
        <f t="shared" si="12"/>
        <v>248144.66102019613</v>
      </c>
      <c r="K114" s="370"/>
      <c r="L114" s="370">
        <f t="shared" si="12"/>
        <v>218819.2747142287</v>
      </c>
      <c r="M114" s="370"/>
      <c r="N114" s="370">
        <f t="shared" si="12"/>
        <v>162578.45701703182</v>
      </c>
      <c r="O114" s="370"/>
      <c r="P114" s="370">
        <f t="shared" si="12"/>
        <v>126842.53842614668</v>
      </c>
      <c r="Q114" s="370"/>
      <c r="R114" s="370">
        <f t="shared" si="12"/>
        <v>120028.18273198721</v>
      </c>
      <c r="S114" s="370"/>
      <c r="T114" s="370">
        <f t="shared" si="12"/>
        <v>93626.127904277455</v>
      </c>
      <c r="U114" s="370"/>
      <c r="V114" s="370">
        <f t="shared" si="12"/>
        <v>111442.15583086733</v>
      </c>
      <c r="W114" s="370"/>
      <c r="X114" s="370">
        <f t="shared" si="12"/>
        <v>232820.34030953416</v>
      </c>
      <c r="Y114" s="370"/>
      <c r="Z114" s="393">
        <f t="shared" si="12"/>
        <v>230233.00322966697</v>
      </c>
      <c r="AA114" s="71">
        <f t="shared" si="4"/>
        <v>2334011.2498643706</v>
      </c>
      <c r="AB114" s="377"/>
      <c r="AE114" s="9"/>
    </row>
    <row r="115" spans="2:31" x14ac:dyDescent="0.25">
      <c r="B115" s="682">
        <v>111</v>
      </c>
      <c r="C115" s="91" t="s">
        <v>270</v>
      </c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96"/>
      <c r="AA115" s="668"/>
      <c r="AB115" s="377"/>
      <c r="AC115" s="747" t="s">
        <v>637</v>
      </c>
      <c r="AE115" s="9"/>
    </row>
    <row r="116" spans="2:31" x14ac:dyDescent="0.25">
      <c r="B116" s="682">
        <v>112</v>
      </c>
      <c r="C116" s="87" t="s">
        <v>267</v>
      </c>
      <c r="D116" s="86">
        <f>D90*($AB$116/12)</f>
        <v>10521998.855471125</v>
      </c>
      <c r="E116" s="86"/>
      <c r="F116" s="86">
        <f>F90*($AB$116/12)</f>
        <v>11715483.748935644</v>
      </c>
      <c r="G116" s="86"/>
      <c r="H116" s="86">
        <f t="shared" ref="H116:V116" si="13">H90*($AB$116/12)</f>
        <v>11007553.306405433</v>
      </c>
      <c r="I116" s="86"/>
      <c r="J116" s="86">
        <f t="shared" si="13"/>
        <v>10591103.70346237</v>
      </c>
      <c r="K116" s="86"/>
      <c r="L116" s="86">
        <f t="shared" si="13"/>
        <v>9550979.2292306572</v>
      </c>
      <c r="M116" s="86"/>
      <c r="N116" s="86">
        <f t="shared" si="13"/>
        <v>9121972.4962548055</v>
      </c>
      <c r="O116" s="86"/>
      <c r="P116" s="86">
        <f t="shared" si="13"/>
        <v>9508294.8895266354</v>
      </c>
      <c r="Q116" s="86"/>
      <c r="R116" s="86">
        <f t="shared" si="13"/>
        <v>9618720.9453156162</v>
      </c>
      <c r="S116" s="86"/>
      <c r="T116" s="86">
        <f t="shared" si="13"/>
        <v>9534734.4633565266</v>
      </c>
      <c r="U116" s="86"/>
      <c r="V116" s="86">
        <f t="shared" si="13"/>
        <v>10552838.762238255</v>
      </c>
      <c r="W116" s="86"/>
      <c r="X116" s="86">
        <f>X90*($AB$116/12)</f>
        <v>12100686.995915672</v>
      </c>
      <c r="Y116" s="86"/>
      <c r="Z116" s="86">
        <f t="shared" ref="Z116" si="14">Z90*($AB$116/12)</f>
        <v>11515344.711324476</v>
      </c>
      <c r="AA116" s="71">
        <f>SUM(D116:Z116)</f>
        <v>125339712.10743719</v>
      </c>
      <c r="AB116" s="733">
        <f>SUM('1501 Summary'!$AB$220,'1501 Summary'!$AB$249,'1501 Summary'!$AB$319,'1501 Summary'!$AB$339,'1501 Summary'!$AB$358)*12+AC116</f>
        <v>2246</v>
      </c>
      <c r="AC116" s="734">
        <f>'1501 Summary'!$AB$74*2</f>
        <v>14</v>
      </c>
      <c r="AE116" s="9"/>
    </row>
    <row r="117" spans="2:31" x14ac:dyDescent="0.25">
      <c r="B117" s="682">
        <v>113</v>
      </c>
      <c r="C117" s="87" t="s">
        <v>268</v>
      </c>
      <c r="D117" s="88">
        <f>D91*($AB$116/12)</f>
        <v>8252243.6330405623</v>
      </c>
      <c r="E117" s="88"/>
      <c r="F117" s="88">
        <f>F91*($AB$116/12)</f>
        <v>8998780.2753114402</v>
      </c>
      <c r="G117" s="88"/>
      <c r="H117" s="88">
        <f t="shared" ref="H117:V117" si="15">H91*($AB$116/12)</f>
        <v>8020727.1341670072</v>
      </c>
      <c r="I117" s="88"/>
      <c r="J117" s="88">
        <f t="shared" si="15"/>
        <v>7877025.7053476069</v>
      </c>
      <c r="K117" s="88"/>
      <c r="L117" s="88">
        <f t="shared" si="15"/>
        <v>7578775.0087587005</v>
      </c>
      <c r="M117" s="88"/>
      <c r="N117" s="88">
        <f t="shared" si="15"/>
        <v>7432189.8021595757</v>
      </c>
      <c r="O117" s="88"/>
      <c r="P117" s="88">
        <f t="shared" si="15"/>
        <v>9289782.0921993442</v>
      </c>
      <c r="Q117" s="88"/>
      <c r="R117" s="88">
        <f t="shared" si="15"/>
        <v>7483685.2937301258</v>
      </c>
      <c r="S117" s="88"/>
      <c r="T117" s="88">
        <f t="shared" si="15"/>
        <v>7385463.6858333992</v>
      </c>
      <c r="U117" s="88"/>
      <c r="V117" s="88">
        <f t="shared" si="15"/>
        <v>8037514.6231732806</v>
      </c>
      <c r="W117" s="88"/>
      <c r="X117" s="88">
        <f t="shared" ref="X117" si="16">X91*($AB$116/12)</f>
        <v>9770494.1335381027</v>
      </c>
      <c r="Y117" s="88"/>
      <c r="Z117" s="88">
        <f t="shared" ref="Z117" si="17">Z91*($AB$116/12)</f>
        <v>8720646.2900286652</v>
      </c>
      <c r="AA117" s="71">
        <f t="shared" si="4"/>
        <v>98847327.677287802</v>
      </c>
      <c r="AB117" s="377"/>
      <c r="AC117" s="137"/>
      <c r="AE117" s="9"/>
    </row>
    <row r="118" spans="2:31" x14ac:dyDescent="0.25">
      <c r="B118" s="682">
        <v>114</v>
      </c>
      <c r="C118" s="87" t="s">
        <v>268</v>
      </c>
      <c r="D118" s="88">
        <f>D92*($AB$116/12)</f>
        <v>3149577.1276753638</v>
      </c>
      <c r="E118" s="88"/>
      <c r="F118" s="88">
        <f>F92*($AB$116/12)</f>
        <v>3295996.8326060497</v>
      </c>
      <c r="G118" s="88"/>
      <c r="H118" s="88">
        <f t="shared" ref="H118:V118" si="18">H92*($AB$116/12)</f>
        <v>3232011.0378487422</v>
      </c>
      <c r="I118" s="88"/>
      <c r="J118" s="88">
        <f t="shared" si="18"/>
        <v>2944406.8560745097</v>
      </c>
      <c r="K118" s="88"/>
      <c r="L118" s="88">
        <f t="shared" si="18"/>
        <v>2888237.2941416181</v>
      </c>
      <c r="M118" s="88"/>
      <c r="N118" s="88">
        <f t="shared" si="18"/>
        <v>2952279.6020620181</v>
      </c>
      <c r="O118" s="88"/>
      <c r="P118" s="88">
        <f t="shared" si="18"/>
        <v>389930.55555555556</v>
      </c>
      <c r="Q118" s="88"/>
      <c r="R118" s="88">
        <f t="shared" si="18"/>
        <v>2710866.8291149652</v>
      </c>
      <c r="S118" s="88"/>
      <c r="T118" s="88">
        <f t="shared" si="18"/>
        <v>2851684.7373192413</v>
      </c>
      <c r="U118" s="88"/>
      <c r="V118" s="88">
        <f t="shared" si="18"/>
        <v>3010093.8737495169</v>
      </c>
      <c r="W118" s="88"/>
      <c r="X118" s="88">
        <f t="shared" ref="X118" si="19">X92*($AB$116/12)</f>
        <v>3302694.8243075395</v>
      </c>
      <c r="Y118" s="88"/>
      <c r="Z118" s="88">
        <f t="shared" ref="Z118" si="20">Z92*($AB$116/12)</f>
        <v>2661913.6575661954</v>
      </c>
      <c r="AA118" s="71">
        <f t="shared" si="4"/>
        <v>33389693.228021316</v>
      </c>
      <c r="AB118" s="72"/>
      <c r="AC118" s="9"/>
      <c r="AE118" s="9"/>
    </row>
    <row r="119" spans="2:31" x14ac:dyDescent="0.25">
      <c r="B119" s="682">
        <v>115</v>
      </c>
      <c r="C119" s="735" t="s">
        <v>269</v>
      </c>
      <c r="D119" s="736">
        <f>D93*($AB$116/12)</f>
        <v>30572327.936364483</v>
      </c>
      <c r="E119" s="736"/>
      <c r="F119" s="736">
        <f>F93*($AB$116/12)</f>
        <v>31373629.68735094</v>
      </c>
      <c r="G119" s="736"/>
      <c r="H119" s="736">
        <f t="shared" ref="H119:V119" si="21">H93*($AB$116/12)</f>
        <v>25396598.899957322</v>
      </c>
      <c r="I119" s="736"/>
      <c r="J119" s="736">
        <f t="shared" si="21"/>
        <v>24866449.589749377</v>
      </c>
      <c r="K119" s="736"/>
      <c r="L119" s="736">
        <f t="shared" si="21"/>
        <v>21125245.050499029</v>
      </c>
      <c r="M119" s="736"/>
      <c r="N119" s="736">
        <f t="shared" si="21"/>
        <v>18807578.006278463</v>
      </c>
      <c r="O119" s="736"/>
      <c r="P119" s="736">
        <f t="shared" si="21"/>
        <v>25722643.256308071</v>
      </c>
      <c r="Q119" s="736"/>
      <c r="R119" s="736">
        <f t="shared" si="21"/>
        <v>43650144.187648274</v>
      </c>
      <c r="S119" s="736"/>
      <c r="T119" s="736">
        <f t="shared" si="21"/>
        <v>52637116.441899098</v>
      </c>
      <c r="U119" s="736"/>
      <c r="V119" s="736">
        <f t="shared" si="21"/>
        <v>48542528.047402754</v>
      </c>
      <c r="W119" s="736"/>
      <c r="X119" s="736">
        <f t="shared" ref="X119" si="22">X93*($AB$116/12)</f>
        <v>27731216.097135521</v>
      </c>
      <c r="Y119" s="736"/>
      <c r="Z119" s="736">
        <f t="shared" ref="Z119" si="23">Z93*($AB$116/12)</f>
        <v>32588357.842701416</v>
      </c>
      <c r="AA119" s="71">
        <f t="shared" si="4"/>
        <v>383013835.04329479</v>
      </c>
      <c r="AB119" s="72"/>
    </row>
    <row r="120" spans="2:31" x14ac:dyDescent="0.25">
      <c r="B120" s="682">
        <v>116</v>
      </c>
      <c r="C120" s="85" t="s">
        <v>271</v>
      </c>
      <c r="D120" s="86">
        <f>SUM(D116:D119)</f>
        <v>52496147.552551538</v>
      </c>
      <c r="E120" s="86"/>
      <c r="F120" s="86">
        <f t="shared" ref="F120:Z120" si="24">SUM(F116:F119)</f>
        <v>55383890.544204071</v>
      </c>
      <c r="G120" s="86"/>
      <c r="H120" s="86">
        <f t="shared" si="24"/>
        <v>47656890.378378503</v>
      </c>
      <c r="I120" s="86"/>
      <c r="J120" s="86">
        <f t="shared" si="24"/>
        <v>46278985.85463386</v>
      </c>
      <c r="K120" s="86"/>
      <c r="L120" s="86">
        <f t="shared" si="24"/>
        <v>41143236.582630008</v>
      </c>
      <c r="M120" s="86"/>
      <c r="N120" s="86">
        <f t="shared" si="24"/>
        <v>38314019.906754866</v>
      </c>
      <c r="O120" s="86"/>
      <c r="P120" s="86">
        <f t="shared" si="24"/>
        <v>44910650.793589607</v>
      </c>
      <c r="Q120" s="86"/>
      <c r="R120" s="86">
        <f t="shared" si="24"/>
        <v>63463417.255808979</v>
      </c>
      <c r="S120" s="86"/>
      <c r="T120" s="86">
        <f t="shared" si="24"/>
        <v>72408999.328408271</v>
      </c>
      <c r="U120" s="86"/>
      <c r="V120" s="86">
        <f t="shared" si="24"/>
        <v>70142975.30656381</v>
      </c>
      <c r="W120" s="86"/>
      <c r="X120" s="86">
        <f t="shared" si="24"/>
        <v>52905092.050896838</v>
      </c>
      <c r="Y120" s="86"/>
      <c r="Z120" s="97">
        <f t="shared" si="24"/>
        <v>55486262.501620755</v>
      </c>
      <c r="AA120" s="668">
        <f t="shared" si="4"/>
        <v>640590568.056041</v>
      </c>
      <c r="AB120" s="9"/>
      <c r="AC120" s="9"/>
    </row>
    <row r="121" spans="2:31" ht="15.75" thickBot="1" x14ac:dyDescent="0.3">
      <c r="B121" s="682">
        <v>117</v>
      </c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9"/>
      <c r="AA121" s="90"/>
      <c r="AB121" s="9"/>
      <c r="AC121" s="9"/>
    </row>
    <row r="122" spans="2:31" ht="15.75" thickBot="1" x14ac:dyDescent="0.3">
      <c r="B122" s="682">
        <v>118</v>
      </c>
    </row>
    <row r="123" spans="2:31" x14ac:dyDescent="0.25">
      <c r="B123" s="682">
        <v>119</v>
      </c>
      <c r="C123" s="846" t="s">
        <v>574</v>
      </c>
      <c r="D123" s="849"/>
      <c r="E123" s="849"/>
      <c r="F123" s="849"/>
      <c r="G123" s="849"/>
      <c r="H123" s="849"/>
      <c r="I123" s="849"/>
      <c r="J123" s="849"/>
      <c r="K123" s="849"/>
      <c r="L123" s="849"/>
      <c r="M123" s="849"/>
      <c r="N123" s="849"/>
      <c r="O123" s="849"/>
      <c r="P123" s="849"/>
      <c r="Q123" s="849"/>
      <c r="R123" s="849"/>
      <c r="S123" s="849"/>
      <c r="T123" s="849"/>
      <c r="U123" s="849"/>
      <c r="V123" s="849"/>
      <c r="W123" s="849"/>
      <c r="X123" s="849"/>
      <c r="Y123" s="849"/>
      <c r="Z123" s="850"/>
    </row>
    <row r="124" spans="2:31" x14ac:dyDescent="0.25">
      <c r="B124" s="682">
        <v>120</v>
      </c>
      <c r="C124" s="58" t="s">
        <v>217</v>
      </c>
      <c r="D124" s="378" t="s">
        <v>218</v>
      </c>
      <c r="E124" s="378"/>
      <c r="F124" s="378" t="s">
        <v>34</v>
      </c>
      <c r="G124" s="378"/>
      <c r="H124" s="378" t="s">
        <v>35</v>
      </c>
      <c r="I124" s="378"/>
      <c r="J124" s="378" t="s">
        <v>37</v>
      </c>
      <c r="K124" s="378"/>
      <c r="L124" s="378" t="s">
        <v>39</v>
      </c>
      <c r="M124" s="378"/>
      <c r="N124" s="378" t="s">
        <v>50</v>
      </c>
      <c r="O124" s="378"/>
      <c r="P124" s="378" t="s">
        <v>51</v>
      </c>
      <c r="Q124" s="378"/>
      <c r="R124" s="378" t="s">
        <v>77</v>
      </c>
      <c r="S124" s="378"/>
      <c r="T124" s="378" t="s">
        <v>52</v>
      </c>
      <c r="U124" s="378"/>
      <c r="V124" s="378" t="s">
        <v>41</v>
      </c>
      <c r="W124" s="378"/>
      <c r="X124" s="378" t="s">
        <v>43</v>
      </c>
      <c r="Y124" s="378"/>
      <c r="Z124" s="60" t="s">
        <v>44</v>
      </c>
    </row>
    <row r="125" spans="2:31" x14ac:dyDescent="0.25">
      <c r="B125" s="682">
        <v>121</v>
      </c>
      <c r="C125" s="647" t="s">
        <v>219</v>
      </c>
      <c r="D125" s="61" t="s">
        <v>79</v>
      </c>
      <c r="E125" s="61"/>
      <c r="F125" s="61" t="s">
        <v>80</v>
      </c>
      <c r="G125" s="61"/>
      <c r="H125" s="61" t="s">
        <v>81</v>
      </c>
      <c r="I125" s="61"/>
      <c r="J125" s="61" t="s">
        <v>82</v>
      </c>
      <c r="K125" s="61"/>
      <c r="L125" s="61" t="s">
        <v>83</v>
      </c>
      <c r="M125" s="61"/>
      <c r="N125" s="61" t="s">
        <v>84</v>
      </c>
      <c r="O125" s="61"/>
      <c r="P125" s="61" t="s">
        <v>85</v>
      </c>
      <c r="Q125" s="61"/>
      <c r="R125" s="61" t="s">
        <v>86</v>
      </c>
      <c r="S125" s="61"/>
      <c r="T125" s="61" t="s">
        <v>87</v>
      </c>
      <c r="U125" s="61"/>
      <c r="V125" s="61" t="s">
        <v>88</v>
      </c>
      <c r="W125" s="61"/>
      <c r="X125" s="61" t="s">
        <v>89</v>
      </c>
      <c r="Y125" s="61"/>
      <c r="Z125" s="95" t="s">
        <v>90</v>
      </c>
    </row>
    <row r="126" spans="2:31" x14ac:dyDescent="0.25">
      <c r="B126" s="682">
        <v>122</v>
      </c>
      <c r="C126" s="648" t="s">
        <v>249</v>
      </c>
      <c r="D126" s="368">
        <f>D8*'2020 New Customers'!$C$18</f>
        <v>21782896.478942242</v>
      </c>
      <c r="E126" s="368"/>
      <c r="F126" s="368">
        <f>F8*'2020 New Customers'!$C$18</f>
        <v>17525057.345791887</v>
      </c>
      <c r="G126" s="368"/>
      <c r="H126" s="368">
        <f>H8*'2020 New Customers'!$C$18</f>
        <v>14755109.996461567</v>
      </c>
      <c r="I126" s="368"/>
      <c r="J126" s="368">
        <f>J8*'2020 New Customers'!$C$18</f>
        <v>9687638.5399276037</v>
      </c>
      <c r="K126" s="368"/>
      <c r="L126" s="368">
        <f>L8*'2020 New Customers'!$C$18</f>
        <v>6144767.0896385787</v>
      </c>
      <c r="M126" s="368"/>
      <c r="N126" s="368">
        <f>N8*'2020 New Customers'!$C$18</f>
        <v>3761525.8185321363</v>
      </c>
      <c r="O126" s="368"/>
      <c r="P126" s="368">
        <f>P8*'2020 New Customers'!$C$18</f>
        <v>3149862.4396131737</v>
      </c>
      <c r="Q126" s="368"/>
      <c r="R126" s="368">
        <f>R8*'2020 New Customers'!$C$18</f>
        <v>3156331.7858036663</v>
      </c>
      <c r="S126" s="368"/>
      <c r="T126" s="368">
        <f>T8*'2020 New Customers'!$C$18</f>
        <v>4028032.4372067438</v>
      </c>
      <c r="U126" s="368"/>
      <c r="V126" s="368">
        <f>V8*'2020 New Customers'!$C$18</f>
        <v>9229769.2761267107</v>
      </c>
      <c r="W126" s="368"/>
      <c r="X126" s="368">
        <f>X8*'2020 New Customers'!$C$18</f>
        <v>17242609.13666679</v>
      </c>
      <c r="Y126" s="368"/>
      <c r="Z126" s="369">
        <f>Z8*'2020 New Customers'!$C$18</f>
        <v>23127090.186783578</v>
      </c>
      <c r="AA126" s="71">
        <f>SUM(D126:Z126)</f>
        <v>133590690.53149468</v>
      </c>
    </row>
    <row r="127" spans="2:31" x14ac:dyDescent="0.25">
      <c r="B127" s="682">
        <v>123</v>
      </c>
      <c r="C127" s="649" t="s">
        <v>273</v>
      </c>
      <c r="D127" s="373">
        <f>D10*'2020 New Customers'!$D$18</f>
        <v>15124089.973233081</v>
      </c>
      <c r="E127" s="373"/>
      <c r="F127" s="373">
        <f>F10*'2020 New Customers'!$D$18</f>
        <v>12070101.908594254</v>
      </c>
      <c r="G127" s="373"/>
      <c r="H127" s="373">
        <f>H10*'2020 New Customers'!$D$18</f>
        <v>9616791.3678443395</v>
      </c>
      <c r="I127" s="373"/>
      <c r="J127" s="373">
        <f>J10*'2020 New Customers'!$D$18</f>
        <v>6250902.759745148</v>
      </c>
      <c r="K127" s="373"/>
      <c r="L127" s="373">
        <f>L10*'2020 New Customers'!$D$18</f>
        <v>4556128.6380652981</v>
      </c>
      <c r="M127" s="373"/>
      <c r="N127" s="373">
        <f>N10*'2020 New Customers'!$D$18</f>
        <v>3220267.7959884172</v>
      </c>
      <c r="O127" s="373"/>
      <c r="P127" s="373">
        <f>P10*'2020 New Customers'!$D$18</f>
        <v>3188624.1311484878</v>
      </c>
      <c r="Q127" s="373"/>
      <c r="R127" s="373">
        <f>R10*'2020 New Customers'!$D$18</f>
        <v>3207097.1266783555</v>
      </c>
      <c r="S127" s="373"/>
      <c r="T127" s="373">
        <f>T10*'2020 New Customers'!$D$18</f>
        <v>3890416.0287750605</v>
      </c>
      <c r="U127" s="373"/>
      <c r="V127" s="373">
        <f>V10*'2020 New Customers'!$D$18</f>
        <v>7332234.4277940299</v>
      </c>
      <c r="W127" s="373"/>
      <c r="X127" s="373">
        <f>X10*'2020 New Customers'!$D$18</f>
        <v>11214590.132419588</v>
      </c>
      <c r="Y127" s="373"/>
      <c r="Z127" s="392">
        <f>Z10*'2020 New Customers'!$D$18</f>
        <v>14629676.89569371</v>
      </c>
      <c r="AA127" s="71">
        <f t="shared" ref="AA127:AA141" si="25">SUM(D127:Z127)</f>
        <v>94300921.185979769</v>
      </c>
    </row>
    <row r="128" spans="2:31" x14ac:dyDescent="0.25">
      <c r="B128" s="682">
        <v>124</v>
      </c>
      <c r="C128" s="648">
        <v>505</v>
      </c>
      <c r="D128" s="368"/>
      <c r="E128" s="368"/>
      <c r="F128" s="368"/>
      <c r="G128" s="368"/>
      <c r="H128" s="368"/>
      <c r="I128" s="368"/>
      <c r="J128" s="368"/>
      <c r="K128" s="368"/>
      <c r="L128" s="368"/>
      <c r="M128" s="368"/>
      <c r="N128" s="368"/>
      <c r="O128" s="368"/>
      <c r="P128" s="368"/>
      <c r="Q128" s="368"/>
      <c r="R128" s="368"/>
      <c r="S128" s="368"/>
      <c r="T128" s="368"/>
      <c r="U128" s="368"/>
      <c r="V128" s="368"/>
      <c r="W128" s="368"/>
      <c r="X128" s="368"/>
      <c r="Y128" s="368"/>
      <c r="Z128" s="369"/>
      <c r="AA128" s="71"/>
    </row>
    <row r="129" spans="2:30" x14ac:dyDescent="0.25">
      <c r="B129" s="682">
        <v>125</v>
      </c>
      <c r="C129" s="648" t="s">
        <v>160</v>
      </c>
      <c r="D129" s="368">
        <f>D20*'2020 New Customers'!$E$18</f>
        <v>195618.62407881347</v>
      </c>
      <c r="E129" s="368"/>
      <c r="F129" s="368">
        <f>F20*'2020 New Customers'!$E$18</f>
        <v>199740.51865842723</v>
      </c>
      <c r="G129" s="368"/>
      <c r="H129" s="368">
        <f>H20*'2020 New Customers'!$E$18</f>
        <v>207103.19254311695</v>
      </c>
      <c r="I129" s="368"/>
      <c r="J129" s="368">
        <f>J20*'2020 New Customers'!$E$18</f>
        <v>184479.34160518736</v>
      </c>
      <c r="K129" s="368"/>
      <c r="L129" s="368">
        <f>L20*'2020 New Customers'!$E$18</f>
        <v>142733.91553442305</v>
      </c>
      <c r="M129" s="368"/>
      <c r="N129" s="368">
        <f>N20*'2020 New Customers'!$E$18</f>
        <v>107302.08469516716</v>
      </c>
      <c r="O129" s="368"/>
      <c r="P129" s="368">
        <f>P20*'2020 New Customers'!$E$18</f>
        <v>90997.491210087901</v>
      </c>
      <c r="Q129" s="368"/>
      <c r="R129" s="368">
        <f>R20*'2020 New Customers'!$E$18</f>
        <v>84953.42051007488</v>
      </c>
      <c r="S129" s="368"/>
      <c r="T129" s="368">
        <f>T20*'2020 New Customers'!$E$18</f>
        <v>92698.008901904337</v>
      </c>
      <c r="U129" s="368"/>
      <c r="V129" s="368">
        <f>V20*'2020 New Customers'!$E$18</f>
        <v>133963.97938646603</v>
      </c>
      <c r="W129" s="368"/>
      <c r="X129" s="368">
        <f>X20*'2020 New Customers'!$E$18</f>
        <v>175807.57389695369</v>
      </c>
      <c r="Y129" s="368"/>
      <c r="Z129" s="369">
        <f>Z20*'2020 New Customers'!$E$18</f>
        <v>192472.31874080468</v>
      </c>
      <c r="AA129" s="71">
        <f t="shared" si="25"/>
        <v>1807870.4697614266</v>
      </c>
    </row>
    <row r="130" spans="2:30" x14ac:dyDescent="0.25">
      <c r="B130" s="682">
        <v>126</v>
      </c>
      <c r="C130" s="648" t="s">
        <v>161</v>
      </c>
      <c r="D130" s="368">
        <f>D21*'2020 New Customers'!$E$18</f>
        <v>702982.36795705126</v>
      </c>
      <c r="E130" s="368"/>
      <c r="F130" s="368">
        <f>F21*'2020 New Customers'!$E$18</f>
        <v>727773.02675043326</v>
      </c>
      <c r="G130" s="368"/>
      <c r="H130" s="368">
        <f>H21*'2020 New Customers'!$E$18</f>
        <v>773597.79778716026</v>
      </c>
      <c r="I130" s="368"/>
      <c r="J130" s="368">
        <f>J21*'2020 New Customers'!$E$18</f>
        <v>589251.14095800288</v>
      </c>
      <c r="K130" s="368"/>
      <c r="L130" s="368">
        <f>L21*'2020 New Customers'!$E$18</f>
        <v>415332.74097969761</v>
      </c>
      <c r="M130" s="368"/>
      <c r="N130" s="368">
        <f>N21*'2020 New Customers'!$E$18</f>
        <v>305383.90555364738</v>
      </c>
      <c r="O130" s="368"/>
      <c r="P130" s="368">
        <f>P21*'2020 New Customers'!$E$18</f>
        <v>281194.97183188883</v>
      </c>
      <c r="Q130" s="368"/>
      <c r="R130" s="368">
        <f>R21*'2020 New Customers'!$E$18</f>
        <v>274147.86870102951</v>
      </c>
      <c r="S130" s="368"/>
      <c r="T130" s="368">
        <f>T21*'2020 New Customers'!$E$18</f>
        <v>300802.88141239161</v>
      </c>
      <c r="U130" s="368"/>
      <c r="V130" s="368">
        <f>V21*'2020 New Customers'!$E$18</f>
        <v>410568.67329537112</v>
      </c>
      <c r="W130" s="368"/>
      <c r="X130" s="368">
        <f>X21*'2020 New Customers'!$E$18</f>
        <v>546106.66594940831</v>
      </c>
      <c r="Y130" s="368"/>
      <c r="Z130" s="369">
        <f>Z21*'2020 New Customers'!$E$18</f>
        <v>667627.60345561965</v>
      </c>
      <c r="AA130" s="71">
        <f t="shared" si="25"/>
        <v>5994769.6446317015</v>
      </c>
    </row>
    <row r="131" spans="2:30" x14ac:dyDescent="0.25">
      <c r="B131" s="682">
        <v>127</v>
      </c>
      <c r="C131" s="648" t="s">
        <v>162</v>
      </c>
      <c r="D131" s="368">
        <f>D22*'2020 New Customers'!$E$18</f>
        <v>565876.37718114874</v>
      </c>
      <c r="E131" s="368"/>
      <c r="F131" s="368">
        <f>F22*'2020 New Customers'!$E$18</f>
        <v>729876.29064139817</v>
      </c>
      <c r="G131" s="368"/>
      <c r="H131" s="368">
        <f>H22*'2020 New Customers'!$E$18</f>
        <v>822156.01607963257</v>
      </c>
      <c r="I131" s="368"/>
      <c r="J131" s="368">
        <f>J22*'2020 New Customers'!$E$18</f>
        <v>585843.41483295185</v>
      </c>
      <c r="K131" s="368"/>
      <c r="L131" s="368">
        <f>L22*'2020 New Customers'!$E$18</f>
        <v>259292.02564114783</v>
      </c>
      <c r="M131" s="368"/>
      <c r="N131" s="368">
        <f>N22*'2020 New Customers'!$E$18</f>
        <v>176354.51496360442</v>
      </c>
      <c r="O131" s="368"/>
      <c r="P131" s="368">
        <f>P22*'2020 New Customers'!$E$18</f>
        <v>179827.13018525793</v>
      </c>
      <c r="Q131" s="368"/>
      <c r="R131" s="368">
        <f>R22*'2020 New Customers'!$E$18</f>
        <v>208023.2003710214</v>
      </c>
      <c r="S131" s="368"/>
      <c r="T131" s="368">
        <f>T22*'2020 New Customers'!$E$18</f>
        <v>273716.92911212507</v>
      </c>
      <c r="U131" s="368"/>
      <c r="V131" s="368">
        <f>V22*'2020 New Customers'!$E$18</f>
        <v>768218.07773012866</v>
      </c>
      <c r="W131" s="368"/>
      <c r="X131" s="368">
        <f>X22*'2020 New Customers'!$E$18</f>
        <v>456738.31472154887</v>
      </c>
      <c r="Y131" s="368"/>
      <c r="Z131" s="369">
        <f>Z22*'2020 New Customers'!$E$18</f>
        <v>572402.98600416689</v>
      </c>
      <c r="AA131" s="71">
        <f t="shared" si="25"/>
        <v>5598325.2774641337</v>
      </c>
    </row>
    <row r="132" spans="2:30" x14ac:dyDescent="0.25">
      <c r="B132" s="682">
        <v>128</v>
      </c>
      <c r="C132" s="648" t="s">
        <v>220</v>
      </c>
      <c r="D132" s="368">
        <f>SUM(D129:D131)</f>
        <v>1464477.3692170135</v>
      </c>
      <c r="E132" s="368"/>
      <c r="F132" s="368">
        <f t="shared" ref="F132:Z132" si="26">SUM(F129:F131)</f>
        <v>1657389.8360502587</v>
      </c>
      <c r="G132" s="368"/>
      <c r="H132" s="368">
        <f t="shared" si="26"/>
        <v>1802857.0064099098</v>
      </c>
      <c r="I132" s="368"/>
      <c r="J132" s="368">
        <f t="shared" si="26"/>
        <v>1359573.8973961421</v>
      </c>
      <c r="K132" s="368"/>
      <c r="L132" s="368">
        <f t="shared" si="26"/>
        <v>817358.6821552685</v>
      </c>
      <c r="M132" s="368"/>
      <c r="N132" s="368">
        <f t="shared" si="26"/>
        <v>589040.50521241897</v>
      </c>
      <c r="O132" s="368"/>
      <c r="P132" s="368">
        <f t="shared" si="26"/>
        <v>552019.59322723467</v>
      </c>
      <c r="Q132" s="368"/>
      <c r="R132" s="368">
        <f t="shared" si="26"/>
        <v>567124.4895821258</v>
      </c>
      <c r="S132" s="368"/>
      <c r="T132" s="368">
        <f t="shared" si="26"/>
        <v>667217.81942642108</v>
      </c>
      <c r="U132" s="368"/>
      <c r="V132" s="368">
        <f t="shared" si="26"/>
        <v>1312750.7304119659</v>
      </c>
      <c r="W132" s="368"/>
      <c r="X132" s="368">
        <f t="shared" si="26"/>
        <v>1178652.554567911</v>
      </c>
      <c r="Y132" s="368"/>
      <c r="Z132" s="369">
        <f t="shared" si="26"/>
        <v>1432502.9082005913</v>
      </c>
      <c r="AA132" s="71">
        <f>SUM(D132:Z132)</f>
        <v>13400965.391857261</v>
      </c>
    </row>
    <row r="133" spans="2:30" ht="15.75" thickBot="1" x14ac:dyDescent="0.3">
      <c r="B133" s="682">
        <v>129</v>
      </c>
      <c r="C133" s="650">
        <v>511</v>
      </c>
      <c r="D133" s="374"/>
      <c r="E133" s="374"/>
      <c r="F133" s="374"/>
      <c r="G133" s="374"/>
      <c r="H133" s="374"/>
      <c r="I133" s="374"/>
      <c r="J133" s="374"/>
      <c r="K133" s="374"/>
      <c r="L133" s="374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635"/>
      <c r="Y133" s="635"/>
      <c r="Z133" s="636"/>
      <c r="AA133" s="71"/>
      <c r="AC133" s="137"/>
      <c r="AD133" s="137"/>
    </row>
    <row r="134" spans="2:30" x14ac:dyDescent="0.25">
      <c r="B134" s="682">
        <v>130</v>
      </c>
      <c r="C134" s="651" t="s">
        <v>163</v>
      </c>
      <c r="D134" s="375">
        <f>D33*SUM('2020 New Customers'!$F$18:$H$18)</f>
        <v>1166063.4834075675</v>
      </c>
      <c r="E134" s="375"/>
      <c r="F134" s="375">
        <f>F33*SUM('2020 New Customers'!$F$18:$H$18)</f>
        <v>1202482.2324578161</v>
      </c>
      <c r="G134" s="375"/>
      <c r="H134" s="375">
        <f>H33*SUM('2020 New Customers'!$F$18:$H$18)</f>
        <v>1234393.3137506286</v>
      </c>
      <c r="I134" s="375"/>
      <c r="J134" s="375">
        <f>J33*SUM('2020 New Customers'!$F$18:$H$18)</f>
        <v>919865.02110216185</v>
      </c>
      <c r="K134" s="375"/>
      <c r="L134" s="375">
        <f>L33*SUM('2020 New Customers'!$F$18:$H$18)</f>
        <v>643872.0927334564</v>
      </c>
      <c r="M134" s="375"/>
      <c r="N134" s="375">
        <f>N33*SUM('2020 New Customers'!$F$18:$H$18)</f>
        <v>484950.8801784236</v>
      </c>
      <c r="O134" s="375"/>
      <c r="P134" s="375">
        <f>P33*SUM('2020 New Customers'!$F$18:$H$18)</f>
        <v>432922.74308058148</v>
      </c>
      <c r="Q134" s="375"/>
      <c r="R134" s="375">
        <f>R33*SUM('2020 New Customers'!$F$18:$H$18)</f>
        <v>429267.98652684642</v>
      </c>
      <c r="S134" s="375"/>
      <c r="T134" s="375">
        <f>T33*SUM('2020 New Customers'!$F$18:$H$18)</f>
        <v>388023.0322582174</v>
      </c>
      <c r="U134" s="375"/>
      <c r="V134" s="375">
        <f>V33*SUM('2020 New Customers'!$F$18:$H$18)</f>
        <v>639919.68988114886</v>
      </c>
      <c r="W134" s="633"/>
      <c r="X134" s="720">
        <f>AA33*SUM('2020 New Customers'!$F$18:$H$18)</f>
        <v>865972.53353602032</v>
      </c>
      <c r="Y134" s="721"/>
      <c r="Z134" s="748">
        <f>AB33*SUM('2020 New Customers'!$F$18:$H$18)</f>
        <v>1094808.2174329346</v>
      </c>
      <c r="AA134" s="722">
        <f t="shared" si="25"/>
        <v>9502541.2263458036</v>
      </c>
      <c r="AC134" s="10"/>
      <c r="AD134" s="10"/>
    </row>
    <row r="135" spans="2:30" x14ac:dyDescent="0.25">
      <c r="B135" s="682">
        <v>131</v>
      </c>
      <c r="C135" s="651" t="s">
        <v>164</v>
      </c>
      <c r="D135" s="375">
        <f>D34*SUM('2020 New Customers'!$F$18:$H$18)</f>
        <v>545238.23355786398</v>
      </c>
      <c r="E135" s="375"/>
      <c r="F135" s="375">
        <f>F34*SUM('2020 New Customers'!$F$18:$H$18)</f>
        <v>541011.96758036665</v>
      </c>
      <c r="G135" s="375"/>
      <c r="H135" s="375">
        <f>H34*SUM('2020 New Customers'!$F$18:$H$18)</f>
        <v>578017.05334609328</v>
      </c>
      <c r="I135" s="375"/>
      <c r="J135" s="375">
        <f>J34*SUM('2020 New Customers'!$F$18:$H$18)</f>
        <v>462193.96326256916</v>
      </c>
      <c r="K135" s="375"/>
      <c r="L135" s="375">
        <f>L34*SUM('2020 New Customers'!$F$18:$H$18)</f>
        <v>371137.9622247279</v>
      </c>
      <c r="M135" s="375"/>
      <c r="N135" s="375">
        <f>N34*SUM('2020 New Customers'!$F$18:$H$18)</f>
        <v>292685.02599976287</v>
      </c>
      <c r="O135" s="375"/>
      <c r="P135" s="375">
        <f>P34*SUM('2020 New Customers'!$F$18:$H$18)</f>
        <v>276178.48184599809</v>
      </c>
      <c r="Q135" s="375"/>
      <c r="R135" s="375">
        <f>R34*SUM('2020 New Customers'!$F$18:$H$18)</f>
        <v>282433.47355994536</v>
      </c>
      <c r="S135" s="375"/>
      <c r="T135" s="375">
        <f>T34*SUM('2020 New Customers'!$F$18:$H$18)</f>
        <v>259063.02235277346</v>
      </c>
      <c r="U135" s="375"/>
      <c r="V135" s="375">
        <f>V34*SUM('2020 New Customers'!$F$18:$H$18)</f>
        <v>423795.78029834019</v>
      </c>
      <c r="W135" s="633"/>
      <c r="X135" s="749">
        <f>AA34*SUM('2020 New Customers'!$F$18:$H$18)</f>
        <v>502335.64505414467</v>
      </c>
      <c r="Y135" s="713"/>
      <c r="Z135" s="714">
        <f>AB34*SUM('2020 New Customers'!$F$18:$H$18)</f>
        <v>430588.49552837946</v>
      </c>
      <c r="AA135" s="725">
        <f t="shared" si="25"/>
        <v>4964679.1046109656</v>
      </c>
      <c r="AC135" s="10"/>
      <c r="AD135" s="10"/>
    </row>
    <row r="136" spans="2:30" x14ac:dyDescent="0.25">
      <c r="B136" s="682">
        <v>132</v>
      </c>
      <c r="C136" s="651" t="s">
        <v>165</v>
      </c>
      <c r="D136" s="375">
        <f>D35*SUM('2020 New Customers'!$F$18:$H$18)</f>
        <v>159906.5658516713</v>
      </c>
      <c r="E136" s="375"/>
      <c r="F136" s="375">
        <f>F35*SUM('2020 New Customers'!$F$18:$H$18)</f>
        <v>174132.67877336289</v>
      </c>
      <c r="G136" s="375"/>
      <c r="H136" s="375">
        <f>H35*SUM('2020 New Customers'!$F$18:$H$18)</f>
        <v>205336.93888588424</v>
      </c>
      <c r="I136" s="375"/>
      <c r="J136" s="375">
        <f>J35*SUM('2020 New Customers'!$F$18:$H$18)</f>
        <v>83135.371833968849</v>
      </c>
      <c r="K136" s="375"/>
      <c r="L136" s="375">
        <f>L35*SUM('2020 New Customers'!$F$18:$H$18)</f>
        <v>25375.120031787726</v>
      </c>
      <c r="M136" s="375"/>
      <c r="N136" s="375">
        <f>N35*SUM('2020 New Customers'!$F$18:$H$18)</f>
        <v>40683.574132735841</v>
      </c>
      <c r="O136" s="375"/>
      <c r="P136" s="375">
        <f>P35*SUM('2020 New Customers'!$F$18:$H$18)</f>
        <v>63529.916239075392</v>
      </c>
      <c r="Q136" s="375"/>
      <c r="R136" s="375">
        <f>R35*SUM('2020 New Customers'!$F$18:$H$18)</f>
        <v>58184.937066324506</v>
      </c>
      <c r="S136" s="375"/>
      <c r="T136" s="375">
        <f>T35*SUM('2020 New Customers'!$F$18:$H$18)</f>
        <v>35953.215785375294</v>
      </c>
      <c r="U136" s="375"/>
      <c r="V136" s="375">
        <f>V35*SUM('2020 New Customers'!$F$18:$H$18)</f>
        <v>76457.605386452429</v>
      </c>
      <c r="W136" s="633"/>
      <c r="X136" s="749">
        <f>AA35*SUM('2020 New Customers'!$F$18:$H$18)</f>
        <v>156577.95847048727</v>
      </c>
      <c r="Y136" s="713"/>
      <c r="Z136" s="714">
        <f>AB35*SUM('2020 New Customers'!$F$18:$H$18)</f>
        <v>138755.09284297816</v>
      </c>
      <c r="AA136" s="725">
        <f t="shared" si="25"/>
        <v>1218028.9753001041</v>
      </c>
      <c r="AC136" s="10"/>
      <c r="AD136" s="10"/>
    </row>
    <row r="137" spans="2:30" ht="15.75" thickBot="1" x14ac:dyDescent="0.3">
      <c r="B137" s="682">
        <v>133</v>
      </c>
      <c r="C137" s="651" t="s">
        <v>255</v>
      </c>
      <c r="D137" s="374">
        <f>SUM(D134:D136)</f>
        <v>1871208.2828171027</v>
      </c>
      <c r="E137" s="374"/>
      <c r="F137" s="374">
        <f t="shared" ref="F137:V137" si="27">SUM(F134:F136)</f>
        <v>1917626.8788115457</v>
      </c>
      <c r="G137" s="374"/>
      <c r="H137" s="374">
        <f t="shared" si="27"/>
        <v>2017747.305982606</v>
      </c>
      <c r="I137" s="374"/>
      <c r="J137" s="374">
        <f t="shared" si="27"/>
        <v>1465194.3561986999</v>
      </c>
      <c r="K137" s="374"/>
      <c r="L137" s="374">
        <f t="shared" si="27"/>
        <v>1040385.174989972</v>
      </c>
      <c r="M137" s="374"/>
      <c r="N137" s="374">
        <f t="shared" si="27"/>
        <v>818319.48031092226</v>
      </c>
      <c r="O137" s="374"/>
      <c r="P137" s="374">
        <f t="shared" si="27"/>
        <v>772631.14116565487</v>
      </c>
      <c r="Q137" s="374"/>
      <c r="R137" s="374">
        <f t="shared" si="27"/>
        <v>769886.3971531163</v>
      </c>
      <c r="S137" s="374"/>
      <c r="T137" s="374">
        <f t="shared" si="27"/>
        <v>683039.27039636625</v>
      </c>
      <c r="U137" s="374"/>
      <c r="V137" s="374">
        <f t="shared" si="27"/>
        <v>1140173.0755659416</v>
      </c>
      <c r="W137" s="634"/>
      <c r="X137" s="726">
        <f>SUM(X134:X136)</f>
        <v>1524886.1370606523</v>
      </c>
      <c r="Y137" s="727"/>
      <c r="Z137" s="728">
        <f>SUM(Z134:Z136)</f>
        <v>1664151.8058042922</v>
      </c>
      <c r="AA137" s="729">
        <f t="shared" si="25"/>
        <v>15685249.306256874</v>
      </c>
      <c r="AC137" s="10"/>
      <c r="AD137" s="10"/>
    </row>
    <row r="138" spans="2:30" x14ac:dyDescent="0.25">
      <c r="B138" s="682">
        <v>134</v>
      </c>
      <c r="C138" s="652">
        <v>570</v>
      </c>
      <c r="D138" s="371"/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71"/>
      <c r="Y138" s="371"/>
      <c r="Z138" s="372"/>
      <c r="AA138" s="71"/>
    </row>
    <row r="139" spans="2:30" x14ac:dyDescent="0.25">
      <c r="B139" s="682">
        <v>135</v>
      </c>
      <c r="C139" s="653" t="s">
        <v>168</v>
      </c>
      <c r="D139" s="368">
        <f>D38*'2020 New Customers'!$I$18</f>
        <v>975089.04369854333</v>
      </c>
      <c r="E139" s="368"/>
      <c r="F139" s="368">
        <f>F38*'2020 New Customers'!$I$18</f>
        <v>973440.40531982249</v>
      </c>
      <c r="G139" s="368"/>
      <c r="H139" s="368">
        <f>H38*'2020 New Customers'!$I$18</f>
        <v>987271.9442685243</v>
      </c>
      <c r="I139" s="368"/>
      <c r="J139" s="368">
        <f>J38*'2020 New Customers'!$I$18</f>
        <v>944239.13869537681</v>
      </c>
      <c r="K139" s="368"/>
      <c r="L139" s="368">
        <f>L38*'2020 New Customers'!$I$18</f>
        <v>823023.17922735901</v>
      </c>
      <c r="M139" s="368"/>
      <c r="N139" s="368">
        <f>N38*'2020 New Customers'!$I$18</f>
        <v>722255.60481317283</v>
      </c>
      <c r="O139" s="368"/>
      <c r="P139" s="368">
        <f>P38*'2020 New Customers'!$I$18</f>
        <v>642976.06079797342</v>
      </c>
      <c r="Q139" s="368"/>
      <c r="R139" s="368">
        <f>R38*'2020 New Customers'!$I$18</f>
        <v>795335.78214059526</v>
      </c>
      <c r="S139" s="368"/>
      <c r="T139" s="368">
        <f>T38*'2020 New Customers'!$I$18</f>
        <v>610407.59974667511</v>
      </c>
      <c r="U139" s="368"/>
      <c r="V139" s="368">
        <f>V38*'2020 New Customers'!$I$18</f>
        <v>644775.68081063963</v>
      </c>
      <c r="W139" s="368"/>
      <c r="X139" s="368">
        <f>X38*'2020 New Customers'!$I$18</f>
        <v>1077648.1317289423</v>
      </c>
      <c r="Y139" s="368"/>
      <c r="Z139" s="369">
        <f>Z38*'2020 New Customers'!$I$18</f>
        <v>903031.28562381258</v>
      </c>
      <c r="AA139" s="71">
        <f t="shared" si="25"/>
        <v>10099493.856871437</v>
      </c>
    </row>
    <row r="140" spans="2:30" x14ac:dyDescent="0.25">
      <c r="B140" s="682">
        <v>136</v>
      </c>
      <c r="C140" s="653" t="s">
        <v>169</v>
      </c>
      <c r="D140" s="368">
        <f>D39*'2020 New Customers'!$I$18</f>
        <v>1108765.1245551603</v>
      </c>
      <c r="E140" s="368"/>
      <c r="F140" s="368">
        <f>F39*'2020 New Customers'!$I$18</f>
        <v>1097046.2633451957</v>
      </c>
      <c r="G140" s="368"/>
      <c r="H140" s="368">
        <f>H39*'2020 New Customers'!$I$18</f>
        <v>1174199.2882562277</v>
      </c>
      <c r="I140" s="368"/>
      <c r="J140" s="368">
        <f>J39*'2020 New Customers'!$I$18</f>
        <v>1040918.1494661922</v>
      </c>
      <c r="K140" s="368"/>
      <c r="L140" s="368">
        <f>L39*'2020 New Customers'!$I$18</f>
        <v>708711.74377224199</v>
      </c>
      <c r="M140" s="368"/>
      <c r="N140" s="368">
        <f>N39*'2020 New Customers'!$I$18</f>
        <v>415793.59430604987</v>
      </c>
      <c r="O140" s="368"/>
      <c r="P140" s="368">
        <f>P39*'2020 New Customers'!$I$18</f>
        <v>244921.7081850534</v>
      </c>
      <c r="Q140" s="368"/>
      <c r="R140" s="368">
        <f>R39*'2020 New Customers'!$I$18</f>
        <v>164889.67971530248</v>
      </c>
      <c r="S140" s="368"/>
      <c r="T140" s="368">
        <f>T39*'2020 New Customers'!$I$18</f>
        <v>138601.4234875445</v>
      </c>
      <c r="U140" s="368"/>
      <c r="V140" s="368">
        <f>V39*'2020 New Customers'!$I$18</f>
        <v>246761.56583629892</v>
      </c>
      <c r="W140" s="368"/>
      <c r="X140" s="368">
        <f>X39*'2020 New Customers'!$I$18</f>
        <v>784914.59074733104</v>
      </c>
      <c r="Y140" s="368"/>
      <c r="Z140" s="369">
        <f>Z39*'2020 New Customers'!$I$18</f>
        <v>938832.74021352304</v>
      </c>
      <c r="AA140" s="71">
        <f t="shared" si="25"/>
        <v>8064355.871886122</v>
      </c>
    </row>
    <row r="141" spans="2:30" x14ac:dyDescent="0.25">
      <c r="B141" s="682">
        <v>137</v>
      </c>
      <c r="C141" s="648" t="s">
        <v>536</v>
      </c>
      <c r="D141" s="370">
        <f>SUM(D139:D140)</f>
        <v>2083854.1682537035</v>
      </c>
      <c r="E141" s="370"/>
      <c r="F141" s="370">
        <f t="shared" ref="F141:Z141" si="28">SUM(F139:F140)</f>
        <v>2070486.6686650182</v>
      </c>
      <c r="G141" s="370"/>
      <c r="H141" s="370">
        <f t="shared" si="28"/>
        <v>2161471.2325247522</v>
      </c>
      <c r="I141" s="370"/>
      <c r="J141" s="370">
        <f t="shared" si="28"/>
        <v>1985157.288161569</v>
      </c>
      <c r="K141" s="370"/>
      <c r="L141" s="370">
        <f t="shared" si="28"/>
        <v>1531734.9229996009</v>
      </c>
      <c r="M141" s="370"/>
      <c r="N141" s="370">
        <f t="shared" si="28"/>
        <v>1138049.1991192228</v>
      </c>
      <c r="O141" s="370"/>
      <c r="P141" s="370">
        <f t="shared" si="28"/>
        <v>887897.76898302685</v>
      </c>
      <c r="Q141" s="370"/>
      <c r="R141" s="370">
        <f t="shared" si="28"/>
        <v>960225.46185589768</v>
      </c>
      <c r="S141" s="370"/>
      <c r="T141" s="370">
        <f t="shared" si="28"/>
        <v>749009.02323421964</v>
      </c>
      <c r="U141" s="370"/>
      <c r="V141" s="370">
        <f t="shared" si="28"/>
        <v>891537.24664693861</v>
      </c>
      <c r="W141" s="370"/>
      <c r="X141" s="370">
        <f t="shared" si="28"/>
        <v>1862562.7224762733</v>
      </c>
      <c r="Y141" s="370"/>
      <c r="Z141" s="393">
        <f t="shared" si="28"/>
        <v>1841864.0258373357</v>
      </c>
      <c r="AA141" s="71">
        <f t="shared" si="25"/>
        <v>18163849.72875756</v>
      </c>
    </row>
    <row r="142" spans="2:30" ht="15.75" thickBot="1" x14ac:dyDescent="0.3">
      <c r="B142" s="682">
        <v>138</v>
      </c>
      <c r="C142" s="654"/>
      <c r="D142" s="655"/>
      <c r="E142" s="655"/>
      <c r="F142" s="655"/>
      <c r="G142" s="655"/>
      <c r="H142" s="655"/>
      <c r="I142" s="655"/>
      <c r="J142" s="655"/>
      <c r="K142" s="655"/>
      <c r="L142" s="655"/>
      <c r="M142" s="655"/>
      <c r="N142" s="655"/>
      <c r="O142" s="655"/>
      <c r="P142" s="655"/>
      <c r="Q142" s="655"/>
      <c r="R142" s="655"/>
      <c r="S142" s="655"/>
      <c r="T142" s="655"/>
      <c r="U142" s="655"/>
      <c r="V142" s="655"/>
      <c r="W142" s="655"/>
      <c r="X142" s="655"/>
      <c r="Y142" s="655"/>
      <c r="Z142" s="656"/>
      <c r="AA142" s="71"/>
    </row>
    <row r="143" spans="2:30" x14ac:dyDescent="0.25">
      <c r="B143" s="682">
        <v>139</v>
      </c>
      <c r="C143" s="657"/>
      <c r="D143" s="646"/>
      <c r="E143" s="646"/>
      <c r="F143" s="646"/>
      <c r="G143" s="646"/>
      <c r="H143" s="646"/>
      <c r="I143" s="646"/>
      <c r="J143" s="646"/>
      <c r="K143" s="646"/>
      <c r="L143" s="646"/>
      <c r="M143" s="646"/>
      <c r="N143" s="646"/>
      <c r="O143" s="646"/>
      <c r="P143" s="646"/>
      <c r="Q143" s="646"/>
      <c r="R143" s="646"/>
      <c r="S143" s="646"/>
      <c r="T143" s="646"/>
      <c r="U143" s="646"/>
      <c r="V143" s="646"/>
      <c r="W143" s="646"/>
      <c r="X143" s="646"/>
      <c r="Y143" s="646"/>
      <c r="Z143" s="646"/>
      <c r="AA143" s="71"/>
    </row>
    <row r="144" spans="2:30" x14ac:dyDescent="0.25">
      <c r="B144" s="750">
        <v>140</v>
      </c>
      <c r="C144" s="852" t="s">
        <v>631</v>
      </c>
      <c r="D144" s="853"/>
      <c r="E144" s="853"/>
      <c r="F144" s="853"/>
      <c r="G144" s="853"/>
      <c r="H144" s="853"/>
      <c r="I144" s="853"/>
      <c r="J144" s="853"/>
      <c r="K144" s="853"/>
      <c r="L144" s="853"/>
      <c r="M144" s="853"/>
      <c r="N144" s="853"/>
      <c r="O144" s="853"/>
      <c r="P144" s="853"/>
      <c r="Q144" s="853"/>
      <c r="R144" s="853"/>
      <c r="S144" s="853"/>
      <c r="T144" s="853"/>
      <c r="U144" s="853"/>
      <c r="V144" s="853"/>
      <c r="W144" s="853"/>
      <c r="X144" s="853"/>
      <c r="Y144" s="853"/>
      <c r="Z144" s="853"/>
      <c r="AA144" s="751"/>
    </row>
    <row r="145" spans="2:29" x14ac:dyDescent="0.25">
      <c r="B145" s="750">
        <v>141</v>
      </c>
      <c r="C145" s="752" t="s">
        <v>270</v>
      </c>
      <c r="D145" s="666"/>
      <c r="E145" s="666"/>
      <c r="F145" s="666"/>
      <c r="G145" s="666"/>
      <c r="H145" s="666"/>
      <c r="I145" s="666"/>
      <c r="J145" s="851" t="s">
        <v>635</v>
      </c>
      <c r="K145" s="851"/>
      <c r="L145" s="851"/>
      <c r="M145" s="851"/>
      <c r="N145" s="851"/>
      <c r="O145" s="851"/>
      <c r="P145" s="851"/>
      <c r="Q145" s="666"/>
      <c r="R145" s="666"/>
      <c r="S145" s="666"/>
      <c r="T145" s="666"/>
      <c r="U145" s="666"/>
      <c r="V145" s="666"/>
      <c r="W145" s="666"/>
      <c r="X145" s="666"/>
      <c r="Y145" s="666"/>
      <c r="Z145" s="666"/>
      <c r="AA145" s="666"/>
    </row>
    <row r="146" spans="2:29" x14ac:dyDescent="0.25">
      <c r="B146" s="750">
        <v>142</v>
      </c>
      <c r="C146" s="735" t="s">
        <v>267</v>
      </c>
      <c r="D146" s="753">
        <f>D90*($AB$116/12)</f>
        <v>10521998.855471125</v>
      </c>
      <c r="E146" s="753"/>
      <c r="F146" s="753">
        <f>F90*($AB$116/12)</f>
        <v>11715483.748935644</v>
      </c>
      <c r="G146" s="753"/>
      <c r="H146" s="753">
        <f>H90*($AB$116/12)</f>
        <v>11007553.306405433</v>
      </c>
      <c r="I146" s="753"/>
      <c r="J146" s="753">
        <f>J90*($AB$116/12)</f>
        <v>10591103.70346237</v>
      </c>
      <c r="K146" s="753"/>
      <c r="L146" s="753">
        <f>L90*($AB$116/12)</f>
        <v>9550979.2292306572</v>
      </c>
      <c r="M146" s="753"/>
      <c r="N146" s="753">
        <f>N90*($AB$116/12)</f>
        <v>9121972.4962548055</v>
      </c>
      <c r="O146" s="753"/>
      <c r="P146" s="753">
        <f>P90*($AB$116/12)</f>
        <v>9508294.8895266354</v>
      </c>
      <c r="Q146" s="753"/>
      <c r="R146" s="753">
        <f>R90*($AB$116/12)</f>
        <v>9618720.9453156162</v>
      </c>
      <c r="S146" s="753"/>
      <c r="T146" s="753">
        <f>T90*($AB$116/12)</f>
        <v>9534734.4633565266</v>
      </c>
      <c r="U146" s="753"/>
      <c r="V146" s="753">
        <f>V90*($AB$116/12)</f>
        <v>10552838.762238255</v>
      </c>
      <c r="W146" s="753"/>
      <c r="X146" s="753">
        <f>AA90*(($AB$116)/12)</f>
        <v>12098523.754125511</v>
      </c>
      <c r="Y146" s="753"/>
      <c r="Z146" s="753">
        <f>AB90*(($AB$116)/12)</f>
        <v>11580741.617264524</v>
      </c>
      <c r="AA146" s="751">
        <f>SUM(D146:Z146)</f>
        <v>125402945.77158709</v>
      </c>
    </row>
    <row r="147" spans="2:29" x14ac:dyDescent="0.25">
      <c r="B147" s="750">
        <v>143</v>
      </c>
      <c r="C147" s="735" t="s">
        <v>268</v>
      </c>
      <c r="D147" s="736">
        <f>D91*($AB$116/12)</f>
        <v>8252243.6330405623</v>
      </c>
      <c r="E147" s="736"/>
      <c r="F147" s="736">
        <f>F91*($AB$116/12)</f>
        <v>8998780.2753114402</v>
      </c>
      <c r="G147" s="736"/>
      <c r="H147" s="736">
        <f>H91*($AB$116/12)</f>
        <v>8020727.1341670072</v>
      </c>
      <c r="I147" s="736"/>
      <c r="J147" s="736">
        <f>J91*($AB$116/12)</f>
        <v>7877025.7053476069</v>
      </c>
      <c r="K147" s="736"/>
      <c r="L147" s="736">
        <f>L91*($AB$116/12)</f>
        <v>7578775.0087587005</v>
      </c>
      <c r="M147" s="736"/>
      <c r="N147" s="736">
        <f>N91*($AB$116/12)</f>
        <v>7432189.8021595757</v>
      </c>
      <c r="O147" s="736"/>
      <c r="P147" s="736">
        <f>P91*($AB$116/12)</f>
        <v>9289782.0921993442</v>
      </c>
      <c r="Q147" s="736"/>
      <c r="R147" s="736">
        <f>R91*($AB$116/12)</f>
        <v>7483685.2937301258</v>
      </c>
      <c r="S147" s="736"/>
      <c r="T147" s="736">
        <f>T91*($AB$116/12)</f>
        <v>7385463.6858333992</v>
      </c>
      <c r="U147" s="736"/>
      <c r="V147" s="736">
        <f>V91*($AB$116/12)</f>
        <v>8037514.6231732806</v>
      </c>
      <c r="W147" s="736"/>
      <c r="X147" s="753">
        <f>AA91*(($AB$116)/12)</f>
        <v>9608399.235101277</v>
      </c>
      <c r="Y147" s="753"/>
      <c r="Z147" s="753">
        <f>AB91*(($AB$116)/12)</f>
        <v>8598308.5143972281</v>
      </c>
      <c r="AA147" s="751">
        <f>SUM(D147:Z147)</f>
        <v>98562895.00321956</v>
      </c>
    </row>
    <row r="148" spans="2:29" x14ac:dyDescent="0.25">
      <c r="B148" s="750">
        <v>144</v>
      </c>
      <c r="C148" s="735" t="s">
        <v>268</v>
      </c>
      <c r="D148" s="736">
        <f>D92*($AB$116/12)</f>
        <v>3149577.1276753638</v>
      </c>
      <c r="E148" s="736"/>
      <c r="F148" s="736">
        <f>F92*($AB$116/12)</f>
        <v>3295996.8326060497</v>
      </c>
      <c r="G148" s="736"/>
      <c r="H148" s="736">
        <f>H92*($AB$116/12)</f>
        <v>3232011.0378487422</v>
      </c>
      <c r="I148" s="736"/>
      <c r="J148" s="736">
        <f>J92*($AB$116/12)</f>
        <v>2944406.8560745097</v>
      </c>
      <c r="K148" s="736"/>
      <c r="L148" s="736">
        <f>L92*($AB$116/12)</f>
        <v>2888237.2941416181</v>
      </c>
      <c r="M148" s="736"/>
      <c r="N148" s="736">
        <f>N92*($AB$116/12)</f>
        <v>2952279.6020620181</v>
      </c>
      <c r="O148" s="736"/>
      <c r="P148" s="736">
        <f>P92*($AB$116/12)</f>
        <v>389930.55555555556</v>
      </c>
      <c r="Q148" s="736"/>
      <c r="R148" s="736">
        <f>R92*($AB$116/12)</f>
        <v>2710866.8291149652</v>
      </c>
      <c r="S148" s="736"/>
      <c r="T148" s="736">
        <f>T92*($AB$116/12)</f>
        <v>2851684.7373192413</v>
      </c>
      <c r="U148" s="736"/>
      <c r="V148" s="736">
        <f>V92*($AB$116/12)</f>
        <v>3010093.8737495169</v>
      </c>
      <c r="W148" s="736"/>
      <c r="X148" s="753">
        <f>AA92*(($AB$116)/12)</f>
        <v>3867627.8251817976</v>
      </c>
      <c r="Y148" s="753"/>
      <c r="Z148" s="753">
        <f>AB92*(($AB$116)/12)</f>
        <v>3345346.2100242553</v>
      </c>
      <c r="AA148" s="751">
        <f>SUM(D148:Z148)</f>
        <v>34638058.781353638</v>
      </c>
    </row>
    <row r="149" spans="2:29" x14ac:dyDescent="0.25">
      <c r="B149" s="750">
        <v>145</v>
      </c>
      <c r="C149" s="735" t="s">
        <v>269</v>
      </c>
      <c r="D149" s="736">
        <f>D93*($AB$116/12)</f>
        <v>30572327.936364483</v>
      </c>
      <c r="E149" s="736"/>
      <c r="F149" s="736">
        <f>F93*($AB$116/12)</f>
        <v>31373629.68735094</v>
      </c>
      <c r="G149" s="736"/>
      <c r="H149" s="736">
        <f>H93*($AB$116/12)</f>
        <v>25396598.899957322</v>
      </c>
      <c r="I149" s="736"/>
      <c r="J149" s="736">
        <f>J93*($AB$116/12)</f>
        <v>24866449.589749377</v>
      </c>
      <c r="K149" s="736"/>
      <c r="L149" s="736">
        <f>L93*($AB$116/12)</f>
        <v>21125245.050499029</v>
      </c>
      <c r="M149" s="736"/>
      <c r="N149" s="736">
        <f>N93*($AB$116/12)</f>
        <v>18807578.006278463</v>
      </c>
      <c r="O149" s="736"/>
      <c r="P149" s="736">
        <f>P93*($AB$116/12)</f>
        <v>25722643.256308071</v>
      </c>
      <c r="Q149" s="736"/>
      <c r="R149" s="736">
        <f>R93*($AB$116/12)</f>
        <v>43650144.187648274</v>
      </c>
      <c r="S149" s="736"/>
      <c r="T149" s="736">
        <f>T93*($AB$116/12)</f>
        <v>52637116.441899098</v>
      </c>
      <c r="U149" s="736"/>
      <c r="V149" s="736">
        <f>V93*($AB$116/12)</f>
        <v>48542528.047402754</v>
      </c>
      <c r="W149" s="736"/>
      <c r="X149" s="753">
        <f>AA93*(($AB$116)/12)</f>
        <v>27731216.097135521</v>
      </c>
      <c r="Y149" s="753"/>
      <c r="Z149" s="753">
        <f>AB93*(($AB$116)/12)</f>
        <v>32588357.842701416</v>
      </c>
      <c r="AA149" s="751">
        <f t="shared" ref="AA149:AA150" si="29">SUM(D149:Z149)</f>
        <v>383013835.04329479</v>
      </c>
    </row>
    <row r="150" spans="2:29" x14ac:dyDescent="0.25">
      <c r="B150" s="750">
        <v>146</v>
      </c>
      <c r="C150" s="754" t="s">
        <v>271</v>
      </c>
      <c r="D150" s="755">
        <f>SUM(D146:D149)</f>
        <v>52496147.552551538</v>
      </c>
      <c r="E150" s="755"/>
      <c r="F150" s="755">
        <f t="shared" ref="F150:Z150" si="30">SUM(F146:F149)</f>
        <v>55383890.544204071</v>
      </c>
      <c r="G150" s="755"/>
      <c r="H150" s="755">
        <f t="shared" si="30"/>
        <v>47656890.378378503</v>
      </c>
      <c r="I150" s="755"/>
      <c r="J150" s="755">
        <f t="shared" si="30"/>
        <v>46278985.85463386</v>
      </c>
      <c r="K150" s="755"/>
      <c r="L150" s="755">
        <f t="shared" si="30"/>
        <v>41143236.582630008</v>
      </c>
      <c r="M150" s="755"/>
      <c r="N150" s="755">
        <f t="shared" si="30"/>
        <v>38314019.906754866</v>
      </c>
      <c r="O150" s="755"/>
      <c r="P150" s="755">
        <f t="shared" si="30"/>
        <v>44910650.793589607</v>
      </c>
      <c r="Q150" s="755"/>
      <c r="R150" s="755">
        <f t="shared" si="30"/>
        <v>63463417.255808979</v>
      </c>
      <c r="S150" s="755"/>
      <c r="T150" s="755">
        <f t="shared" si="30"/>
        <v>72408999.328408271</v>
      </c>
      <c r="U150" s="755"/>
      <c r="V150" s="755">
        <f t="shared" si="30"/>
        <v>70142975.30656381</v>
      </c>
      <c r="W150" s="755"/>
      <c r="X150" s="755">
        <f>SUM(X146:X149)</f>
        <v>53305766.911544107</v>
      </c>
      <c r="Y150" s="755"/>
      <c r="Z150" s="755">
        <f t="shared" si="30"/>
        <v>56112754.184387423</v>
      </c>
      <c r="AA150" s="751">
        <f t="shared" si="29"/>
        <v>641617734.599455</v>
      </c>
      <c r="AC150" s="9"/>
    </row>
    <row r="152" spans="2:29" x14ac:dyDescent="0.25">
      <c r="D152" s="9"/>
      <c r="F152" s="9"/>
      <c r="H152" s="9"/>
      <c r="J152" s="9"/>
      <c r="L152" s="9"/>
      <c r="N152" s="9"/>
      <c r="P152" s="9"/>
      <c r="R152" s="9"/>
      <c r="T152" s="9"/>
      <c r="V152" s="9"/>
      <c r="X152" s="9"/>
      <c r="Z152" s="9"/>
      <c r="AA152" s="9"/>
    </row>
    <row r="159" spans="2:29" x14ac:dyDescent="0.25">
      <c r="D159" s="9"/>
      <c r="F159" s="9"/>
      <c r="H159" s="9"/>
      <c r="J159" s="9"/>
      <c r="L159" s="9"/>
      <c r="N159" s="9"/>
      <c r="P159" s="9"/>
      <c r="R159" s="9"/>
      <c r="T159" s="9"/>
      <c r="V159" s="9"/>
      <c r="X159" s="9"/>
      <c r="Z159" s="9"/>
    </row>
    <row r="160" spans="2:29" x14ac:dyDescent="0.25">
      <c r="D160" s="9"/>
      <c r="F160" s="9"/>
      <c r="H160" s="9"/>
      <c r="J160" s="9"/>
      <c r="L160" s="9"/>
      <c r="N160" s="9"/>
      <c r="P160" s="9"/>
      <c r="R160" s="9"/>
      <c r="T160" s="9"/>
      <c r="V160" s="9"/>
      <c r="X160" s="9"/>
      <c r="Z160" s="9"/>
    </row>
    <row r="161" spans="4:26" x14ac:dyDescent="0.25">
      <c r="D161" s="9"/>
      <c r="F161" s="9"/>
      <c r="H161" s="9"/>
      <c r="J161" s="9"/>
      <c r="L161" s="9"/>
      <c r="N161" s="9"/>
      <c r="P161" s="9"/>
      <c r="R161" s="9"/>
      <c r="T161" s="9"/>
      <c r="V161" s="9"/>
      <c r="X161" s="9"/>
      <c r="Z161" s="9"/>
    </row>
    <row r="164" spans="4:26" x14ac:dyDescent="0.25">
      <c r="D164" s="9"/>
      <c r="F164" s="9"/>
      <c r="H164" s="9"/>
      <c r="J164" s="9"/>
      <c r="L164" s="9"/>
      <c r="N164" s="9"/>
      <c r="P164" s="9"/>
      <c r="R164" s="9"/>
      <c r="T164" s="9"/>
      <c r="V164" s="9"/>
      <c r="X164" s="9"/>
      <c r="Z164" s="9"/>
    </row>
    <row r="165" spans="4:26" x14ac:dyDescent="0.25">
      <c r="D165" s="9"/>
      <c r="F165" s="9"/>
      <c r="H165" s="9"/>
      <c r="J165" s="9"/>
      <c r="L165" s="9"/>
      <c r="N165" s="9"/>
      <c r="P165" s="9"/>
      <c r="R165" s="9"/>
      <c r="T165" s="9"/>
      <c r="V165" s="9"/>
      <c r="X165" s="9"/>
      <c r="Z165" s="9"/>
    </row>
    <row r="166" spans="4:26" x14ac:dyDescent="0.25">
      <c r="D166" s="9"/>
      <c r="F166" s="9"/>
      <c r="H166" s="9"/>
      <c r="J166" s="9"/>
      <c r="L166" s="9"/>
      <c r="N166" s="9"/>
      <c r="P166" s="9"/>
      <c r="R166" s="9"/>
      <c r="T166" s="9"/>
      <c r="V166" s="9"/>
      <c r="X166" s="9"/>
      <c r="Z166" s="9"/>
    </row>
  </sheetData>
  <mergeCells count="10">
    <mergeCell ref="J145:P145"/>
    <mergeCell ref="C144:Z144"/>
    <mergeCell ref="AA43:AB43"/>
    <mergeCell ref="AA89:AB89"/>
    <mergeCell ref="AA31:AB31"/>
    <mergeCell ref="AA4:AB4"/>
    <mergeCell ref="AA25:AB25"/>
    <mergeCell ref="B4:Z4"/>
    <mergeCell ref="C96:Z96"/>
    <mergeCell ref="C123:Z123"/>
  </mergeCells>
  <pageMargins left="0.7" right="0.7" top="1.5" bottom="0.75" header="0.3" footer="0.3"/>
  <pageSetup scale="28" fitToHeight="0" orientation="landscape" r:id="rId1"/>
  <headerFooter scaleWithDoc="0">
    <oddHeader>&amp;CCascade Natural Gas Corporation
End of Period Calculations
IDM WP-1.3&amp;RPage &amp;P of &amp;N</oddHeader>
    <oddFooter>&amp;L&amp;A</oddFooter>
  </headerFooter>
  <rowBreaks count="1" manualBreakCount="1">
    <brk id="9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8955-DE60-4DD2-8A36-8951C98A355F}">
  <sheetPr codeName="Sheet16">
    <pageSetUpPr fitToPage="1"/>
  </sheetPr>
  <dimension ref="A1:AB32"/>
  <sheetViews>
    <sheetView workbookViewId="0"/>
  </sheetViews>
  <sheetFormatPr defaultColWidth="8.7109375" defaultRowHeight="15" x14ac:dyDescent="0.25"/>
  <cols>
    <col min="1" max="1" width="8.7109375" style="1"/>
    <col min="2" max="2" width="8.7109375" style="3"/>
    <col min="3" max="3" width="34.28515625" style="1" customWidth="1"/>
    <col min="4" max="4" width="15.85546875" style="1" bestFit="1" customWidth="1"/>
    <col min="5" max="5" width="16.85546875" style="1" bestFit="1" customWidth="1"/>
    <col min="6" max="8" width="16.42578125" style="1" bestFit="1" customWidth="1"/>
    <col min="9" max="11" width="15.42578125" style="1" bestFit="1" customWidth="1"/>
    <col min="12" max="13" width="16.42578125" style="1" bestFit="1" customWidth="1"/>
    <col min="14" max="14" width="16.85546875" style="1" bestFit="1" customWidth="1"/>
    <col min="15" max="15" width="15.85546875" style="1" bestFit="1" customWidth="1"/>
    <col min="16" max="16" width="18.140625" style="1" bestFit="1" customWidth="1"/>
    <col min="17" max="16384" width="8.7109375" style="1"/>
  </cols>
  <sheetData>
    <row r="1" spans="1:28" x14ac:dyDescent="0.25">
      <c r="A1" s="159"/>
      <c r="B1" s="159" t="s">
        <v>55</v>
      </c>
      <c r="C1" s="6"/>
      <c r="D1" s="6"/>
      <c r="E1" s="6"/>
    </row>
    <row r="2" spans="1:28" x14ac:dyDescent="0.25">
      <c r="B2" s="7"/>
      <c r="C2" s="6"/>
      <c r="D2" s="41" t="s">
        <v>503</v>
      </c>
      <c r="E2" s="41" t="s">
        <v>502</v>
      </c>
      <c r="F2" s="41" t="s">
        <v>501</v>
      </c>
      <c r="G2" s="41" t="s">
        <v>500</v>
      </c>
      <c r="H2" s="41" t="s">
        <v>499</v>
      </c>
      <c r="I2" s="41" t="s">
        <v>498</v>
      </c>
      <c r="J2" s="41" t="s">
        <v>497</v>
      </c>
      <c r="K2" s="41" t="s">
        <v>496</v>
      </c>
      <c r="L2" s="41" t="s">
        <v>495</v>
      </c>
      <c r="M2" s="41" t="s">
        <v>494</v>
      </c>
      <c r="N2" s="41" t="s">
        <v>493</v>
      </c>
      <c r="O2" s="41" t="s">
        <v>492</v>
      </c>
      <c r="P2" s="6"/>
    </row>
    <row r="3" spans="1:28" customFormat="1" x14ac:dyDescent="0.25">
      <c r="A3" s="165" t="s">
        <v>217</v>
      </c>
      <c r="B3" s="165" t="s">
        <v>218</v>
      </c>
      <c r="C3" s="165" t="s">
        <v>34</v>
      </c>
      <c r="D3" s="165" t="s">
        <v>35</v>
      </c>
      <c r="E3" s="165" t="s">
        <v>37</v>
      </c>
      <c r="F3" s="165" t="s">
        <v>39</v>
      </c>
      <c r="G3" s="165" t="s">
        <v>50</v>
      </c>
      <c r="H3" s="165" t="s">
        <v>51</v>
      </c>
      <c r="I3" s="165" t="s">
        <v>77</v>
      </c>
      <c r="J3" s="160">
        <v>43664</v>
      </c>
      <c r="K3" s="165" t="s">
        <v>41</v>
      </c>
      <c r="L3" s="165" t="s">
        <v>43</v>
      </c>
      <c r="M3" s="165" t="s">
        <v>44</v>
      </c>
      <c r="N3" s="160" t="s">
        <v>227</v>
      </c>
      <c r="O3" s="165" t="s">
        <v>229</v>
      </c>
      <c r="P3" s="165" t="s">
        <v>422</v>
      </c>
      <c r="Q3" s="165"/>
      <c r="R3" s="165"/>
      <c r="S3" s="165"/>
      <c r="T3" s="165"/>
      <c r="U3" s="165"/>
      <c r="V3" s="165"/>
      <c r="W3" s="165"/>
      <c r="X3" s="60"/>
      <c r="Z3" s="1"/>
      <c r="AA3" s="1"/>
      <c r="AB3" s="1"/>
    </row>
    <row r="4" spans="1:28" x14ac:dyDescent="0.25">
      <c r="A4" s="1">
        <v>1</v>
      </c>
      <c r="B4" s="7"/>
      <c r="C4" s="6"/>
      <c r="D4" s="2">
        <v>43466</v>
      </c>
      <c r="E4" s="2">
        <v>43497</v>
      </c>
      <c r="F4" s="2">
        <v>43525</v>
      </c>
      <c r="G4" s="2">
        <v>43556</v>
      </c>
      <c r="H4" s="2">
        <v>43586</v>
      </c>
      <c r="I4" s="2">
        <v>43617</v>
      </c>
      <c r="J4" s="2">
        <v>43647</v>
      </c>
      <c r="K4" s="2">
        <v>43678</v>
      </c>
      <c r="L4" s="2">
        <v>43709</v>
      </c>
      <c r="M4" s="2">
        <v>43739</v>
      </c>
      <c r="N4" s="2">
        <v>43770</v>
      </c>
      <c r="O4" s="2">
        <v>43800</v>
      </c>
      <c r="P4" s="3" t="s">
        <v>26</v>
      </c>
    </row>
    <row r="5" spans="1:28" x14ac:dyDescent="0.25">
      <c r="A5" s="1">
        <v>2</v>
      </c>
      <c r="B5" s="7"/>
      <c r="C5" s="6" t="s">
        <v>56</v>
      </c>
      <c r="D5" s="7"/>
      <c r="E5" s="7"/>
    </row>
    <row r="6" spans="1:28" x14ac:dyDescent="0.25">
      <c r="A6" s="1">
        <v>3</v>
      </c>
      <c r="C6" s="6"/>
      <c r="D6" s="8"/>
      <c r="E6" s="8"/>
    </row>
    <row r="7" spans="1:28" x14ac:dyDescent="0.25">
      <c r="A7" s="1">
        <v>4</v>
      </c>
      <c r="B7" s="7" t="s">
        <v>57</v>
      </c>
      <c r="C7" s="6" t="s">
        <v>58</v>
      </c>
      <c r="D7" s="43">
        <v>16583857.109999999</v>
      </c>
      <c r="E7" s="166">
        <v>17381490.5</v>
      </c>
      <c r="F7" s="43">
        <v>13368158.75</v>
      </c>
      <c r="G7" s="43">
        <v>7807312.8099999996</v>
      </c>
      <c r="H7" s="43">
        <v>5376355.6399999997</v>
      </c>
      <c r="I7" s="43">
        <v>3642488.93</v>
      </c>
      <c r="J7" s="43">
        <v>3619300.15</v>
      </c>
      <c r="K7" s="43">
        <v>2777963.49</v>
      </c>
      <c r="L7" s="43">
        <v>4437051.1900000004</v>
      </c>
      <c r="M7" s="43">
        <v>9781859.5199999996</v>
      </c>
      <c r="N7" s="43">
        <v>15742840.050000001</v>
      </c>
      <c r="O7" s="43">
        <v>19957748.239999998</v>
      </c>
      <c r="P7" s="193">
        <f>SUM(D7:O7)</f>
        <v>120476426.37999998</v>
      </c>
    </row>
    <row r="8" spans="1:28" x14ac:dyDescent="0.25">
      <c r="A8" s="1">
        <v>5</v>
      </c>
      <c r="B8" s="7" t="s">
        <v>59</v>
      </c>
      <c r="C8" s="6" t="s">
        <v>60</v>
      </c>
      <c r="D8" s="43">
        <v>12485477.529999999</v>
      </c>
      <c r="E8" s="166">
        <v>13238064.689999999</v>
      </c>
      <c r="F8" s="43">
        <v>10959478.15</v>
      </c>
      <c r="G8" s="43">
        <v>6700490.8300000001</v>
      </c>
      <c r="H8" s="43">
        <v>4478338.24</v>
      </c>
      <c r="I8" s="43">
        <v>3704662.03</v>
      </c>
      <c r="J8" s="43">
        <v>3762010.33</v>
      </c>
      <c r="K8" s="43">
        <v>3029249.83</v>
      </c>
      <c r="L8" s="43">
        <v>4689397.0999999996</v>
      </c>
      <c r="M8" s="43">
        <v>9110023.1600000001</v>
      </c>
      <c r="N8" s="43">
        <v>13131146.380000001</v>
      </c>
      <c r="O8" s="43">
        <v>15716835.310000001</v>
      </c>
      <c r="P8" s="193">
        <f>SUM(D8:O8)</f>
        <v>101005173.58</v>
      </c>
    </row>
    <row r="9" spans="1:28" x14ac:dyDescent="0.25">
      <c r="A9" s="1">
        <v>6</v>
      </c>
      <c r="C9" s="6" t="s">
        <v>61</v>
      </c>
      <c r="D9" s="44">
        <f>SUM(D7:D8)</f>
        <v>29069334.640000001</v>
      </c>
      <c r="E9" s="44">
        <f t="shared" ref="E9:O9" si="0">SUM(E7:E8)</f>
        <v>30619555.189999998</v>
      </c>
      <c r="F9" s="44">
        <f t="shared" si="0"/>
        <v>24327636.899999999</v>
      </c>
      <c r="G9" s="44">
        <f t="shared" si="0"/>
        <v>14507803.640000001</v>
      </c>
      <c r="H9" s="44">
        <f t="shared" si="0"/>
        <v>9854693.879999999</v>
      </c>
      <c r="I9" s="44">
        <f t="shared" si="0"/>
        <v>7347150.96</v>
      </c>
      <c r="J9" s="44">
        <f t="shared" si="0"/>
        <v>7381310.4800000004</v>
      </c>
      <c r="K9" s="44">
        <f t="shared" si="0"/>
        <v>5807213.3200000003</v>
      </c>
      <c r="L9" s="44">
        <f t="shared" si="0"/>
        <v>9126448.2899999991</v>
      </c>
      <c r="M9" s="44">
        <f t="shared" si="0"/>
        <v>18891882.68</v>
      </c>
      <c r="N9" s="44">
        <f t="shared" si="0"/>
        <v>28873986.43</v>
      </c>
      <c r="O9" s="44">
        <f t="shared" si="0"/>
        <v>35674583.549999997</v>
      </c>
      <c r="P9" s="193">
        <f t="shared" ref="P9:P17" si="1">SUM(D9:O9)</f>
        <v>221481599.95999998</v>
      </c>
    </row>
    <row r="10" spans="1:28" x14ac:dyDescent="0.25">
      <c r="A10" s="1">
        <v>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77"/>
    </row>
    <row r="11" spans="1:28" x14ac:dyDescent="0.25">
      <c r="A11" s="1">
        <v>8</v>
      </c>
      <c r="C11" s="1" t="s">
        <v>62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77"/>
    </row>
    <row r="12" spans="1:28" x14ac:dyDescent="0.25">
      <c r="A12" s="1">
        <v>9</v>
      </c>
      <c r="B12" s="3" t="s">
        <v>63</v>
      </c>
      <c r="C12" s="1" t="s">
        <v>64</v>
      </c>
      <c r="D12" s="43">
        <v>66421.89</v>
      </c>
      <c r="E12" s="43">
        <v>14644.71</v>
      </c>
      <c r="F12" s="43">
        <v>69959.820000000007</v>
      </c>
      <c r="G12" s="43">
        <v>68192.789999999994</v>
      </c>
      <c r="H12" s="43">
        <v>46271.35</v>
      </c>
      <c r="I12" s="43">
        <v>40123.03</v>
      </c>
      <c r="J12" s="43">
        <v>33854.82</v>
      </c>
      <c r="K12" s="43">
        <v>33959.660000000003</v>
      </c>
      <c r="L12" s="43">
        <v>29505.35</v>
      </c>
      <c r="M12" s="43">
        <v>37754.480000000003</v>
      </c>
      <c r="N12" s="43">
        <v>42062.09</v>
      </c>
      <c r="O12" s="43">
        <v>44919.77</v>
      </c>
      <c r="P12" s="77">
        <f>SUM(D12:O12)</f>
        <v>527669.75999999989</v>
      </c>
    </row>
    <row r="13" spans="1:28" x14ac:dyDescent="0.25">
      <c r="A13" s="1">
        <v>10</v>
      </c>
      <c r="B13" s="3" t="s">
        <v>65</v>
      </c>
      <c r="C13" s="1" t="s">
        <v>66</v>
      </c>
      <c r="D13" s="43">
        <v>2025875.34</v>
      </c>
      <c r="E13" s="43">
        <v>2005205.72</v>
      </c>
      <c r="F13" s="43">
        <v>1979521.56</v>
      </c>
      <c r="G13" s="43">
        <v>1883940.32</v>
      </c>
      <c r="H13" s="43">
        <v>1796713.64</v>
      </c>
      <c r="I13" s="43">
        <v>1839573.39</v>
      </c>
      <c r="J13" s="43">
        <v>2062751.65</v>
      </c>
      <c r="K13" s="43">
        <v>2149495.98</v>
      </c>
      <c r="L13" s="43">
        <v>2113869.06</v>
      </c>
      <c r="M13" s="43">
        <v>2074979.45</v>
      </c>
      <c r="N13" s="43">
        <v>1968942.06</v>
      </c>
      <c r="O13" s="43">
        <v>2193759.77</v>
      </c>
      <c r="P13" s="77">
        <f>SUM(D13:O13)</f>
        <v>24094627.939999998</v>
      </c>
    </row>
    <row r="14" spans="1:28" x14ac:dyDescent="0.25">
      <c r="A14" s="1">
        <v>11</v>
      </c>
      <c r="B14" s="3" t="s">
        <v>67</v>
      </c>
      <c r="C14" s="1" t="s">
        <v>68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77">
        <f t="shared" si="1"/>
        <v>0</v>
      </c>
    </row>
    <row r="15" spans="1:28" x14ac:dyDescent="0.25">
      <c r="A15" s="1">
        <v>12</v>
      </c>
      <c r="B15" s="3" t="s">
        <v>69</v>
      </c>
      <c r="C15" s="1" t="s">
        <v>70</v>
      </c>
      <c r="D15" s="43">
        <v>10662.11</v>
      </c>
      <c r="E15" s="43">
        <v>10662.11</v>
      </c>
      <c r="F15" s="43">
        <v>10662.11</v>
      </c>
      <c r="G15" s="627">
        <v>10662.11</v>
      </c>
      <c r="H15" s="43">
        <v>10662.12</v>
      </c>
      <c r="I15" s="43">
        <v>10662.11</v>
      </c>
      <c r="J15" s="43">
        <v>10662.11</v>
      </c>
      <c r="K15" s="43">
        <v>10662.11</v>
      </c>
      <c r="L15" s="43">
        <v>10662.11</v>
      </c>
      <c r="M15" s="43">
        <v>10662.11</v>
      </c>
      <c r="N15" s="43">
        <v>10662.11</v>
      </c>
      <c r="O15" s="43">
        <v>10662.11</v>
      </c>
      <c r="P15" s="77">
        <f>SUM(D15:O15)</f>
        <v>127945.33</v>
      </c>
    </row>
    <row r="16" spans="1:28" x14ac:dyDescent="0.25">
      <c r="A16" s="1">
        <v>13</v>
      </c>
      <c r="B16" s="3" t="s">
        <v>71</v>
      </c>
      <c r="C16" s="1" t="s">
        <v>72</v>
      </c>
      <c r="D16" s="43">
        <v>758.61</v>
      </c>
      <c r="E16" s="43">
        <v>-1414.28</v>
      </c>
      <c r="F16" s="43">
        <v>590</v>
      </c>
      <c r="G16" s="627">
        <v>3893.43</v>
      </c>
      <c r="H16" s="43">
        <v>9911.27</v>
      </c>
      <c r="I16" s="43">
        <v>8751.5499999999993</v>
      </c>
      <c r="J16" s="43">
        <v>6555.58</v>
      </c>
      <c r="K16" s="43">
        <v>11095.07</v>
      </c>
      <c r="L16" s="43">
        <v>1654.42</v>
      </c>
      <c r="M16" s="43">
        <v>3824.81</v>
      </c>
      <c r="N16" s="43">
        <v>30694.58</v>
      </c>
      <c r="O16" s="43">
        <v>15142.4</v>
      </c>
      <c r="P16" s="77">
        <f>SUM(D16:O16)</f>
        <v>91457.44</v>
      </c>
    </row>
    <row r="17" spans="1:16" x14ac:dyDescent="0.25">
      <c r="A17" s="1">
        <v>14</v>
      </c>
      <c r="B17" s="3" t="s">
        <v>73</v>
      </c>
      <c r="C17" s="1" t="s">
        <v>74</v>
      </c>
      <c r="D17" s="45">
        <v>0</v>
      </c>
      <c r="E17" s="45">
        <v>0</v>
      </c>
      <c r="F17" s="45">
        <v>0</v>
      </c>
      <c r="G17" s="627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77">
        <f t="shared" si="1"/>
        <v>0</v>
      </c>
    </row>
    <row r="18" spans="1:16" x14ac:dyDescent="0.25">
      <c r="A18" s="1">
        <v>15</v>
      </c>
      <c r="B18" s="3">
        <v>4962</v>
      </c>
      <c r="C18" s="1" t="s">
        <v>206</v>
      </c>
      <c r="D18" s="45">
        <v>354297.65</v>
      </c>
      <c r="E18" s="45">
        <v>448508.07</v>
      </c>
      <c r="F18" s="45">
        <v>317473.7</v>
      </c>
      <c r="G18" s="627">
        <v>58290.45</v>
      </c>
      <c r="H18" s="45">
        <v>-25498.89</v>
      </c>
      <c r="I18" s="45">
        <v>-69341.63</v>
      </c>
      <c r="J18" s="45">
        <v>-44833.55</v>
      </c>
      <c r="K18" s="45">
        <v>-61267.14</v>
      </c>
      <c r="L18" s="45">
        <v>95572.82</v>
      </c>
      <c r="M18" s="45">
        <v>122423.86</v>
      </c>
      <c r="N18" s="45">
        <v>108511.64</v>
      </c>
      <c r="O18" s="45">
        <v>-302447.98</v>
      </c>
      <c r="P18" s="77">
        <f>SUM(D18:O18)</f>
        <v>1001689</v>
      </c>
    </row>
    <row r="19" spans="1:16" x14ac:dyDescent="0.25">
      <c r="A19" s="1">
        <v>16</v>
      </c>
      <c r="C19" s="1" t="s">
        <v>75</v>
      </c>
      <c r="D19" s="44">
        <f>SUM(D12:D18)</f>
        <v>2458015.5999999996</v>
      </c>
      <c r="E19" s="44">
        <f t="shared" ref="E19:O19" si="2">SUM(E12:E18)</f>
        <v>2477606.33</v>
      </c>
      <c r="F19" s="44">
        <f t="shared" si="2"/>
        <v>2378207.1900000004</v>
      </c>
      <c r="G19" s="44">
        <f t="shared" si="2"/>
        <v>2024979.1</v>
      </c>
      <c r="H19" s="44">
        <f t="shared" si="2"/>
        <v>1838059.4900000002</v>
      </c>
      <c r="I19" s="44">
        <f t="shared" si="2"/>
        <v>1829768.4500000002</v>
      </c>
      <c r="J19" s="44">
        <f t="shared" si="2"/>
        <v>2068990.61</v>
      </c>
      <c r="K19" s="44">
        <f t="shared" si="2"/>
        <v>2143945.6799999997</v>
      </c>
      <c r="L19" s="44">
        <f t="shared" si="2"/>
        <v>2251263.7599999998</v>
      </c>
      <c r="M19" s="44">
        <f t="shared" si="2"/>
        <v>2249644.71</v>
      </c>
      <c r="N19" s="44">
        <f t="shared" si="2"/>
        <v>2160872.4800000004</v>
      </c>
      <c r="O19" s="44">
        <f t="shared" si="2"/>
        <v>1962036.0699999998</v>
      </c>
      <c r="P19" s="77">
        <f>SUM(D19:O19)</f>
        <v>25843389.470000003</v>
      </c>
    </row>
    <row r="20" spans="1:16" ht="15.75" thickBot="1" x14ac:dyDescent="0.3">
      <c r="A20" s="1">
        <v>17</v>
      </c>
      <c r="C20" s="1" t="s">
        <v>76</v>
      </c>
      <c r="D20" s="46">
        <f>D19+D9</f>
        <v>31527350.240000002</v>
      </c>
      <c r="E20" s="46">
        <f t="shared" ref="E20:O20" si="3">E19+E9</f>
        <v>33097161.519999996</v>
      </c>
      <c r="F20" s="46">
        <f t="shared" si="3"/>
        <v>26705844.09</v>
      </c>
      <c r="G20" s="46">
        <f t="shared" si="3"/>
        <v>16532782.74</v>
      </c>
      <c r="H20" s="46">
        <f t="shared" si="3"/>
        <v>11692753.369999999</v>
      </c>
      <c r="I20" s="46">
        <f t="shared" si="3"/>
        <v>9176919.4100000001</v>
      </c>
      <c r="J20" s="46">
        <f t="shared" si="3"/>
        <v>9450301.0899999999</v>
      </c>
      <c r="K20" s="46">
        <f t="shared" si="3"/>
        <v>7951159</v>
      </c>
      <c r="L20" s="46">
        <f t="shared" si="3"/>
        <v>11377712.049999999</v>
      </c>
      <c r="M20" s="46">
        <f t="shared" si="3"/>
        <v>21141527.390000001</v>
      </c>
      <c r="N20" s="46">
        <f t="shared" si="3"/>
        <v>31034858.91</v>
      </c>
      <c r="O20" s="46">
        <f t="shared" si="3"/>
        <v>37636619.619999997</v>
      </c>
      <c r="P20" s="77">
        <f>SUM(D20:O20)</f>
        <v>247324989.42999998</v>
      </c>
    </row>
    <row r="21" spans="1:16" ht="15.75" thickTop="1" x14ac:dyDescent="0.25">
      <c r="A21" s="1">
        <v>18</v>
      </c>
      <c r="G21" s="625"/>
    </row>
    <row r="22" spans="1:16" x14ac:dyDescent="0.25">
      <c r="A22" s="1">
        <v>19</v>
      </c>
      <c r="G22" s="626"/>
    </row>
    <row r="23" spans="1:16" x14ac:dyDescent="0.25">
      <c r="A23" s="1">
        <v>20</v>
      </c>
      <c r="P23" s="47"/>
    </row>
    <row r="24" spans="1:16" x14ac:dyDescent="0.25">
      <c r="A24" s="1">
        <v>21</v>
      </c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6" x14ac:dyDescent="0.25">
      <c r="A25" s="1">
        <v>22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>
        <f>P9+P19</f>
        <v>247324989.42999998</v>
      </c>
    </row>
    <row r="26" spans="1:16" x14ac:dyDescent="0.25">
      <c r="A26" s="1">
        <v>23</v>
      </c>
      <c r="C26" s="78" t="s">
        <v>247</v>
      </c>
      <c r="D26" s="77">
        <f>D9</f>
        <v>29069334.640000001</v>
      </c>
      <c r="E26" s="77">
        <f t="shared" ref="E26:O26" si="4">E9</f>
        <v>30619555.189999998</v>
      </c>
      <c r="F26" s="77">
        <f t="shared" si="4"/>
        <v>24327636.899999999</v>
      </c>
      <c r="G26" s="77">
        <f t="shared" si="4"/>
        <v>14507803.640000001</v>
      </c>
      <c r="H26" s="77">
        <f t="shared" si="4"/>
        <v>9854693.879999999</v>
      </c>
      <c r="I26" s="77">
        <f t="shared" si="4"/>
        <v>7347150.96</v>
      </c>
      <c r="J26" s="77">
        <f t="shared" si="4"/>
        <v>7381310.4800000004</v>
      </c>
      <c r="K26" s="77">
        <f t="shared" si="4"/>
        <v>5807213.3200000003</v>
      </c>
      <c r="L26" s="77">
        <f t="shared" si="4"/>
        <v>9126448.2899999991</v>
      </c>
      <c r="M26" s="77">
        <f t="shared" si="4"/>
        <v>18891882.68</v>
      </c>
      <c r="N26" s="77">
        <f t="shared" si="4"/>
        <v>28873986.43</v>
      </c>
      <c r="O26" s="77">
        <f t="shared" si="4"/>
        <v>35674583.549999997</v>
      </c>
    </row>
    <row r="27" spans="1:16" x14ac:dyDescent="0.25">
      <c r="A27" s="1">
        <v>24</v>
      </c>
      <c r="C27" s="1" t="s">
        <v>246</v>
      </c>
      <c r="D27" s="79">
        <f>D19</f>
        <v>2458015.5999999996</v>
      </c>
      <c r="E27" s="79">
        <f t="shared" ref="E27:O27" si="5">E19</f>
        <v>2477606.33</v>
      </c>
      <c r="F27" s="79">
        <f t="shared" si="5"/>
        <v>2378207.1900000004</v>
      </c>
      <c r="G27" s="79">
        <f t="shared" si="5"/>
        <v>2024979.1</v>
      </c>
      <c r="H27" s="79">
        <f t="shared" si="5"/>
        <v>1838059.4900000002</v>
      </c>
      <c r="I27" s="79">
        <f t="shared" si="5"/>
        <v>1829768.4500000002</v>
      </c>
      <c r="J27" s="79">
        <f t="shared" si="5"/>
        <v>2068990.61</v>
      </c>
      <c r="K27" s="79">
        <f t="shared" si="5"/>
        <v>2143945.6799999997</v>
      </c>
      <c r="L27" s="79">
        <f t="shared" si="5"/>
        <v>2251263.7599999998</v>
      </c>
      <c r="M27" s="79">
        <f t="shared" si="5"/>
        <v>2249644.71</v>
      </c>
      <c r="N27" s="79">
        <f t="shared" si="5"/>
        <v>2160872.4800000004</v>
      </c>
      <c r="O27" s="79">
        <f t="shared" si="5"/>
        <v>1962036.0699999998</v>
      </c>
    </row>
    <row r="28" spans="1:16" x14ac:dyDescent="0.25">
      <c r="A28" s="1">
        <v>25</v>
      </c>
      <c r="C28" s="1" t="s">
        <v>205</v>
      </c>
      <c r="D28" s="77">
        <f>SUM(D26:D27)</f>
        <v>31527350.240000002</v>
      </c>
      <c r="E28" s="77">
        <f t="shared" ref="E28:O28" si="6">SUM(E26:E27)</f>
        <v>33097161.519999996</v>
      </c>
      <c r="F28" s="77">
        <f t="shared" si="6"/>
        <v>26705844.09</v>
      </c>
      <c r="G28" s="77">
        <f t="shared" si="6"/>
        <v>16532782.74</v>
      </c>
      <c r="H28" s="77">
        <f t="shared" si="6"/>
        <v>11692753.369999999</v>
      </c>
      <c r="I28" s="77">
        <f t="shared" si="6"/>
        <v>9176919.4100000001</v>
      </c>
      <c r="J28" s="77">
        <f t="shared" si="6"/>
        <v>9450301.0899999999</v>
      </c>
      <c r="K28" s="77">
        <f t="shared" si="6"/>
        <v>7951159</v>
      </c>
      <c r="L28" s="77">
        <f t="shared" si="6"/>
        <v>11377712.049999999</v>
      </c>
      <c r="M28" s="77">
        <f t="shared" si="6"/>
        <v>21141527.390000001</v>
      </c>
      <c r="N28" s="77">
        <f t="shared" si="6"/>
        <v>31034858.91</v>
      </c>
      <c r="O28" s="77">
        <f t="shared" si="6"/>
        <v>37636619.619999997</v>
      </c>
    </row>
    <row r="29" spans="1:16" x14ac:dyDescent="0.25">
      <c r="A29" s="1">
        <v>26</v>
      </c>
      <c r="C29" s="1" t="s">
        <v>45</v>
      </c>
      <c r="D29" s="77">
        <f>D20-D28</f>
        <v>0</v>
      </c>
      <c r="E29" s="77">
        <f t="shared" ref="E29:O29" si="7">E20-E28</f>
        <v>0</v>
      </c>
      <c r="F29" s="77">
        <f t="shared" si="7"/>
        <v>0</v>
      </c>
      <c r="G29" s="77">
        <f t="shared" si="7"/>
        <v>0</v>
      </c>
      <c r="H29" s="77">
        <f t="shared" si="7"/>
        <v>0</v>
      </c>
      <c r="I29" s="77">
        <f t="shared" si="7"/>
        <v>0</v>
      </c>
      <c r="J29" s="77">
        <f t="shared" si="7"/>
        <v>0</v>
      </c>
      <c r="K29" s="77">
        <f t="shared" si="7"/>
        <v>0</v>
      </c>
      <c r="L29" s="77">
        <f t="shared" si="7"/>
        <v>0</v>
      </c>
      <c r="M29" s="77">
        <f t="shared" si="7"/>
        <v>0</v>
      </c>
      <c r="N29" s="77">
        <f t="shared" si="7"/>
        <v>0</v>
      </c>
      <c r="O29" s="77">
        <f t="shared" si="7"/>
        <v>0</v>
      </c>
    </row>
    <row r="32" spans="1:16" x14ac:dyDescent="0.25">
      <c r="C32" s="78"/>
      <c r="D32" s="4"/>
    </row>
  </sheetData>
  <phoneticPr fontId="34" type="noConversion"/>
  <printOptions horizontalCentered="1"/>
  <pageMargins left="0.5" right="0.5" top="1" bottom="0.75" header="0.5" footer="0.3"/>
  <pageSetup scale="48" fitToHeight="0" orientation="landscape" horizontalDpi="1200" verticalDpi="1200" r:id="rId1"/>
  <headerFooter scaleWithDoc="0">
    <oddHeader>&amp;C&amp;10Cascade Natural Gas Corporation
Allocation Report Summary 2019
IDM WP-1.4&amp;R&amp;9Page &amp;P of &amp;N</oddHead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T21"/>
  <sheetViews>
    <sheetView workbookViewId="0"/>
  </sheetViews>
  <sheetFormatPr defaultColWidth="9" defaultRowHeight="15" x14ac:dyDescent="0.25"/>
  <cols>
    <col min="1" max="1" width="5" customWidth="1"/>
    <col min="2" max="2" width="9.7109375" bestFit="1" customWidth="1"/>
    <col min="3" max="3" width="12.5703125" bestFit="1" customWidth="1"/>
    <col min="4" max="4" width="11.5703125" bestFit="1" customWidth="1"/>
    <col min="5" max="5" width="12.5703125" bestFit="1" customWidth="1"/>
    <col min="7" max="7" width="9.7109375" bestFit="1" customWidth="1"/>
    <col min="8" max="8" width="11.5703125" bestFit="1" customWidth="1"/>
    <col min="9" max="9" width="11.85546875" customWidth="1"/>
    <col min="10" max="10" width="11.5703125" bestFit="1" customWidth="1"/>
  </cols>
  <sheetData>
    <row r="1" spans="1:10" x14ac:dyDescent="0.25">
      <c r="A1" s="59"/>
      <c r="B1" s="59" t="s">
        <v>217</v>
      </c>
      <c r="C1" s="59" t="s">
        <v>218</v>
      </c>
      <c r="D1" s="59" t="s">
        <v>34</v>
      </c>
      <c r="E1" s="59" t="s">
        <v>35</v>
      </c>
      <c r="F1" s="59" t="s">
        <v>37</v>
      </c>
      <c r="G1" s="59" t="s">
        <v>39</v>
      </c>
      <c r="H1" s="59" t="s">
        <v>50</v>
      </c>
      <c r="I1" s="59" t="s">
        <v>50</v>
      </c>
      <c r="J1" s="59" t="s">
        <v>77</v>
      </c>
    </row>
    <row r="2" spans="1:10" x14ac:dyDescent="0.25">
      <c r="A2">
        <v>1</v>
      </c>
      <c r="B2" s="844" t="s">
        <v>216</v>
      </c>
      <c r="C2" s="844"/>
      <c r="D2" s="844"/>
      <c r="E2" s="844"/>
      <c r="G2" s="844" t="s">
        <v>215</v>
      </c>
      <c r="H2" s="844"/>
      <c r="I2" s="844"/>
      <c r="J2" s="844"/>
    </row>
    <row r="3" spans="1:10" x14ac:dyDescent="0.25">
      <c r="A3">
        <v>2</v>
      </c>
      <c r="B3" t="s">
        <v>214</v>
      </c>
      <c r="C3" t="s">
        <v>213</v>
      </c>
      <c r="D3" t="s">
        <v>212</v>
      </c>
      <c r="E3" t="s">
        <v>26</v>
      </c>
      <c r="G3" t="s">
        <v>214</v>
      </c>
      <c r="H3" t="s">
        <v>213</v>
      </c>
      <c r="I3" t="s">
        <v>212</v>
      </c>
      <c r="J3" t="s">
        <v>26</v>
      </c>
    </row>
    <row r="4" spans="1:10" x14ac:dyDescent="0.25">
      <c r="A4">
        <v>3</v>
      </c>
      <c r="B4" s="55">
        <v>43466</v>
      </c>
      <c r="C4" s="10">
        <v>19427395</v>
      </c>
      <c r="D4" s="10">
        <v>1699732.9212850221</v>
      </c>
      <c r="E4" s="9">
        <f>SUM(C4:D4)</f>
        <v>21127127.921285022</v>
      </c>
      <c r="G4" s="55">
        <v>43466</v>
      </c>
      <c r="H4" s="10">
        <v>13076462</v>
      </c>
      <c r="I4" s="10">
        <v>1776838.6079321075</v>
      </c>
      <c r="J4" s="9">
        <f t="shared" ref="J4:J15" si="0">SUM(H4:I4)</f>
        <v>14853300.607932108</v>
      </c>
    </row>
    <row r="5" spans="1:10" x14ac:dyDescent="0.25">
      <c r="A5">
        <v>4</v>
      </c>
      <c r="B5" s="55">
        <v>43497</v>
      </c>
      <c r="C5" s="10">
        <v>24276433</v>
      </c>
      <c r="D5" s="10">
        <v>-7255475.5054688565</v>
      </c>
      <c r="E5" s="9">
        <f t="shared" ref="E5:E15" si="1">SUM(C5:D5)</f>
        <v>17020957.494531143</v>
      </c>
      <c r="G5" s="55">
        <v>43497</v>
      </c>
      <c r="H5" s="10">
        <v>16468355</v>
      </c>
      <c r="I5" s="10">
        <v>-4596174.2258246187</v>
      </c>
      <c r="J5" s="9">
        <f t="shared" si="0"/>
        <v>11872180.774175381</v>
      </c>
    </row>
    <row r="6" spans="1:10" x14ac:dyDescent="0.25">
      <c r="A6">
        <v>5</v>
      </c>
      <c r="B6" s="55">
        <v>43525</v>
      </c>
      <c r="C6" s="10">
        <v>16312080</v>
      </c>
      <c r="D6" s="10">
        <v>-1929747.2700163256</v>
      </c>
      <c r="E6" s="9">
        <f t="shared" si="1"/>
        <v>14382332.729983674</v>
      </c>
      <c r="G6" s="55">
        <v>43525</v>
      </c>
      <c r="H6" s="10">
        <v>11893162</v>
      </c>
      <c r="I6" s="10">
        <v>-2408625.181682447</v>
      </c>
      <c r="J6" s="9">
        <f t="shared" si="0"/>
        <v>9484536.818317553</v>
      </c>
    </row>
    <row r="7" spans="1:10" x14ac:dyDescent="0.25">
      <c r="A7">
        <v>6</v>
      </c>
      <c r="B7" s="55">
        <v>43556</v>
      </c>
      <c r="C7" s="10">
        <v>6952137.9999999991</v>
      </c>
      <c r="D7" s="10">
        <v>2502300.0865489123</v>
      </c>
      <c r="E7" s="9">
        <f t="shared" si="1"/>
        <v>9454438.0865489114</v>
      </c>
      <c r="G7" s="55">
        <v>43556</v>
      </c>
      <c r="H7" s="10">
        <v>5188753</v>
      </c>
      <c r="I7" s="10">
        <v>973880.58810159191</v>
      </c>
      <c r="J7" s="9">
        <f t="shared" si="0"/>
        <v>6162633.5881015919</v>
      </c>
    </row>
    <row r="8" spans="1:10" x14ac:dyDescent="0.25">
      <c r="A8">
        <v>7</v>
      </c>
      <c r="B8" s="55">
        <v>43586</v>
      </c>
      <c r="C8" s="10">
        <v>5018427</v>
      </c>
      <c r="D8" s="10">
        <v>983526.0208063405</v>
      </c>
      <c r="E8" s="9">
        <f t="shared" si="1"/>
        <v>6001953.0208063405</v>
      </c>
      <c r="G8" s="55">
        <v>43586</v>
      </c>
      <c r="H8" s="10">
        <v>3351647</v>
      </c>
      <c r="I8" s="10">
        <v>1126542.5980950147</v>
      </c>
      <c r="J8" s="9">
        <f t="shared" si="0"/>
        <v>4478189.5980950147</v>
      </c>
    </row>
    <row r="9" spans="1:10" x14ac:dyDescent="0.25">
      <c r="A9">
        <v>8</v>
      </c>
      <c r="B9" s="55">
        <v>43617</v>
      </c>
      <c r="C9" s="10">
        <v>2902522.0000000005</v>
      </c>
      <c r="D9" s="10">
        <v>771184.32337854942</v>
      </c>
      <c r="E9" s="9">
        <f t="shared" si="1"/>
        <v>3673706.3233785499</v>
      </c>
      <c r="G9" s="55">
        <v>43617</v>
      </c>
      <c r="H9" s="10">
        <v>2869000</v>
      </c>
      <c r="I9" s="10">
        <v>281663.1401956589</v>
      </c>
      <c r="J9" s="9">
        <f t="shared" si="0"/>
        <v>3150663.1401956589</v>
      </c>
    </row>
    <row r="10" spans="1:10" x14ac:dyDescent="0.25">
      <c r="A10">
        <v>9</v>
      </c>
      <c r="B10" s="55">
        <v>43647</v>
      </c>
      <c r="C10" s="10">
        <v>3088926</v>
      </c>
      <c r="D10" s="10">
        <v>-10517.523819486611</v>
      </c>
      <c r="E10" s="9">
        <f t="shared" si="1"/>
        <v>3078408.4761805134</v>
      </c>
      <c r="G10" s="55">
        <v>43647</v>
      </c>
      <c r="H10" s="10">
        <v>3138682</v>
      </c>
      <c r="I10" s="10">
        <v>-25875.297573229764</v>
      </c>
      <c r="J10" s="9">
        <f t="shared" si="0"/>
        <v>3112806.7024267702</v>
      </c>
    </row>
    <row r="11" spans="1:10" x14ac:dyDescent="0.25">
      <c r="A11">
        <v>10</v>
      </c>
      <c r="B11" s="55">
        <v>43678</v>
      </c>
      <c r="C11" s="10">
        <v>1817452</v>
      </c>
      <c r="D11" s="10">
        <v>1261486.801196483</v>
      </c>
      <c r="E11" s="9">
        <f t="shared" si="1"/>
        <v>3078938.801196483</v>
      </c>
      <c r="G11" s="55">
        <v>43678</v>
      </c>
      <c r="H11" s="10">
        <v>1851549.0000000002</v>
      </c>
      <c r="I11" s="10">
        <v>1263154.941161711</v>
      </c>
      <c r="J11" s="9">
        <f t="shared" si="0"/>
        <v>3114703.9411617112</v>
      </c>
    </row>
    <row r="12" spans="1:10" x14ac:dyDescent="0.25">
      <c r="A12">
        <v>11</v>
      </c>
      <c r="B12" s="55">
        <v>43709</v>
      </c>
      <c r="C12" s="10">
        <v>4287507</v>
      </c>
      <c r="D12" s="10">
        <v>-365326.89299783669</v>
      </c>
      <c r="E12" s="9">
        <f t="shared" si="1"/>
        <v>3922180.1070021633</v>
      </c>
      <c r="G12" s="55">
        <v>43709</v>
      </c>
      <c r="H12" s="10">
        <v>4407615</v>
      </c>
      <c r="I12" s="10">
        <v>-619630.08418907691</v>
      </c>
      <c r="J12" s="9">
        <f t="shared" si="0"/>
        <v>3787984.9158109231</v>
      </c>
    </row>
    <row r="13" spans="1:10" x14ac:dyDescent="0.25">
      <c r="A13">
        <v>12</v>
      </c>
      <c r="B13" s="55">
        <v>43739</v>
      </c>
      <c r="C13" s="10">
        <v>11085416</v>
      </c>
      <c r="D13" s="10">
        <v>-2043729.8829160277</v>
      </c>
      <c r="E13" s="9">
        <f t="shared" si="1"/>
        <v>9041686.1170839723</v>
      </c>
      <c r="G13" s="55">
        <v>43739</v>
      </c>
      <c r="H13" s="10">
        <v>9618877</v>
      </c>
      <c r="I13" s="10">
        <v>-2455579.7543934081</v>
      </c>
      <c r="J13" s="9">
        <f t="shared" si="0"/>
        <v>7163297.2456065919</v>
      </c>
    </row>
    <row r="14" spans="1:10" x14ac:dyDescent="0.25">
      <c r="A14">
        <v>13</v>
      </c>
      <c r="B14" s="55">
        <v>43770</v>
      </c>
      <c r="C14" s="10">
        <v>15903738</v>
      </c>
      <c r="D14" s="10">
        <v>1036088.7350640781</v>
      </c>
      <c r="E14" s="9">
        <f t="shared" si="1"/>
        <v>16939826.735064078</v>
      </c>
      <c r="G14" s="55">
        <v>43770</v>
      </c>
      <c r="H14" s="10">
        <v>11991964</v>
      </c>
      <c r="I14" s="10">
        <v>-966322.00482716225</v>
      </c>
      <c r="J14" s="9">
        <f t="shared" si="0"/>
        <v>11025641.995172838</v>
      </c>
    </row>
    <row r="15" spans="1:10" x14ac:dyDescent="0.25">
      <c r="A15">
        <v>14</v>
      </c>
      <c r="B15" s="55">
        <v>43800</v>
      </c>
      <c r="C15" s="57">
        <v>19793412</v>
      </c>
      <c r="D15" s="57">
        <v>3013580.536832273</v>
      </c>
      <c r="E15" s="49">
        <f t="shared" si="1"/>
        <v>22806992.536832273</v>
      </c>
      <c r="G15" s="55">
        <v>43800</v>
      </c>
      <c r="H15" s="57">
        <v>13349454</v>
      </c>
      <c r="I15" s="57">
        <v>1124321.72704928</v>
      </c>
      <c r="J15" s="49">
        <f t="shared" si="0"/>
        <v>14473775.72704928</v>
      </c>
    </row>
    <row r="16" spans="1:10" x14ac:dyDescent="0.25">
      <c r="A16">
        <v>15</v>
      </c>
      <c r="C16" s="56">
        <f>SUM(C4:C15)</f>
        <v>130865446</v>
      </c>
      <c r="D16" s="56">
        <f>SUM(D4:D15)</f>
        <v>-336897.65010687523</v>
      </c>
      <c r="E16" s="9">
        <f>SUM(E4:E15)</f>
        <v>130528548.34989311</v>
      </c>
      <c r="G16" s="628"/>
      <c r="H16" s="9">
        <f>SUM(H4:H15)</f>
        <v>97205520</v>
      </c>
      <c r="I16" s="9">
        <f>SUM(I4:I15)</f>
        <v>-4525804.9459545789</v>
      </c>
      <c r="J16" s="9">
        <f>SUM(J4:J15)</f>
        <v>92679715.054045424</v>
      </c>
    </row>
    <row r="17" spans="7:20" x14ac:dyDescent="0.25">
      <c r="G17" s="287"/>
    </row>
    <row r="18" spans="7:20" x14ac:dyDescent="0.25">
      <c r="G18" s="287"/>
    </row>
    <row r="19" spans="7:20" x14ac:dyDescent="0.25">
      <c r="G19" s="28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7:20" x14ac:dyDescent="0.25">
      <c r="G20" s="28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7:20" x14ac:dyDescent="0.25">
      <c r="G21" s="287"/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5362-D2B2-4F7C-AE57-9804362D8D2D}">
  <dimension ref="A1:AZ201"/>
  <sheetViews>
    <sheetView workbookViewId="0"/>
  </sheetViews>
  <sheetFormatPr defaultColWidth="9.140625" defaultRowHeight="15" x14ac:dyDescent="0.25"/>
  <cols>
    <col min="1" max="1" width="7.5703125" style="229" customWidth="1"/>
    <col min="2" max="2" width="24.7109375" style="229" bestFit="1" customWidth="1"/>
    <col min="3" max="3" width="65.7109375" style="229" bestFit="1" customWidth="1"/>
    <col min="4" max="4" width="17.5703125" style="229" customWidth="1"/>
    <col min="5" max="5" width="14" style="229" bestFit="1" customWidth="1"/>
    <col min="6" max="6" width="16.5703125" style="229" customWidth="1"/>
    <col min="7" max="7" width="20.7109375" style="229" customWidth="1"/>
    <col min="8" max="13" width="14" style="229" customWidth="1"/>
    <col min="14" max="14" width="14.28515625" style="229" customWidth="1"/>
    <col min="15" max="15" width="16.85546875" style="229" customWidth="1"/>
    <col min="16" max="16" width="18.28515625" style="229" customWidth="1"/>
    <col min="17" max="17" width="1.7109375" style="229" customWidth="1"/>
    <col min="18" max="18" width="16.85546875" style="229" customWidth="1"/>
    <col min="19" max="19" width="1" style="229" customWidth="1"/>
    <col min="20" max="20" width="18.7109375" style="229" customWidth="1"/>
    <col min="21" max="21" width="14.28515625" style="229" customWidth="1"/>
    <col min="22" max="23" width="13.28515625" style="229" customWidth="1"/>
    <col min="24" max="24" width="11.5703125" style="229" customWidth="1"/>
    <col min="25" max="25" width="3.140625" style="229" customWidth="1"/>
    <col min="26" max="26" width="9.140625" style="229" customWidth="1"/>
    <col min="27" max="27" width="3.85546875" style="229" customWidth="1"/>
    <col min="28" max="28" width="9.7109375" style="229" customWidth="1"/>
    <col min="29" max="29" width="9.140625" style="229" customWidth="1"/>
    <col min="30" max="30" width="17.28515625" style="229" customWidth="1"/>
    <col min="31" max="31" width="17.7109375" style="229" customWidth="1"/>
    <col min="32" max="32" width="9.7109375" style="229" bestFit="1" customWidth="1"/>
    <col min="33" max="33" width="9.140625" style="229"/>
    <col min="34" max="34" width="18.7109375" style="229" bestFit="1" customWidth="1"/>
    <col min="35" max="35" width="13.28515625" style="229" bestFit="1" customWidth="1"/>
    <col min="36" max="36" width="10.5703125" style="229" bestFit="1" customWidth="1"/>
    <col min="37" max="37" width="7.5703125" style="229" bestFit="1" customWidth="1"/>
    <col min="38" max="38" width="10.5703125" style="229" bestFit="1" customWidth="1"/>
    <col min="39" max="39" width="9.140625" style="229"/>
    <col min="40" max="40" width="8" style="229" bestFit="1" customWidth="1"/>
    <col min="41" max="41" width="9.140625" style="229"/>
    <col min="42" max="42" width="9.7109375" style="229" bestFit="1" customWidth="1"/>
    <col min="43" max="43" width="9.140625" style="229"/>
    <col min="44" max="44" width="18.7109375" style="229" bestFit="1" customWidth="1"/>
    <col min="45" max="45" width="13.28515625" style="229" bestFit="1" customWidth="1"/>
    <col min="46" max="46" width="10.5703125" style="229" bestFit="1" customWidth="1"/>
    <col min="47" max="47" width="7.5703125" style="229" bestFit="1" customWidth="1"/>
    <col min="48" max="48" width="10.5703125" style="229" bestFit="1" customWidth="1"/>
    <col min="49" max="49" width="9.140625" style="229"/>
    <col min="50" max="50" width="8" style="229" bestFit="1" customWidth="1"/>
    <col min="51" max="51" width="9.140625" style="229"/>
    <col min="52" max="52" width="9.7109375" style="229" bestFit="1" customWidth="1"/>
    <col min="53" max="16384" width="9.140625" style="229"/>
  </cols>
  <sheetData>
    <row r="1" spans="1:52" s="552" customFormat="1" x14ac:dyDescent="0.25">
      <c r="A1" s="552">
        <v>1</v>
      </c>
      <c r="B1" s="552" t="s">
        <v>217</v>
      </c>
      <c r="C1" s="552" t="s">
        <v>218</v>
      </c>
      <c r="D1" s="552" t="s">
        <v>34</v>
      </c>
      <c r="E1" s="552" t="s">
        <v>35</v>
      </c>
      <c r="F1" s="552" t="s">
        <v>37</v>
      </c>
      <c r="G1" s="552" t="s">
        <v>39</v>
      </c>
      <c r="H1" s="552" t="s">
        <v>50</v>
      </c>
      <c r="I1" s="552" t="s">
        <v>51</v>
      </c>
      <c r="J1" s="552" t="s">
        <v>77</v>
      </c>
      <c r="K1" s="552" t="s">
        <v>52</v>
      </c>
      <c r="L1" s="552" t="s">
        <v>41</v>
      </c>
      <c r="M1" s="552" t="s">
        <v>43</v>
      </c>
      <c r="N1" s="552" t="s">
        <v>44</v>
      </c>
      <c r="O1" s="552" t="s">
        <v>227</v>
      </c>
      <c r="P1" s="552" t="s">
        <v>229</v>
      </c>
      <c r="Q1" s="552" t="s">
        <v>422</v>
      </c>
      <c r="R1" s="552" t="s">
        <v>436</v>
      </c>
      <c r="S1" s="552" t="s">
        <v>437</v>
      </c>
      <c r="T1" s="552" t="s">
        <v>438</v>
      </c>
      <c r="U1" s="552" t="s">
        <v>439</v>
      </c>
      <c r="V1" s="552" t="s">
        <v>440</v>
      </c>
      <c r="W1" s="552" t="s">
        <v>441</v>
      </c>
      <c r="X1" s="552" t="s">
        <v>442</v>
      </c>
      <c r="Y1" s="553" t="s">
        <v>443</v>
      </c>
      <c r="Z1" s="552" t="s">
        <v>444</v>
      </c>
      <c r="AA1" s="421" t="s">
        <v>445</v>
      </c>
      <c r="AB1" s="421" t="s">
        <v>446</v>
      </c>
      <c r="AC1" s="421" t="s">
        <v>447</v>
      </c>
      <c r="AD1" s="421" t="s">
        <v>448</v>
      </c>
      <c r="AE1" s="421"/>
      <c r="AF1" s="421"/>
      <c r="AG1" s="421"/>
      <c r="AH1" s="421"/>
      <c r="AI1" s="421"/>
      <c r="AJ1" s="421"/>
      <c r="AK1" s="421"/>
      <c r="AL1" s="421"/>
    </row>
    <row r="2" spans="1:52" ht="27.75" customHeight="1" x14ac:dyDescent="0.3">
      <c r="A2" s="229">
        <v>2</v>
      </c>
      <c r="B2" s="858" t="s">
        <v>397</v>
      </c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</row>
    <row r="3" spans="1:52" ht="21" x14ac:dyDescent="0.35">
      <c r="A3" s="229">
        <v>3</v>
      </c>
      <c r="B3" s="859" t="s">
        <v>396</v>
      </c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</row>
    <row r="4" spans="1:52" ht="18" thickBot="1" x14ac:dyDescent="0.35">
      <c r="A4" s="229">
        <v>4</v>
      </c>
      <c r="B4" s="860" t="s">
        <v>556</v>
      </c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554"/>
    </row>
    <row r="5" spans="1:52" ht="15.75" x14ac:dyDescent="0.25">
      <c r="A5" s="229">
        <v>5</v>
      </c>
      <c r="B5" s="555" t="s">
        <v>326</v>
      </c>
      <c r="C5" s="556"/>
      <c r="D5" s="557">
        <v>43496</v>
      </c>
      <c r="E5" s="557">
        <v>43524</v>
      </c>
      <c r="F5" s="557">
        <v>43555</v>
      </c>
      <c r="G5" s="557">
        <v>43585</v>
      </c>
      <c r="H5" s="557">
        <v>43616</v>
      </c>
      <c r="I5" s="557">
        <v>43646</v>
      </c>
      <c r="J5" s="557">
        <v>43677</v>
      </c>
      <c r="K5" s="557">
        <v>43708</v>
      </c>
      <c r="L5" s="557">
        <v>43738</v>
      </c>
      <c r="M5" s="557">
        <v>43769</v>
      </c>
      <c r="N5" s="557" t="s">
        <v>348</v>
      </c>
      <c r="O5" s="557">
        <v>43799</v>
      </c>
      <c r="P5" s="558">
        <v>43830</v>
      </c>
      <c r="R5" s="559" t="s">
        <v>395</v>
      </c>
    </row>
    <row r="6" spans="1:52" x14ac:dyDescent="0.25">
      <c r="A6" s="229">
        <v>6</v>
      </c>
      <c r="B6" s="560"/>
      <c r="C6" s="195" t="s">
        <v>394</v>
      </c>
      <c r="D6" s="561">
        <v>5.1799999999999999E-2</v>
      </c>
      <c r="E6" s="561">
        <v>5.1799999999999999E-2</v>
      </c>
      <c r="F6" s="561">
        <v>5.1799999999999999E-2</v>
      </c>
      <c r="G6" s="561">
        <v>5.45E-2</v>
      </c>
      <c r="H6" s="561">
        <v>5.45E-2</v>
      </c>
      <c r="I6" s="561">
        <v>5.45E-2</v>
      </c>
      <c r="J6" s="561">
        <v>5.5E-2</v>
      </c>
      <c r="K6" s="561">
        <v>5.5E-2</v>
      </c>
      <c r="L6" s="561">
        <v>5.5E-2</v>
      </c>
      <c r="M6" s="561">
        <v>5.4199999999999998E-2</v>
      </c>
      <c r="N6" s="561"/>
      <c r="O6" s="561">
        <v>5.4199999999999998E-2</v>
      </c>
      <c r="P6" s="562">
        <v>5.4199999999999998E-2</v>
      </c>
      <c r="Q6" s="563"/>
      <c r="R6" s="564"/>
      <c r="T6" s="565" t="s">
        <v>555</v>
      </c>
    </row>
    <row r="7" spans="1:52" ht="15.75" x14ac:dyDescent="0.25">
      <c r="A7" s="229">
        <v>7</v>
      </c>
      <c r="B7" s="566"/>
      <c r="C7" s="195" t="s">
        <v>393</v>
      </c>
      <c r="D7" s="291">
        <v>31</v>
      </c>
      <c r="E7" s="291">
        <v>28</v>
      </c>
      <c r="F7" s="291">
        <v>31</v>
      </c>
      <c r="G7" s="291">
        <v>30</v>
      </c>
      <c r="H7" s="291">
        <v>31</v>
      </c>
      <c r="I7" s="291">
        <v>30</v>
      </c>
      <c r="J7" s="291">
        <v>31</v>
      </c>
      <c r="K7" s="291">
        <v>31</v>
      </c>
      <c r="L7" s="291">
        <v>30</v>
      </c>
      <c r="M7" s="291">
        <v>31</v>
      </c>
      <c r="N7" s="291"/>
      <c r="O7" s="291">
        <v>30</v>
      </c>
      <c r="P7" s="567">
        <v>31</v>
      </c>
      <c r="R7" s="568"/>
    </row>
    <row r="8" spans="1:52" x14ac:dyDescent="0.25">
      <c r="A8" s="229">
        <v>8</v>
      </c>
      <c r="B8" s="569" t="s">
        <v>392</v>
      </c>
      <c r="C8" s="570">
        <v>502</v>
      </c>
      <c r="D8" s="291" t="s">
        <v>366</v>
      </c>
      <c r="P8" s="571"/>
      <c r="R8" s="563"/>
    </row>
    <row r="9" spans="1:52" x14ac:dyDescent="0.25">
      <c r="A9" s="229">
        <v>9</v>
      </c>
      <c r="B9" s="572" t="s">
        <v>365</v>
      </c>
      <c r="C9" s="229" t="s">
        <v>364</v>
      </c>
      <c r="D9" s="291">
        <v>0</v>
      </c>
      <c r="E9" s="291">
        <v>0</v>
      </c>
      <c r="F9" s="291">
        <v>0</v>
      </c>
      <c r="G9" s="291">
        <v>0</v>
      </c>
      <c r="H9" s="291">
        <v>0</v>
      </c>
      <c r="I9" s="291">
        <v>0</v>
      </c>
      <c r="J9" s="291">
        <v>0</v>
      </c>
      <c r="K9" s="291">
        <v>0</v>
      </c>
      <c r="L9" s="291">
        <v>0</v>
      </c>
      <c r="M9" s="291">
        <v>0</v>
      </c>
      <c r="N9" s="291"/>
      <c r="O9" s="291">
        <v>0</v>
      </c>
      <c r="P9" s="573">
        <v>0</v>
      </c>
      <c r="R9" s="563"/>
      <c r="V9" s="291"/>
      <c r="X9" s="291"/>
      <c r="AJ9" s="291"/>
      <c r="AL9" s="291"/>
      <c r="AT9" s="291"/>
      <c r="AV9" s="291"/>
    </row>
    <row r="10" spans="1:52" x14ac:dyDescent="0.25">
      <c r="A10" s="229">
        <v>10</v>
      </c>
      <c r="B10" s="572" t="s">
        <v>362</v>
      </c>
      <c r="C10" s="229" t="s">
        <v>381</v>
      </c>
      <c r="D10" s="574">
        <v>0</v>
      </c>
      <c r="E10" s="574">
        <v>0</v>
      </c>
      <c r="F10" s="574">
        <v>0</v>
      </c>
      <c r="G10" s="574">
        <v>0</v>
      </c>
      <c r="H10" s="574">
        <v>0</v>
      </c>
      <c r="I10" s="574">
        <v>0</v>
      </c>
      <c r="J10" s="574">
        <v>0</v>
      </c>
      <c r="K10" s="574">
        <f>51.97-51.97</f>
        <v>0</v>
      </c>
      <c r="L10" s="574">
        <v>0</v>
      </c>
      <c r="M10" s="574">
        <v>0</v>
      </c>
      <c r="N10" s="574"/>
      <c r="O10" s="574">
        <v>0</v>
      </c>
      <c r="P10" s="575">
        <v>0</v>
      </c>
      <c r="R10" s="563"/>
      <c r="T10" s="196"/>
      <c r="U10" s="294"/>
      <c r="V10" s="576"/>
      <c r="X10" s="576"/>
      <c r="AB10" s="576"/>
      <c r="AF10" s="576"/>
      <c r="AH10" s="196"/>
      <c r="AI10" s="294"/>
      <c r="AJ10" s="576"/>
      <c r="AL10" s="576"/>
      <c r="AP10" s="576"/>
      <c r="AR10" s="196"/>
      <c r="AS10" s="294"/>
      <c r="AT10" s="576"/>
      <c r="AV10" s="576"/>
      <c r="AZ10" s="576"/>
    </row>
    <row r="11" spans="1:52" ht="30" x14ac:dyDescent="0.25">
      <c r="A11" s="229">
        <v>11</v>
      </c>
      <c r="B11" s="572"/>
      <c r="C11" s="196" t="s">
        <v>355</v>
      </c>
      <c r="D11" s="294">
        <f t="shared" ref="D11:M11" si="0">D10</f>
        <v>0</v>
      </c>
      <c r="E11" s="294">
        <f t="shared" si="0"/>
        <v>0</v>
      </c>
      <c r="F11" s="294">
        <f t="shared" si="0"/>
        <v>0</v>
      </c>
      <c r="G11" s="294">
        <f t="shared" si="0"/>
        <v>0</v>
      </c>
      <c r="H11" s="294">
        <f t="shared" si="0"/>
        <v>0</v>
      </c>
      <c r="I11" s="294">
        <f t="shared" si="0"/>
        <v>0</v>
      </c>
      <c r="J11" s="294">
        <f t="shared" si="0"/>
        <v>0</v>
      </c>
      <c r="K11" s="294">
        <f t="shared" si="0"/>
        <v>0</v>
      </c>
      <c r="L11" s="294">
        <f t="shared" si="0"/>
        <v>0</v>
      </c>
      <c r="M11" s="294">
        <f t="shared" si="0"/>
        <v>0</v>
      </c>
      <c r="N11" s="294"/>
      <c r="O11" s="294">
        <f>O10</f>
        <v>0</v>
      </c>
      <c r="P11" s="573">
        <f>P10</f>
        <v>0</v>
      </c>
      <c r="R11" s="563"/>
      <c r="T11" s="196"/>
      <c r="U11" s="294"/>
      <c r="V11" s="576"/>
      <c r="X11" s="576"/>
      <c r="AB11" s="576"/>
      <c r="AD11" s="577" t="s">
        <v>470</v>
      </c>
      <c r="AF11" s="576"/>
      <c r="AH11" s="196"/>
      <c r="AI11" s="294"/>
      <c r="AJ11" s="576"/>
      <c r="AL11" s="576"/>
      <c r="AP11" s="576"/>
      <c r="AR11" s="196"/>
      <c r="AS11" s="294"/>
      <c r="AT11" s="576"/>
      <c r="AV11" s="576"/>
      <c r="AZ11" s="576"/>
    </row>
    <row r="12" spans="1:52" x14ac:dyDescent="0.25">
      <c r="A12" s="229">
        <v>12</v>
      </c>
      <c r="B12" s="572"/>
      <c r="C12" s="196" t="s">
        <v>354</v>
      </c>
      <c r="D12" s="574">
        <v>0</v>
      </c>
      <c r="E12" s="574">
        <v>0</v>
      </c>
      <c r="F12" s="574">
        <v>0</v>
      </c>
      <c r="G12" s="574">
        <v>0</v>
      </c>
      <c r="H12" s="574">
        <v>0</v>
      </c>
      <c r="I12" s="574">
        <v>0</v>
      </c>
      <c r="J12" s="574">
        <v>0</v>
      </c>
      <c r="K12" s="574">
        <v>0</v>
      </c>
      <c r="L12" s="574">
        <v>0</v>
      </c>
      <c r="M12" s="574">
        <v>0</v>
      </c>
      <c r="N12" s="574"/>
      <c r="O12" s="574">
        <v>0</v>
      </c>
      <c r="P12" s="575">
        <v>0</v>
      </c>
      <c r="R12" s="563"/>
    </row>
    <row r="13" spans="1:52" x14ac:dyDescent="0.25">
      <c r="A13" s="229">
        <v>13</v>
      </c>
      <c r="B13" s="572"/>
      <c r="C13" s="196" t="s">
        <v>353</v>
      </c>
      <c r="D13" s="294">
        <f t="shared" ref="D13:M13" si="1">SUM(D11:D12)</f>
        <v>0</v>
      </c>
      <c r="E13" s="294">
        <f t="shared" si="1"/>
        <v>0</v>
      </c>
      <c r="F13" s="294">
        <f t="shared" si="1"/>
        <v>0</v>
      </c>
      <c r="G13" s="294">
        <f t="shared" si="1"/>
        <v>0</v>
      </c>
      <c r="H13" s="294">
        <f t="shared" si="1"/>
        <v>0</v>
      </c>
      <c r="I13" s="294">
        <f t="shared" si="1"/>
        <v>0</v>
      </c>
      <c r="J13" s="294">
        <f t="shared" si="1"/>
        <v>0</v>
      </c>
      <c r="K13" s="294">
        <f t="shared" si="1"/>
        <v>0</v>
      </c>
      <c r="L13" s="294">
        <f t="shared" si="1"/>
        <v>0</v>
      </c>
      <c r="M13" s="294">
        <f t="shared" si="1"/>
        <v>0</v>
      </c>
      <c r="N13" s="294">
        <f>-'[3]WACAP 2018'!Q14</f>
        <v>-8606.2899999999991</v>
      </c>
      <c r="O13" s="294">
        <f>SUM(O11:O12)</f>
        <v>0</v>
      </c>
      <c r="P13" s="573">
        <f>SUM(P11:P12)</f>
        <v>0</v>
      </c>
      <c r="R13" s="578">
        <f>SUM(D13:Q13)-N13</f>
        <v>0</v>
      </c>
    </row>
    <row r="14" spans="1:52" x14ac:dyDescent="0.25">
      <c r="A14" s="229">
        <v>14</v>
      </c>
      <c r="B14" s="572"/>
      <c r="C14" s="196" t="s">
        <v>352</v>
      </c>
      <c r="D14" s="294">
        <f>ROUND(ROUND('[3]WACAP 2018'!O15*D$6,2)/365*D$7,2)</f>
        <v>37.86</v>
      </c>
      <c r="E14" s="294">
        <f t="shared" ref="E14:G14" si="2">ROUND(ROUND(D16*E$6,2)/365*E$7,2)</f>
        <v>34.35</v>
      </c>
      <c r="F14" s="294">
        <f t="shared" si="2"/>
        <v>38.18</v>
      </c>
      <c r="G14" s="294">
        <f t="shared" si="2"/>
        <v>39.049999999999997</v>
      </c>
      <c r="H14" s="294">
        <v>40.53</v>
      </c>
      <c r="I14" s="294">
        <v>39.4</v>
      </c>
      <c r="J14" s="294">
        <v>41.27</v>
      </c>
      <c r="K14" s="294">
        <v>41.47</v>
      </c>
      <c r="L14" s="294">
        <v>40.32</v>
      </c>
      <c r="M14" s="294">
        <v>41.24</v>
      </c>
      <c r="N14" s="294">
        <f>'[3]Ammort Split 2019'!N13</f>
        <v>-393.67</v>
      </c>
      <c r="O14" s="294">
        <f>ROUND(ROUND(N16*O$6,2)/365*O$7,2)</f>
        <v>0</v>
      </c>
      <c r="P14" s="573">
        <f>ROUND(ROUND(O16*P$6,2)/365*P$7,2)</f>
        <v>0</v>
      </c>
      <c r="R14" s="579">
        <f>SUM(D14:Q14)</f>
        <v>0</v>
      </c>
    </row>
    <row r="15" spans="1:52" x14ac:dyDescent="0.25">
      <c r="A15" s="229">
        <v>15</v>
      </c>
      <c r="B15" s="572"/>
      <c r="C15" s="196" t="s">
        <v>351</v>
      </c>
      <c r="D15" s="574">
        <f t="shared" ref="D15:P15" si="3">SUM(D13:D14)</f>
        <v>37.86</v>
      </c>
      <c r="E15" s="574">
        <f t="shared" si="3"/>
        <v>34.35</v>
      </c>
      <c r="F15" s="574">
        <f t="shared" si="3"/>
        <v>38.18</v>
      </c>
      <c r="G15" s="629">
        <v>39.049999999999997</v>
      </c>
      <c r="H15" s="574">
        <f t="shared" si="3"/>
        <v>40.53</v>
      </c>
      <c r="I15" s="574">
        <f t="shared" si="3"/>
        <v>39.4</v>
      </c>
      <c r="J15" s="574">
        <f t="shared" si="3"/>
        <v>41.27</v>
      </c>
      <c r="K15" s="574">
        <f t="shared" si="3"/>
        <v>41.47</v>
      </c>
      <c r="L15" s="574">
        <f t="shared" si="3"/>
        <v>40.32</v>
      </c>
      <c r="M15" s="574">
        <f t="shared" si="3"/>
        <v>41.24</v>
      </c>
      <c r="N15" s="574">
        <f t="shared" si="3"/>
        <v>-8999.9599999999991</v>
      </c>
      <c r="O15" s="574">
        <f t="shared" si="3"/>
        <v>0</v>
      </c>
      <c r="P15" s="575">
        <f t="shared" si="3"/>
        <v>0</v>
      </c>
      <c r="R15" s="580">
        <f>SUM(R13:R14)</f>
        <v>0</v>
      </c>
    </row>
    <row r="16" spans="1:52" x14ac:dyDescent="0.25">
      <c r="A16" s="229">
        <v>16</v>
      </c>
      <c r="B16" s="572"/>
      <c r="C16" s="196" t="s">
        <v>349</v>
      </c>
      <c r="D16" s="294">
        <f>'[3]WACAP 2018'!O15+'WACAP 2019'!D15</f>
        <v>8644.1500000000051</v>
      </c>
      <c r="E16" s="294">
        <f t="shared" ref="E16:P16" si="4">D16+E15</f>
        <v>8678.5000000000055</v>
      </c>
      <c r="F16" s="294">
        <f t="shared" ref="F16" si="5">E16+F15</f>
        <v>8716.6800000000057</v>
      </c>
      <c r="G16" s="294">
        <f t="shared" ref="G16" si="6">F16+G15</f>
        <v>8755.730000000005</v>
      </c>
      <c r="H16" s="294">
        <f t="shared" ref="H16" si="7">G16+H15</f>
        <v>8796.2600000000057</v>
      </c>
      <c r="I16" s="294">
        <f t="shared" ref="I16" si="8">H16+I15</f>
        <v>8835.6600000000053</v>
      </c>
      <c r="J16" s="294">
        <f t="shared" ref="J16" si="9">I16+J15</f>
        <v>8876.9300000000057</v>
      </c>
      <c r="K16" s="294">
        <f t="shared" ref="K16" si="10">J16+K15</f>
        <v>8918.4000000000051</v>
      </c>
      <c r="L16" s="294">
        <f t="shared" ref="L16" si="11">K16+L15</f>
        <v>8958.7200000000048</v>
      </c>
      <c r="M16" s="294">
        <f t="shared" ref="M16" si="12">L16+M15</f>
        <v>8999.9600000000046</v>
      </c>
      <c r="N16" s="294">
        <f t="shared" si="4"/>
        <v>0</v>
      </c>
      <c r="O16" s="294">
        <f t="shared" si="4"/>
        <v>0</v>
      </c>
      <c r="P16" s="581">
        <f t="shared" si="4"/>
        <v>0</v>
      </c>
      <c r="R16" s="563"/>
    </row>
    <row r="17" spans="1:52" x14ac:dyDescent="0.25">
      <c r="A17" s="229">
        <v>17</v>
      </c>
      <c r="B17" s="572"/>
      <c r="D17" s="291"/>
      <c r="E17" s="291"/>
      <c r="F17" s="294"/>
      <c r="G17" s="630"/>
      <c r="H17" s="582"/>
      <c r="I17" s="582"/>
      <c r="J17" s="582"/>
      <c r="K17" s="582"/>
      <c r="L17" s="582"/>
      <c r="M17" s="582"/>
      <c r="N17" s="582"/>
      <c r="O17" s="582"/>
      <c r="P17" s="583"/>
      <c r="Q17" s="584"/>
      <c r="R17" s="585"/>
      <c r="U17" s="229">
        <v>503</v>
      </c>
      <c r="AK17" s="310"/>
      <c r="AU17" s="310"/>
    </row>
    <row r="18" spans="1:52" ht="15.75" x14ac:dyDescent="0.25">
      <c r="A18" s="229">
        <v>18</v>
      </c>
      <c r="B18" s="586" t="s">
        <v>392</v>
      </c>
      <c r="C18" s="264">
        <v>503</v>
      </c>
      <c r="D18" s="291"/>
      <c r="E18" s="291"/>
      <c r="F18" s="294"/>
      <c r="G18" s="630"/>
      <c r="H18" s="291"/>
      <c r="I18" s="291"/>
      <c r="J18" s="291"/>
      <c r="K18" s="291"/>
      <c r="L18" s="291"/>
      <c r="M18" s="291"/>
      <c r="N18" s="291"/>
      <c r="O18" s="291"/>
      <c r="P18" s="587"/>
      <c r="Q18" s="584"/>
      <c r="R18" s="585"/>
      <c r="V18" s="588">
        <v>17650518</v>
      </c>
      <c r="W18" s="229" t="s">
        <v>31</v>
      </c>
      <c r="X18" s="291">
        <f>V18</f>
        <v>17650518</v>
      </c>
      <c r="AJ18" s="291"/>
      <c r="AL18" s="291"/>
      <c r="AT18" s="291"/>
      <c r="AV18" s="291"/>
    </row>
    <row r="19" spans="1:52" ht="15.75" x14ac:dyDescent="0.25">
      <c r="A19" s="229">
        <v>19</v>
      </c>
      <c r="B19" s="572" t="s">
        <v>365</v>
      </c>
      <c r="C19" s="229" t="s">
        <v>548</v>
      </c>
      <c r="D19" s="291">
        <v>190816</v>
      </c>
      <c r="E19" s="291">
        <v>191181</v>
      </c>
      <c r="F19" s="291">
        <v>191240</v>
      </c>
      <c r="G19" s="630">
        <v>191097</v>
      </c>
      <c r="H19" s="291">
        <v>190896</v>
      </c>
      <c r="I19" s="291">
        <v>190735</v>
      </c>
      <c r="J19" s="291">
        <v>190627</v>
      </c>
      <c r="K19" s="291">
        <v>190658</v>
      </c>
      <c r="L19" s="291">
        <v>191291</v>
      </c>
      <c r="M19" s="291">
        <v>192838</v>
      </c>
      <c r="N19" s="291"/>
      <c r="O19" s="291">
        <v>193448</v>
      </c>
      <c r="P19" s="587">
        <v>193905</v>
      </c>
      <c r="Q19" s="294"/>
      <c r="R19" s="589"/>
      <c r="T19" s="196" t="s">
        <v>28</v>
      </c>
      <c r="U19" s="590">
        <v>4801832.72</v>
      </c>
      <c r="V19" s="576">
        <f>U19/V18</f>
        <v>0.2720505267890721</v>
      </c>
      <c r="X19" s="576">
        <f>U19/X18</f>
        <v>0.2720505267890721</v>
      </c>
      <c r="Z19" s="229">
        <v>0.27205000000000001</v>
      </c>
      <c r="AB19" s="576">
        <f>Z19-X19</f>
        <v>-5.2678907208614234E-7</v>
      </c>
      <c r="AF19" s="576"/>
      <c r="AH19" s="196"/>
      <c r="AI19" s="294"/>
      <c r="AJ19" s="576"/>
      <c r="AL19" s="576"/>
      <c r="AP19" s="576"/>
      <c r="AR19" s="196"/>
      <c r="AS19" s="294"/>
      <c r="AT19" s="576"/>
      <c r="AV19" s="576"/>
      <c r="AZ19" s="576"/>
    </row>
    <row r="20" spans="1:52" ht="15.75" x14ac:dyDescent="0.25">
      <c r="A20" s="229">
        <v>20</v>
      </c>
      <c r="B20" s="572" t="s">
        <v>362</v>
      </c>
      <c r="C20" s="229" t="s">
        <v>381</v>
      </c>
      <c r="D20" s="294">
        <v>5284738.49</v>
      </c>
      <c r="E20" s="294">
        <v>5665855.4100000001</v>
      </c>
      <c r="F20" s="294">
        <v>6095743.0599999996</v>
      </c>
      <c r="G20" s="630">
        <v>3335957.1</v>
      </c>
      <c r="H20" s="294">
        <v>2015767.5</v>
      </c>
      <c r="I20" s="294">
        <v>1100880.3799999999</v>
      </c>
      <c r="J20" s="294">
        <v>875303.46</v>
      </c>
      <c r="K20" s="294">
        <v>754930.51</v>
      </c>
      <c r="L20" s="294">
        <v>732277.02</v>
      </c>
      <c r="M20" s="294">
        <v>1732073.44</v>
      </c>
      <c r="N20" s="294"/>
      <c r="O20" s="294">
        <v>3163652.94</v>
      </c>
      <c r="P20" s="573">
        <v>4801832.72</v>
      </c>
      <c r="Q20" s="294"/>
      <c r="R20" s="589"/>
      <c r="T20" s="196" t="s">
        <v>11</v>
      </c>
      <c r="U20" s="590">
        <v>7735997.6799999997</v>
      </c>
      <c r="V20" s="576">
        <f>U20/V18</f>
        <v>0.4382872887923176</v>
      </c>
      <c r="X20" s="576">
        <f>U20/X18</f>
        <v>0.4382872887923176</v>
      </c>
      <c r="Z20" s="229">
        <v>0.43833</v>
      </c>
      <c r="AB20" s="576">
        <f>Z20-X20</f>
        <v>4.2711207682399888E-5</v>
      </c>
      <c r="AF20" s="576"/>
      <c r="AH20" s="196"/>
      <c r="AI20" s="294"/>
      <c r="AJ20" s="576"/>
      <c r="AL20" s="576"/>
      <c r="AP20" s="576"/>
      <c r="AR20" s="196"/>
      <c r="AS20" s="294"/>
      <c r="AT20" s="576"/>
      <c r="AV20" s="576"/>
      <c r="AZ20" s="576"/>
    </row>
    <row r="21" spans="1:52" x14ac:dyDescent="0.25">
      <c r="A21" s="229">
        <v>21</v>
      </c>
      <c r="B21" s="572" t="s">
        <v>357</v>
      </c>
      <c r="C21" s="229" t="s">
        <v>384</v>
      </c>
      <c r="D21" s="294">
        <f>ROUND(13677389*0.27205,2)</f>
        <v>3720933.68</v>
      </c>
      <c r="E21" s="294">
        <f>ROUND(17127329*0.27205,2)</f>
        <v>4659489.8499999996</v>
      </c>
      <c r="F21" s="294">
        <f>ROUND(11032733*0.27205,2)</f>
        <v>3001455.01</v>
      </c>
      <c r="G21" s="630">
        <v>1556809.66</v>
      </c>
      <c r="H21" s="294">
        <f>ROUND(3331371*0.27205,2)</f>
        <v>906299.48</v>
      </c>
      <c r="I21" s="294">
        <f>ROUND(2187188*0.27205,2)</f>
        <v>595024.5</v>
      </c>
      <c r="J21" s="294">
        <f>ROUND(2058587*0.27205,2)</f>
        <v>560038.59</v>
      </c>
      <c r="K21" s="294">
        <f>ROUND(1100941*0.27205,2)</f>
        <v>299511</v>
      </c>
      <c r="L21" s="294">
        <f>ROUND(2696601*0.27205,2)</f>
        <v>733610.3</v>
      </c>
      <c r="M21" s="294">
        <f>ROUND(7415550*0.27205,2)</f>
        <v>2017400.38</v>
      </c>
      <c r="N21" s="294"/>
      <c r="O21" s="294">
        <f>ROUND(11690320*0.27205,2)</f>
        <v>3180351.56</v>
      </c>
      <c r="P21" s="573">
        <f>ROUND(13833214*0.27205,2)</f>
        <v>3763325.87</v>
      </c>
      <c r="Q21" s="294"/>
      <c r="R21" s="589"/>
      <c r="T21" s="196"/>
      <c r="U21" s="294"/>
      <c r="V21" s="576"/>
      <c r="X21" s="576"/>
      <c r="AB21" s="576"/>
      <c r="AD21" s="591">
        <f>P21</f>
        <v>3763325.87</v>
      </c>
    </row>
    <row r="22" spans="1:52" x14ac:dyDescent="0.25">
      <c r="A22" s="229">
        <v>22</v>
      </c>
      <c r="B22" s="572" t="s">
        <v>357</v>
      </c>
      <c r="C22" s="229" t="s">
        <v>383</v>
      </c>
      <c r="D22" s="574">
        <f>-'[3]WACAP 2018'!O20</f>
        <v>-3720439.63</v>
      </c>
      <c r="E22" s="574">
        <f t="shared" ref="E22:M22" si="13">-D21</f>
        <v>-3720933.68</v>
      </c>
      <c r="F22" s="574">
        <f t="shared" si="13"/>
        <v>-4659489.8499999996</v>
      </c>
      <c r="G22" s="574">
        <f t="shared" si="13"/>
        <v>-3001455.01</v>
      </c>
      <c r="H22" s="574">
        <f t="shared" si="13"/>
        <v>-1556809.66</v>
      </c>
      <c r="I22" s="574">
        <f t="shared" si="13"/>
        <v>-906299.48</v>
      </c>
      <c r="J22" s="574">
        <f t="shared" si="13"/>
        <v>-595024.5</v>
      </c>
      <c r="K22" s="574">
        <f t="shared" si="13"/>
        <v>-560038.59</v>
      </c>
      <c r="L22" s="574">
        <f t="shared" si="13"/>
        <v>-299511</v>
      </c>
      <c r="M22" s="574">
        <f t="shared" si="13"/>
        <v>-733610.3</v>
      </c>
      <c r="N22" s="574"/>
      <c r="O22" s="574">
        <f>-M21</f>
        <v>-2017400.38</v>
      </c>
      <c r="P22" s="575">
        <f>-O21</f>
        <v>-3180351.56</v>
      </c>
      <c r="Q22" s="294"/>
      <c r="R22" s="589"/>
      <c r="V22" s="291"/>
      <c r="X22" s="291"/>
      <c r="AD22" s="591">
        <f>+D22</f>
        <v>-3720439.63</v>
      </c>
      <c r="AE22" s="591">
        <f>SUM(AD21:AD22)</f>
        <v>42886.240000000224</v>
      </c>
    </row>
    <row r="23" spans="1:52" x14ac:dyDescent="0.25">
      <c r="A23" s="229">
        <v>23</v>
      </c>
      <c r="B23" s="572"/>
      <c r="C23" s="196" t="s">
        <v>355</v>
      </c>
      <c r="D23" s="294">
        <f t="shared" ref="D23:M23" si="14">SUM(D20:D22)</f>
        <v>5285232.54</v>
      </c>
      <c r="E23" s="294">
        <f t="shared" si="14"/>
        <v>6604411.5800000001</v>
      </c>
      <c r="F23" s="294">
        <f t="shared" si="14"/>
        <v>4437708.2200000007</v>
      </c>
      <c r="G23" s="294">
        <f t="shared" si="14"/>
        <v>1891311.75</v>
      </c>
      <c r="H23" s="294">
        <f t="shared" si="14"/>
        <v>1365257.32</v>
      </c>
      <c r="I23" s="294">
        <f t="shared" si="14"/>
        <v>789605.39999999991</v>
      </c>
      <c r="J23" s="294">
        <f t="shared" si="14"/>
        <v>840317.54999999981</v>
      </c>
      <c r="K23" s="294">
        <f t="shared" si="14"/>
        <v>494402.92000000004</v>
      </c>
      <c r="L23" s="294">
        <f t="shared" si="14"/>
        <v>1166376.32</v>
      </c>
      <c r="M23" s="294">
        <f t="shared" si="14"/>
        <v>3015863.5199999996</v>
      </c>
      <c r="N23" s="294"/>
      <c r="O23" s="294">
        <f>SUM(O20:O22)</f>
        <v>4326604.12</v>
      </c>
      <c r="P23" s="573">
        <f>SUM(P20:P22)</f>
        <v>5384807.0299999993</v>
      </c>
      <c r="R23" s="563"/>
      <c r="T23" s="196"/>
      <c r="U23" s="294"/>
      <c r="V23" s="576"/>
      <c r="X23" s="576"/>
      <c r="AB23" s="576"/>
    </row>
    <row r="24" spans="1:52" x14ac:dyDescent="0.25">
      <c r="A24" s="229">
        <v>24</v>
      </c>
      <c r="B24" s="572"/>
      <c r="C24" s="196" t="s">
        <v>354</v>
      </c>
      <c r="D24" s="574">
        <f>ROUND(-'[3]Authorized Margins 2018'!J10*'WACAP 2019'!D19,2)</f>
        <v>-5791265.5999999996</v>
      </c>
      <c r="E24" s="574">
        <f>ROUND(-'[3]Authorized Margins 2018'!K10*'WACAP 2019'!E19,2)</f>
        <v>-4263336.3</v>
      </c>
      <c r="F24" s="574">
        <f>ROUND(-'[3]Authorized Margins 2018'!L10*'WACAP 2019'!F19,2)</f>
        <v>-3903208.4</v>
      </c>
      <c r="G24" s="574">
        <f>ROUND(-'[3]Authorized Margins 2018'!M10*'WACAP 2019'!G19,2)</f>
        <v>-2392534.44</v>
      </c>
      <c r="H24" s="574">
        <f>ROUND(-'[3]Authorized Margins 2018'!N10*'WACAP 2019'!H19,2)</f>
        <v>-1361088.48</v>
      </c>
      <c r="I24" s="574">
        <f>ROUND(-'[3]Authorized Margins 2018'!O10*'WACAP 2019'!I19,2)</f>
        <v>-894547.15</v>
      </c>
      <c r="J24" s="574">
        <f>ROUND(-'[3]Authorized Margins 2018'!D10*'WACAP 2019'!J19,2)</f>
        <v>-800633.4</v>
      </c>
      <c r="K24" s="574">
        <f>ROUND(-'[3]Authorized Margins 2018'!E10*'WACAP 2019'!K19,2)</f>
        <v>-667303</v>
      </c>
      <c r="L24" s="574">
        <f>ROUND(-'[3]Authorized Margins 2018'!F10*'WACAP 2019'!L19,2)</f>
        <v>-988974.47</v>
      </c>
      <c r="M24" s="574">
        <f>ROUND(-'[3]Authorized Margins 2018'!G10*'WACAP 2019'!M19,2)</f>
        <v>-2493395.34</v>
      </c>
      <c r="N24" s="574"/>
      <c r="O24" s="574">
        <f>ROUND(-'[3]Authorized Margins 2018'!H10*'WACAP 2019'!O19,2)</f>
        <v>-4650489.92</v>
      </c>
      <c r="P24" s="575">
        <f>ROUND(-'[3]Authorized Margins 2018'!I10*'WACAP 2019'!P19,2)</f>
        <v>-6197203.7999999998</v>
      </c>
      <c r="R24" s="563"/>
      <c r="AT24" s="291"/>
      <c r="AV24" s="291"/>
    </row>
    <row r="25" spans="1:52" x14ac:dyDescent="0.25">
      <c r="A25" s="229">
        <v>25</v>
      </c>
      <c r="B25" s="572"/>
      <c r="C25" s="196" t="s">
        <v>353</v>
      </c>
      <c r="D25" s="294">
        <f t="shared" ref="D25:M25" si="15">SUM(D23:D24)</f>
        <v>-506033.05999999959</v>
      </c>
      <c r="E25" s="294">
        <f t="shared" si="15"/>
        <v>2341075.2800000003</v>
      </c>
      <c r="F25" s="294">
        <f t="shared" si="15"/>
        <v>534499.82000000076</v>
      </c>
      <c r="G25" s="294">
        <f t="shared" si="15"/>
        <v>-501222.68999999994</v>
      </c>
      <c r="H25" s="294">
        <f t="shared" si="15"/>
        <v>4168.8400000000838</v>
      </c>
      <c r="I25" s="294">
        <f t="shared" si="15"/>
        <v>-104941.75000000012</v>
      </c>
      <c r="J25" s="294">
        <f t="shared" si="15"/>
        <v>39684.14999999979</v>
      </c>
      <c r="K25" s="294">
        <f t="shared" si="15"/>
        <v>-172900.07999999996</v>
      </c>
      <c r="L25" s="294">
        <f t="shared" si="15"/>
        <v>177401.85000000009</v>
      </c>
      <c r="M25" s="294">
        <f t="shared" si="15"/>
        <v>522468.1799999997</v>
      </c>
      <c r="N25" s="294">
        <f>-'[3]WACAP 2018'!Q26</f>
        <v>1444647.4400000013</v>
      </c>
      <c r="O25" s="294">
        <f>SUM(O23:O24)</f>
        <v>-323885.79999999981</v>
      </c>
      <c r="P25" s="573">
        <f>SUM(P23:P24)</f>
        <v>-812396.77000000048</v>
      </c>
      <c r="R25" s="578">
        <f>SUM(D25:Q25)-N25</f>
        <v>1197917.9700000007</v>
      </c>
      <c r="AR25" s="196"/>
      <c r="AS25" s="294"/>
      <c r="AT25" s="576"/>
      <c r="AV25" s="576"/>
      <c r="AZ25" s="576"/>
    </row>
    <row r="26" spans="1:52" x14ac:dyDescent="0.25">
      <c r="A26" s="229">
        <v>26</v>
      </c>
      <c r="B26" s="572"/>
      <c r="C26" s="196" t="s">
        <v>352</v>
      </c>
      <c r="D26" s="294">
        <f>ROUND(ROUND('[3]WACAP 2018'!O27*D$6,2)/365*D$7,2)</f>
        <v>-6355.66</v>
      </c>
      <c r="E26" s="294">
        <f t="shared" ref="E26:M26" si="16">ROUND(ROUND(D28*E$6,2)/365*E$7,2)</f>
        <v>-7776.67</v>
      </c>
      <c r="F26" s="294">
        <f t="shared" si="16"/>
        <v>1655.35</v>
      </c>
      <c r="G26" s="294">
        <f t="shared" si="16"/>
        <v>4087.13</v>
      </c>
      <c r="H26" s="294">
        <f t="shared" si="16"/>
        <v>1922.24</v>
      </c>
      <c r="I26" s="294">
        <f t="shared" si="16"/>
        <v>1887.52</v>
      </c>
      <c r="J26" s="294">
        <f t="shared" si="16"/>
        <v>1486.94</v>
      </c>
      <c r="K26" s="294">
        <f t="shared" si="16"/>
        <v>1679.26</v>
      </c>
      <c r="L26" s="294">
        <f t="shared" si="16"/>
        <v>851.08</v>
      </c>
      <c r="M26" s="294">
        <f t="shared" si="16"/>
        <v>1687.21</v>
      </c>
      <c r="N26" s="294">
        <f>'[3]Ammort Split 2019'!N25</f>
        <v>66080.39</v>
      </c>
      <c r="O26" s="294">
        <f>ROUND(ROUND(N28*O$6,2)/365*O$7,2)</f>
        <v>10697.77</v>
      </c>
      <c r="P26" s="573">
        <f>ROUND(ROUND(O28*P$6,2)/365*P$7,2)</f>
        <v>9612.67</v>
      </c>
      <c r="R26" s="579">
        <f>SUM(D26:Q26)</f>
        <v>87515.23000000001</v>
      </c>
    </row>
    <row r="27" spans="1:52" x14ac:dyDescent="0.25">
      <c r="A27" s="229">
        <v>27</v>
      </c>
      <c r="B27" s="572"/>
      <c r="C27" s="196" t="s">
        <v>351</v>
      </c>
      <c r="D27" s="574">
        <f t="shared" ref="D27:P27" si="17">SUM(D25:D26)</f>
        <v>-512388.71999999956</v>
      </c>
      <c r="E27" s="574">
        <f t="shared" si="17"/>
        <v>2333298.6100000003</v>
      </c>
      <c r="F27" s="574">
        <f t="shared" si="17"/>
        <v>536155.17000000074</v>
      </c>
      <c r="G27" s="574">
        <f t="shared" si="17"/>
        <v>-497135.55999999994</v>
      </c>
      <c r="H27" s="574">
        <f t="shared" si="17"/>
        <v>6091.0800000000836</v>
      </c>
      <c r="I27" s="574">
        <f t="shared" si="17"/>
        <v>-103054.23000000011</v>
      </c>
      <c r="J27" s="574">
        <f t="shared" si="17"/>
        <v>41171.089999999793</v>
      </c>
      <c r="K27" s="574">
        <f t="shared" si="17"/>
        <v>-171220.81999999995</v>
      </c>
      <c r="L27" s="574">
        <f t="shared" si="17"/>
        <v>178252.93000000008</v>
      </c>
      <c r="M27" s="574">
        <f t="shared" si="17"/>
        <v>524155.38999999972</v>
      </c>
      <c r="N27" s="574">
        <f t="shared" si="17"/>
        <v>1510727.8300000012</v>
      </c>
      <c r="O27" s="574">
        <f t="shared" si="17"/>
        <v>-313188.0299999998</v>
      </c>
      <c r="P27" s="575">
        <f t="shared" si="17"/>
        <v>-802784.10000000044</v>
      </c>
      <c r="R27" s="580">
        <f>SUM(R25:R26)</f>
        <v>1285433.2000000007</v>
      </c>
    </row>
    <row r="28" spans="1:52" x14ac:dyDescent="0.25">
      <c r="A28" s="229">
        <v>28</v>
      </c>
      <c r="B28" s="572"/>
      <c r="C28" s="196" t="s">
        <v>349</v>
      </c>
      <c r="D28" s="294">
        <f>'[3]WACAP 2018'!O27+'WACAP 2019'!D27</f>
        <v>-1957036.1600000006</v>
      </c>
      <c r="E28" s="294">
        <f t="shared" ref="E28:P28" si="18">D28+E27</f>
        <v>376262.44999999972</v>
      </c>
      <c r="F28" s="294">
        <f t="shared" si="18"/>
        <v>912417.62000000046</v>
      </c>
      <c r="G28" s="294">
        <f t="shared" si="18"/>
        <v>415282.06000000052</v>
      </c>
      <c r="H28" s="294">
        <f t="shared" si="18"/>
        <v>421373.1400000006</v>
      </c>
      <c r="I28" s="294">
        <f t="shared" si="18"/>
        <v>318318.9100000005</v>
      </c>
      <c r="J28" s="294">
        <f t="shared" si="18"/>
        <v>359490.00000000029</v>
      </c>
      <c r="K28" s="294">
        <f t="shared" si="18"/>
        <v>188269.18000000034</v>
      </c>
      <c r="L28" s="294">
        <f t="shared" si="18"/>
        <v>366522.11000000045</v>
      </c>
      <c r="M28" s="294">
        <f t="shared" si="18"/>
        <v>890677.50000000023</v>
      </c>
      <c r="N28" s="294">
        <f t="shared" si="18"/>
        <v>2401405.3300000015</v>
      </c>
      <c r="O28" s="294">
        <f t="shared" si="18"/>
        <v>2088217.3000000017</v>
      </c>
      <c r="P28" s="581">
        <f t="shared" si="18"/>
        <v>1285433.2000000011</v>
      </c>
      <c r="R28" s="563"/>
      <c r="V28" s="591">
        <f>ROUND(U33/Z33,0)</f>
        <v>190723</v>
      </c>
    </row>
    <row r="29" spans="1:52" x14ac:dyDescent="0.25">
      <c r="A29" s="229">
        <v>29</v>
      </c>
      <c r="B29" s="572"/>
      <c r="C29" s="196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573"/>
      <c r="R29" s="563"/>
      <c r="T29" s="196"/>
      <c r="U29" s="294"/>
      <c r="V29" s="591">
        <f>ROUND(U34/Z34,0)</f>
        <v>663264</v>
      </c>
      <c r="AR29" s="196"/>
      <c r="AS29" s="294"/>
      <c r="AT29" s="576"/>
      <c r="AV29" s="576"/>
      <c r="AZ29" s="576"/>
    </row>
    <row r="30" spans="1:52" x14ac:dyDescent="0.25">
      <c r="A30" s="229">
        <v>30</v>
      </c>
      <c r="B30" s="586" t="s">
        <v>391</v>
      </c>
      <c r="C30" s="264">
        <v>505</v>
      </c>
      <c r="D30" s="291"/>
      <c r="E30" s="291"/>
      <c r="F30" s="294"/>
      <c r="G30" s="291"/>
      <c r="H30" s="291"/>
      <c r="I30" s="291"/>
      <c r="J30" s="291"/>
      <c r="K30" s="291"/>
      <c r="L30" s="291"/>
      <c r="M30" s="291"/>
      <c r="N30" s="291"/>
      <c r="O30" s="291"/>
      <c r="P30" s="587"/>
      <c r="R30" s="563"/>
      <c r="U30" s="229">
        <v>505</v>
      </c>
      <c r="V30" s="591">
        <f>ROUND(U35/Z35,0)</f>
        <v>568662</v>
      </c>
      <c r="W30" s="591">
        <f>SUM(V28:V30)</f>
        <v>1422649</v>
      </c>
    </row>
    <row r="31" spans="1:52" ht="15.75" x14ac:dyDescent="0.25">
      <c r="A31" s="229">
        <v>31</v>
      </c>
      <c r="B31" s="572" t="s">
        <v>365</v>
      </c>
      <c r="C31" s="229" t="s">
        <v>548</v>
      </c>
      <c r="D31" s="291">
        <v>475</v>
      </c>
      <c r="E31" s="291">
        <v>479</v>
      </c>
      <c r="F31" s="291">
        <v>478</v>
      </c>
      <c r="G31" s="291">
        <v>479</v>
      </c>
      <c r="H31" s="291">
        <v>477</v>
      </c>
      <c r="I31" s="291">
        <v>478</v>
      </c>
      <c r="J31" s="291">
        <v>478</v>
      </c>
      <c r="K31" s="291">
        <v>478</v>
      </c>
      <c r="L31" s="291">
        <v>480</v>
      </c>
      <c r="M31" s="291">
        <v>481</v>
      </c>
      <c r="N31" s="291"/>
      <c r="O31" s="291">
        <v>481</v>
      </c>
      <c r="P31" s="587">
        <v>479</v>
      </c>
      <c r="Q31" s="591"/>
      <c r="R31" s="578"/>
      <c r="V31" s="588">
        <v>1422636</v>
      </c>
      <c r="W31" s="229" t="s">
        <v>31</v>
      </c>
      <c r="X31" s="291"/>
    </row>
    <row r="32" spans="1:52" x14ac:dyDescent="0.25">
      <c r="A32" s="229">
        <v>32</v>
      </c>
      <c r="B32" s="572" t="s">
        <v>362</v>
      </c>
      <c r="C32" s="229" t="s">
        <v>388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573"/>
      <c r="Q32" s="591"/>
      <c r="R32" s="578"/>
      <c r="T32" s="196"/>
      <c r="U32" s="294"/>
      <c r="V32" s="576"/>
      <c r="X32" s="576"/>
      <c r="AB32" s="576">
        <f>Z32-X32</f>
        <v>0</v>
      </c>
    </row>
    <row r="33" spans="1:28" ht="15.75" x14ac:dyDescent="0.25">
      <c r="A33" s="229">
        <v>33</v>
      </c>
      <c r="B33" s="572" t="s">
        <v>362</v>
      </c>
      <c r="C33" s="229" t="s">
        <v>379</v>
      </c>
      <c r="D33" s="294">
        <v>34179.919999999998</v>
      </c>
      <c r="E33" s="294">
        <v>34768.1</v>
      </c>
      <c r="F33" s="294">
        <v>36803.620000000003</v>
      </c>
      <c r="G33" s="294">
        <v>32246.880000000001</v>
      </c>
      <c r="H33" s="294">
        <v>24615.73</v>
      </c>
      <c r="I33" s="294">
        <v>18807.37</v>
      </c>
      <c r="J33" s="294">
        <v>15807.1</v>
      </c>
      <c r="K33" s="294">
        <v>15067.69</v>
      </c>
      <c r="L33" s="294">
        <v>16169.87</v>
      </c>
      <c r="M33" s="294">
        <v>23148.720000000001</v>
      </c>
      <c r="N33" s="294"/>
      <c r="O33" s="294">
        <v>30802.25</v>
      </c>
      <c r="P33" s="573">
        <v>34046.019999999997</v>
      </c>
      <c r="Q33" s="591"/>
      <c r="R33" s="578"/>
      <c r="T33" s="196" t="s">
        <v>28</v>
      </c>
      <c r="U33" s="590">
        <v>34046.019999999997</v>
      </c>
      <c r="V33" s="576">
        <f>U33/V28</f>
        <v>0.17851030027841422</v>
      </c>
      <c r="X33" s="576">
        <f>U33/V28</f>
        <v>0.17851030027841422</v>
      </c>
      <c r="Z33" s="229">
        <v>0.17851</v>
      </c>
      <c r="AB33" s="576">
        <f>Z33-X33</f>
        <v>-3.002784142169812E-7</v>
      </c>
    </row>
    <row r="34" spans="1:28" ht="15.75" x14ac:dyDescent="0.25">
      <c r="A34" s="229">
        <v>34</v>
      </c>
      <c r="B34" s="572" t="s">
        <v>362</v>
      </c>
      <c r="C34" s="229" t="s">
        <v>378</v>
      </c>
      <c r="D34" s="294">
        <v>99484.49</v>
      </c>
      <c r="E34" s="294">
        <v>102595.79</v>
      </c>
      <c r="F34" s="294">
        <v>111335.74</v>
      </c>
      <c r="G34" s="294">
        <v>83417.279999999999</v>
      </c>
      <c r="H34" s="294">
        <v>58009.41</v>
      </c>
      <c r="I34" s="294">
        <v>43411.4</v>
      </c>
      <c r="J34" s="294">
        <v>39559.06</v>
      </c>
      <c r="K34" s="294">
        <v>39455.199999999997</v>
      </c>
      <c r="L34" s="294">
        <v>42494.6</v>
      </c>
      <c r="M34" s="294">
        <v>57638.77</v>
      </c>
      <c r="N34" s="294"/>
      <c r="O34" s="294">
        <v>77630.990000000005</v>
      </c>
      <c r="P34" s="573">
        <v>95888.08</v>
      </c>
      <c r="Q34" s="591"/>
      <c r="R34" s="578"/>
      <c r="T34" s="196" t="s">
        <v>28</v>
      </c>
      <c r="U34" s="590">
        <v>95888.08</v>
      </c>
      <c r="V34" s="576">
        <f>U34/V29</f>
        <v>0.14457000530708738</v>
      </c>
      <c r="X34" s="576">
        <f>U34/V29</f>
        <v>0.14457000530708738</v>
      </c>
      <c r="Z34" s="229">
        <v>0.14457</v>
      </c>
      <c r="AB34" s="576">
        <f>Z34-X34</f>
        <v>-5.3070873806682073E-9</v>
      </c>
    </row>
    <row r="35" spans="1:28" ht="15.75" x14ac:dyDescent="0.25">
      <c r="A35" s="229">
        <v>35</v>
      </c>
      <c r="B35" s="572" t="s">
        <v>362</v>
      </c>
      <c r="C35" s="229" t="s">
        <v>361</v>
      </c>
      <c r="D35" s="574">
        <v>77265.63</v>
      </c>
      <c r="E35" s="574">
        <v>99244.05</v>
      </c>
      <c r="F35" s="574">
        <v>114125.53</v>
      </c>
      <c r="G35" s="574">
        <v>79991.960000000006</v>
      </c>
      <c r="H35" s="574">
        <v>34962.5</v>
      </c>
      <c r="I35" s="574">
        <v>24179.84</v>
      </c>
      <c r="J35" s="574">
        <v>24400.73</v>
      </c>
      <c r="K35" s="574">
        <v>28876.22</v>
      </c>
      <c r="L35" s="574">
        <v>37296.03</v>
      </c>
      <c r="M35" s="574">
        <v>104021.38</v>
      </c>
      <c r="N35" s="574"/>
      <c r="O35" s="574">
        <v>62623.06</v>
      </c>
      <c r="P35" s="575">
        <v>79294.2</v>
      </c>
      <c r="Q35" s="591"/>
      <c r="R35" s="578"/>
      <c r="T35" s="196" t="s">
        <v>28</v>
      </c>
      <c r="U35" s="590">
        <v>79294.2</v>
      </c>
      <c r="V35" s="576">
        <f>U35/V30</f>
        <v>0.13943994851071462</v>
      </c>
      <c r="X35" s="576">
        <f>U35/V30</f>
        <v>0.13943994851071462</v>
      </c>
      <c r="Z35" s="229">
        <v>0.13944000000000001</v>
      </c>
      <c r="AB35" s="576">
        <f>Z35-X35</f>
        <v>5.1489285390893258E-8</v>
      </c>
    </row>
    <row r="36" spans="1:28" ht="15.75" x14ac:dyDescent="0.25">
      <c r="A36" s="229">
        <v>36</v>
      </c>
      <c r="B36" s="572"/>
      <c r="C36" s="196" t="s">
        <v>355</v>
      </c>
      <c r="D36" s="294">
        <f t="shared" ref="D36:M36" si="19">SUM(D32:D35)</f>
        <v>210930.04</v>
      </c>
      <c r="E36" s="294">
        <f t="shared" si="19"/>
        <v>236607.94</v>
      </c>
      <c r="F36" s="294">
        <f t="shared" si="19"/>
        <v>262264.89</v>
      </c>
      <c r="G36" s="294">
        <f t="shared" si="19"/>
        <v>195656.12</v>
      </c>
      <c r="H36" s="294">
        <f t="shared" si="19"/>
        <v>117587.64</v>
      </c>
      <c r="I36" s="294">
        <f t="shared" si="19"/>
        <v>86398.61</v>
      </c>
      <c r="J36" s="294">
        <f t="shared" si="19"/>
        <v>79766.89</v>
      </c>
      <c r="K36" s="294">
        <f t="shared" si="19"/>
        <v>83399.11</v>
      </c>
      <c r="L36" s="294">
        <f t="shared" si="19"/>
        <v>95960.5</v>
      </c>
      <c r="M36" s="294">
        <f t="shared" si="19"/>
        <v>184808.87</v>
      </c>
      <c r="N36" s="294"/>
      <c r="O36" s="294">
        <f>SUM(O32:O35)</f>
        <v>171056.3</v>
      </c>
      <c r="P36" s="581">
        <f>SUM(P32:P35)</f>
        <v>209228.3</v>
      </c>
      <c r="R36" s="563"/>
      <c r="T36" s="196" t="s">
        <v>11</v>
      </c>
      <c r="U36" s="590">
        <v>600205.28</v>
      </c>
      <c r="V36" s="576">
        <f>U36/V31</f>
        <v>0.42189659196027657</v>
      </c>
      <c r="X36" s="576">
        <f>U36/V31</f>
        <v>0.42189659196027657</v>
      </c>
      <c r="Z36" s="592">
        <v>0.42197000000000001</v>
      </c>
      <c r="AB36" s="576">
        <f>Z36-X36</f>
        <v>7.3408039723443785E-5</v>
      </c>
    </row>
    <row r="37" spans="1:28" x14ac:dyDescent="0.25">
      <c r="A37" s="229">
        <v>37</v>
      </c>
      <c r="B37" s="572"/>
      <c r="C37" s="196" t="s">
        <v>354</v>
      </c>
      <c r="D37" s="574">
        <f>ROUND(-'[3]Authorized Margins 2018'!J14*'WACAP 2019'!D31,2)</f>
        <v>-236659.25</v>
      </c>
      <c r="E37" s="574">
        <f>ROUND(-'[3]Authorized Margins 2018'!K14*'WACAP 2019'!E31,2)</f>
        <v>-202674.48</v>
      </c>
      <c r="F37" s="574">
        <f>ROUND(-'[3]Authorized Margins 2018'!L14*'WACAP 2019'!F31,2)</f>
        <v>-190196.2</v>
      </c>
      <c r="G37" s="574">
        <f>ROUND(-'[3]Authorized Margins 2018'!M14*'WACAP 2019'!G31,2)</f>
        <v>-138483.69</v>
      </c>
      <c r="H37" s="574">
        <f>ROUND(-'[3]Authorized Margins 2018'!N14*'WACAP 2019'!H31,2)</f>
        <v>-100274.94</v>
      </c>
      <c r="I37" s="574">
        <f>ROUND(-'[3]Authorized Margins 2018'!O14*'WACAP 2019'!I31,2)</f>
        <v>-90595.34</v>
      </c>
      <c r="J37" s="574">
        <f>ROUND(-'[3]Authorized Margins 2018'!D14*'WACAP 2019'!J31,2)</f>
        <v>-72895</v>
      </c>
      <c r="K37" s="574">
        <f>ROUND(-'[3]Authorized Margins 2018'!E14*'WACAP 2019'!K31,2)</f>
        <v>-77163.539999999994</v>
      </c>
      <c r="L37" s="574">
        <f>ROUND(-'[3]Authorized Margins 2018'!F14*'WACAP 2019'!L31,2)</f>
        <v>-100656</v>
      </c>
      <c r="M37" s="574">
        <f>ROUND(-'[3]Authorized Margins 2018'!G14*'WACAP 2019'!M31,2)</f>
        <v>-171846.87</v>
      </c>
      <c r="N37" s="574"/>
      <c r="O37" s="574">
        <f>ROUND(-'[3]Authorized Margins 2018'!H14*'WACAP 2019'!O31,2)</f>
        <v>-148162.43</v>
      </c>
      <c r="P37" s="575">
        <f>ROUND(-'[3]Authorized Margins 2018'!I14*'WACAP 2019'!P31,2)</f>
        <v>-206175.97</v>
      </c>
      <c r="R37" s="563"/>
    </row>
    <row r="38" spans="1:28" x14ac:dyDescent="0.25">
      <c r="A38" s="229">
        <v>38</v>
      </c>
      <c r="B38" s="572"/>
      <c r="C38" s="196" t="s">
        <v>353</v>
      </c>
      <c r="D38" s="294">
        <f t="shared" ref="D38:M38" si="20">SUM(D36:D37)</f>
        <v>-25729.209999999992</v>
      </c>
      <c r="E38" s="294">
        <f t="shared" si="20"/>
        <v>33933.459999999992</v>
      </c>
      <c r="F38" s="294">
        <f t="shared" si="20"/>
        <v>72068.69</v>
      </c>
      <c r="G38" s="294">
        <f t="shared" si="20"/>
        <v>57172.429999999993</v>
      </c>
      <c r="H38" s="294">
        <f t="shared" si="20"/>
        <v>17312.699999999997</v>
      </c>
      <c r="I38" s="294">
        <f t="shared" si="20"/>
        <v>-4196.7299999999959</v>
      </c>
      <c r="J38" s="294">
        <f t="shared" si="20"/>
        <v>6871.8899999999994</v>
      </c>
      <c r="K38" s="294">
        <f t="shared" si="20"/>
        <v>6235.570000000007</v>
      </c>
      <c r="L38" s="294">
        <f t="shared" si="20"/>
        <v>-4695.5</v>
      </c>
      <c r="M38" s="294">
        <f t="shared" si="20"/>
        <v>12962</v>
      </c>
      <c r="N38" s="294">
        <f>-'[3]WACAP 2018'!Q39</f>
        <v>-7433.6600000000544</v>
      </c>
      <c r="O38" s="294">
        <f>SUM(O36:O37)</f>
        <v>22893.869999999995</v>
      </c>
      <c r="P38" s="573">
        <f>SUM(P36:P37)</f>
        <v>3052.3299999999872</v>
      </c>
      <c r="R38" s="578">
        <f>SUM(D38:Q38)-N38</f>
        <v>197881.50000000003</v>
      </c>
    </row>
    <row r="39" spans="1:28" x14ac:dyDescent="0.25">
      <c r="A39" s="229">
        <v>39</v>
      </c>
      <c r="B39" s="572"/>
      <c r="C39" s="196" t="s">
        <v>352</v>
      </c>
      <c r="D39" s="294">
        <f>ROUND(ROUND('[3]WACAP 2018'!O40*D$6,2)/365*D$7,2)</f>
        <v>32.700000000000003</v>
      </c>
      <c r="E39" s="294">
        <f t="shared" ref="E39:M39" si="21">ROUND(ROUND(D41*E$6,2)/365*E$7,2)</f>
        <v>-72.569999999999993</v>
      </c>
      <c r="F39" s="294">
        <f t="shared" si="21"/>
        <v>68.62</v>
      </c>
      <c r="G39" s="294">
        <f t="shared" si="21"/>
        <v>393.01</v>
      </c>
      <c r="H39" s="294">
        <f t="shared" si="21"/>
        <v>672.56</v>
      </c>
      <c r="I39" s="294">
        <f t="shared" si="21"/>
        <v>731.43</v>
      </c>
      <c r="J39" s="294">
        <f t="shared" si="21"/>
        <v>746.56</v>
      </c>
      <c r="K39" s="294">
        <f t="shared" si="21"/>
        <v>782.15</v>
      </c>
      <c r="L39" s="294">
        <f t="shared" si="21"/>
        <v>788.64</v>
      </c>
      <c r="M39" s="294">
        <f t="shared" si="21"/>
        <v>785.09</v>
      </c>
      <c r="N39" s="294">
        <f>'[3]Ammort Split 2019'!N38</f>
        <v>-340.03</v>
      </c>
      <c r="O39" s="294">
        <f>ROUND(ROUND(N41*O$6,2)/365*O$7,2)</f>
        <v>786.38</v>
      </c>
      <c r="P39" s="573">
        <f>ROUND(ROUND(O41*P$6,2)/365*P$7,2)</f>
        <v>921.6</v>
      </c>
      <c r="R39" s="579">
        <f>SUM(D39:Q39)</f>
        <v>6296.1400000000012</v>
      </c>
    </row>
    <row r="40" spans="1:28" x14ac:dyDescent="0.25">
      <c r="A40" s="229">
        <v>40</v>
      </c>
      <c r="B40" s="572"/>
      <c r="C40" s="196" t="s">
        <v>351</v>
      </c>
      <c r="D40" s="574">
        <f t="shared" ref="D40:P40" si="22">SUM(D38:D39)</f>
        <v>-25696.509999999991</v>
      </c>
      <c r="E40" s="574">
        <f t="shared" si="22"/>
        <v>33860.889999999992</v>
      </c>
      <c r="F40" s="574">
        <f t="shared" si="22"/>
        <v>72137.31</v>
      </c>
      <c r="G40" s="574">
        <f t="shared" si="22"/>
        <v>57565.439999999995</v>
      </c>
      <c r="H40" s="574">
        <f t="shared" si="22"/>
        <v>17985.259999999998</v>
      </c>
      <c r="I40" s="574">
        <f t="shared" si="22"/>
        <v>-3465.2999999999961</v>
      </c>
      <c r="J40" s="574">
        <f t="shared" si="22"/>
        <v>7618.4499999999989</v>
      </c>
      <c r="K40" s="574">
        <f t="shared" si="22"/>
        <v>7017.7200000000066</v>
      </c>
      <c r="L40" s="574">
        <f t="shared" si="22"/>
        <v>-3906.86</v>
      </c>
      <c r="M40" s="574">
        <f t="shared" si="22"/>
        <v>13747.09</v>
      </c>
      <c r="N40" s="574">
        <f t="shared" si="22"/>
        <v>-7773.6900000000542</v>
      </c>
      <c r="O40" s="574">
        <f t="shared" si="22"/>
        <v>23680.249999999996</v>
      </c>
      <c r="P40" s="575">
        <f t="shared" si="22"/>
        <v>3973.9299999999871</v>
      </c>
      <c r="R40" s="580">
        <f>SUM(R38:R39)</f>
        <v>204177.64000000004</v>
      </c>
    </row>
    <row r="41" spans="1:28" x14ac:dyDescent="0.25">
      <c r="A41" s="229">
        <v>41</v>
      </c>
      <c r="B41" s="572"/>
      <c r="C41" s="196" t="s">
        <v>349</v>
      </c>
      <c r="D41" s="294">
        <f>'[3]WACAP 2018'!O40+'WACAP 2019'!D40</f>
        <v>-18262.849999999926</v>
      </c>
      <c r="E41" s="294">
        <f t="shared" ref="E41:P41" si="23">D41+E40</f>
        <v>15598.040000000066</v>
      </c>
      <c r="F41" s="294">
        <f t="shared" si="23"/>
        <v>87735.350000000064</v>
      </c>
      <c r="G41" s="294">
        <f t="shared" si="23"/>
        <v>145300.79000000007</v>
      </c>
      <c r="H41" s="294">
        <f t="shared" si="23"/>
        <v>163286.05000000008</v>
      </c>
      <c r="I41" s="294">
        <f t="shared" si="23"/>
        <v>159820.75000000009</v>
      </c>
      <c r="J41" s="294">
        <f t="shared" si="23"/>
        <v>167439.2000000001</v>
      </c>
      <c r="K41" s="294">
        <f t="shared" si="23"/>
        <v>174456.9200000001</v>
      </c>
      <c r="L41" s="294">
        <f t="shared" si="23"/>
        <v>170550.06000000011</v>
      </c>
      <c r="M41" s="294">
        <f t="shared" si="23"/>
        <v>184297.15000000011</v>
      </c>
      <c r="N41" s="294">
        <f t="shared" si="23"/>
        <v>176523.46000000005</v>
      </c>
      <c r="O41" s="294">
        <f t="shared" si="23"/>
        <v>200203.71000000005</v>
      </c>
      <c r="P41" s="581">
        <f t="shared" si="23"/>
        <v>204177.64000000004</v>
      </c>
      <c r="R41" s="563"/>
      <c r="V41" s="591">
        <f>ROUND(U46/Z46,0)</f>
        <v>194349</v>
      </c>
    </row>
    <row r="42" spans="1:28" x14ac:dyDescent="0.25">
      <c r="A42" s="229">
        <v>42</v>
      </c>
      <c r="B42" s="572"/>
      <c r="C42" s="196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573"/>
      <c r="R42" s="563"/>
      <c r="T42" s="196"/>
      <c r="U42" s="294"/>
      <c r="V42" s="591">
        <f>ROUND(U47/Z47,0)</f>
        <v>150108</v>
      </c>
    </row>
    <row r="43" spans="1:28" x14ac:dyDescent="0.25">
      <c r="A43" s="229">
        <v>43</v>
      </c>
      <c r="B43" s="586" t="s">
        <v>391</v>
      </c>
      <c r="C43" s="264">
        <v>511</v>
      </c>
      <c r="D43" s="291"/>
      <c r="E43" s="291"/>
      <c r="F43" s="294"/>
      <c r="G43" s="291"/>
      <c r="H43" s="291"/>
      <c r="I43" s="291"/>
      <c r="J43" s="291"/>
      <c r="K43" s="291"/>
      <c r="L43" s="291"/>
      <c r="M43" s="291"/>
      <c r="N43" s="291"/>
      <c r="O43" s="291"/>
      <c r="P43" s="587"/>
      <c r="R43" s="563"/>
      <c r="U43" s="229">
        <v>511</v>
      </c>
      <c r="V43" s="591">
        <f>ROUND(U48/Z48,0)</f>
        <v>30410</v>
      </c>
      <c r="W43" s="591">
        <f>SUM(V41:V43)</f>
        <v>374867</v>
      </c>
    </row>
    <row r="44" spans="1:28" ht="15.75" x14ac:dyDescent="0.25">
      <c r="A44" s="229">
        <v>44</v>
      </c>
      <c r="B44" s="572" t="s">
        <v>365</v>
      </c>
      <c r="C44" s="229" t="s">
        <v>548</v>
      </c>
      <c r="D44" s="291">
        <v>13</v>
      </c>
      <c r="E44" s="291">
        <v>13</v>
      </c>
      <c r="F44" s="291">
        <v>13</v>
      </c>
      <c r="G44" s="291">
        <v>12</v>
      </c>
      <c r="H44" s="291">
        <v>11</v>
      </c>
      <c r="I44" s="291">
        <v>11</v>
      </c>
      <c r="J44" s="291">
        <v>12</v>
      </c>
      <c r="K44" s="291">
        <v>14</v>
      </c>
      <c r="L44" s="291">
        <v>14</v>
      </c>
      <c r="M44" s="291">
        <v>14</v>
      </c>
      <c r="N44" s="291"/>
      <c r="O44" s="291">
        <v>15</v>
      </c>
      <c r="P44" s="587">
        <v>15</v>
      </c>
      <c r="Q44" s="591"/>
      <c r="R44" s="578"/>
      <c r="V44" s="588">
        <v>368658</v>
      </c>
      <c r="W44" s="229" t="s">
        <v>31</v>
      </c>
      <c r="X44" s="291"/>
    </row>
    <row r="45" spans="1:28" x14ac:dyDescent="0.25">
      <c r="A45" s="229">
        <v>45</v>
      </c>
      <c r="B45" s="572" t="s">
        <v>362</v>
      </c>
      <c r="C45" s="229" t="s">
        <v>388</v>
      </c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573"/>
      <c r="Q45" s="591"/>
      <c r="R45" s="578"/>
      <c r="T45" s="196"/>
      <c r="U45" s="294"/>
      <c r="V45" s="576"/>
      <c r="X45" s="576"/>
      <c r="AB45" s="576">
        <f>Z45-X45</f>
        <v>0</v>
      </c>
    </row>
    <row r="46" spans="1:28" ht="15.75" x14ac:dyDescent="0.25">
      <c r="A46" s="229">
        <v>46</v>
      </c>
      <c r="B46" s="572" t="s">
        <v>362</v>
      </c>
      <c r="C46" s="229" t="s">
        <v>387</v>
      </c>
      <c r="D46" s="294">
        <v>24408.720000000001</v>
      </c>
      <c r="E46" s="294">
        <v>24347.09</v>
      </c>
      <c r="F46" s="294">
        <v>26046.639999999999</v>
      </c>
      <c r="G46" s="294">
        <v>21717.279999999999</v>
      </c>
      <c r="H46" s="294">
        <v>16779</v>
      </c>
      <c r="I46" s="294">
        <v>15091.22</v>
      </c>
      <c r="J46" s="294">
        <v>17932.71</v>
      </c>
      <c r="K46" s="294">
        <v>18108.96</v>
      </c>
      <c r="L46" s="294">
        <v>18207.560000000001</v>
      </c>
      <c r="M46" s="294">
        <v>26756.82</v>
      </c>
      <c r="N46" s="294"/>
      <c r="O46" s="294">
        <v>26775.89</v>
      </c>
      <c r="P46" s="573">
        <v>27850.22</v>
      </c>
      <c r="Q46" s="591"/>
      <c r="R46" s="578"/>
      <c r="T46" s="196" t="s">
        <v>28</v>
      </c>
      <c r="U46" s="590">
        <v>27850.22</v>
      </c>
      <c r="V46" s="576">
        <f>U46/V41</f>
        <v>0.14330004270667718</v>
      </c>
      <c r="X46" s="576">
        <f>U46/V41</f>
        <v>0.14330004270667718</v>
      </c>
      <c r="Z46" s="592">
        <v>0.14330000000000001</v>
      </c>
      <c r="AB46" s="576">
        <f>Z46-X46</f>
        <v>-4.270667716688159E-8</v>
      </c>
    </row>
    <row r="47" spans="1:28" ht="15.75" x14ac:dyDescent="0.25">
      <c r="A47" s="229">
        <v>47</v>
      </c>
      <c r="B47" s="572" t="s">
        <v>362</v>
      </c>
      <c r="C47" s="229" t="s">
        <v>386</v>
      </c>
      <c r="D47" s="294">
        <v>17642.72</v>
      </c>
      <c r="E47" s="294">
        <v>17141.97</v>
      </c>
      <c r="F47" s="294">
        <v>17869.32</v>
      </c>
      <c r="G47" s="294">
        <v>18878.98</v>
      </c>
      <c r="H47" s="294">
        <v>15487.99</v>
      </c>
      <c r="I47" s="294">
        <v>14520.07</v>
      </c>
      <c r="J47" s="294">
        <v>14364.33</v>
      </c>
      <c r="K47" s="294">
        <v>18497.830000000002</v>
      </c>
      <c r="L47" s="294">
        <v>17425.45</v>
      </c>
      <c r="M47" s="294">
        <v>22192.17</v>
      </c>
      <c r="N47" s="294"/>
      <c r="O47" s="294">
        <v>24679.29</v>
      </c>
      <c r="P47" s="573">
        <v>16487.87</v>
      </c>
      <c r="Q47" s="591"/>
      <c r="R47" s="578"/>
      <c r="T47" s="196" t="s">
        <v>28</v>
      </c>
      <c r="U47" s="590">
        <v>16487.87</v>
      </c>
      <c r="V47" s="576">
        <f>U47/V42</f>
        <v>0.10984004849841447</v>
      </c>
      <c r="X47" s="576">
        <f>U47/V42</f>
        <v>0.10984004849841447</v>
      </c>
      <c r="Z47" s="229">
        <v>0.10983999999999999</v>
      </c>
      <c r="AB47" s="576">
        <f>Z47-X47</f>
        <v>-4.8498414478848062E-8</v>
      </c>
    </row>
    <row r="48" spans="1:28" ht="15.75" x14ac:dyDescent="0.25">
      <c r="A48" s="229">
        <v>48</v>
      </c>
      <c r="B48" s="572" t="s">
        <v>362</v>
      </c>
      <c r="C48" s="229" t="s">
        <v>385</v>
      </c>
      <c r="D48" s="574">
        <v>0</v>
      </c>
      <c r="E48" s="574">
        <v>0</v>
      </c>
      <c r="F48" s="574">
        <v>0</v>
      </c>
      <c r="G48" s="574">
        <v>423.17</v>
      </c>
      <c r="H48" s="574">
        <v>259.12</v>
      </c>
      <c r="I48" s="574">
        <v>1016.82</v>
      </c>
      <c r="J48" s="574">
        <v>1606.73</v>
      </c>
      <c r="K48" s="574">
        <v>1540.8</v>
      </c>
      <c r="L48" s="574">
        <v>952.08</v>
      </c>
      <c r="M48" s="574">
        <v>1230.6199999999999</v>
      </c>
      <c r="N48" s="574"/>
      <c r="O48" s="574">
        <v>2046.46</v>
      </c>
      <c r="P48" s="575">
        <v>823.81</v>
      </c>
      <c r="Q48" s="591"/>
      <c r="R48" s="578"/>
      <c r="T48" s="196" t="s">
        <v>28</v>
      </c>
      <c r="U48" s="590">
        <v>823.81</v>
      </c>
      <c r="V48" s="576">
        <f>U48/V43</f>
        <v>2.7090101940151264E-2</v>
      </c>
      <c r="X48" s="576">
        <f>U48/V43</f>
        <v>2.7090101940151264E-2</v>
      </c>
      <c r="Z48" s="229">
        <v>2.7089999999999999E-2</v>
      </c>
      <c r="AB48" s="576">
        <f>Z48-X48</f>
        <v>-1.0194015126474554E-7</v>
      </c>
    </row>
    <row r="49" spans="1:31" ht="15.75" x14ac:dyDescent="0.25">
      <c r="A49" s="229">
        <v>49</v>
      </c>
      <c r="B49" s="572"/>
      <c r="C49" s="196" t="s">
        <v>355</v>
      </c>
      <c r="D49" s="294">
        <f t="shared" ref="D49:M49" si="24">SUM(D45:D48)</f>
        <v>42051.44</v>
      </c>
      <c r="E49" s="294">
        <f t="shared" si="24"/>
        <v>41489.06</v>
      </c>
      <c r="F49" s="294">
        <f t="shared" si="24"/>
        <v>43915.96</v>
      </c>
      <c r="G49" s="294">
        <f t="shared" si="24"/>
        <v>41019.429999999993</v>
      </c>
      <c r="H49" s="294">
        <f t="shared" si="24"/>
        <v>32526.109999999997</v>
      </c>
      <c r="I49" s="294">
        <f t="shared" si="24"/>
        <v>30628.11</v>
      </c>
      <c r="J49" s="294">
        <f t="shared" si="24"/>
        <v>33903.770000000004</v>
      </c>
      <c r="K49" s="294">
        <f t="shared" si="24"/>
        <v>38147.590000000004</v>
      </c>
      <c r="L49" s="294">
        <f t="shared" si="24"/>
        <v>36585.090000000004</v>
      </c>
      <c r="M49" s="294">
        <f t="shared" si="24"/>
        <v>50179.61</v>
      </c>
      <c r="N49" s="294"/>
      <c r="O49" s="294">
        <f>SUM(O45:O48)</f>
        <v>53501.64</v>
      </c>
      <c r="P49" s="581">
        <f>SUM(P45:P48)</f>
        <v>45161.899999999994</v>
      </c>
      <c r="R49" s="563"/>
      <c r="T49" s="196" t="s">
        <v>11</v>
      </c>
      <c r="U49" s="590">
        <v>158168.07999999999</v>
      </c>
      <c r="V49" s="576">
        <f>U49/V44</f>
        <v>0.42903742764296443</v>
      </c>
      <c r="X49" s="576">
        <f>U49/V44</f>
        <v>0.42903742764296443</v>
      </c>
      <c r="Z49" s="592">
        <v>0.42197000000000001</v>
      </c>
      <c r="AB49" s="576">
        <f>Z49-X49</f>
        <v>-7.0674276429644189E-3</v>
      </c>
    </row>
    <row r="50" spans="1:31" x14ac:dyDescent="0.25">
      <c r="A50" s="229">
        <v>50</v>
      </c>
      <c r="B50" s="572"/>
      <c r="C50" s="196" t="s">
        <v>354</v>
      </c>
      <c r="D50" s="574">
        <f>ROUND(-'[3]Authorized Margins 2018'!J16*'WACAP 2019'!D44,2)</f>
        <v>-27464.58</v>
      </c>
      <c r="E50" s="574">
        <f>ROUND(-'[3]Authorized Margins 2018'!K16*'WACAP 2019'!E44,2)</f>
        <v>-22140.3</v>
      </c>
      <c r="F50" s="574">
        <f>ROUND(-'[3]Authorized Margins 2018'!L16*'WACAP 2019'!F44,2)</f>
        <v>-27445.86</v>
      </c>
      <c r="G50" s="574">
        <f>ROUND(-'[3]Authorized Margins 2018'!M16*'WACAP 2019'!G44,2)</f>
        <v>-15686.52</v>
      </c>
      <c r="H50" s="574">
        <f>ROUND(-'[3]Authorized Margins 2018'!N16*'WACAP 2019'!H44,2)</f>
        <v>-8773.82</v>
      </c>
      <c r="I50" s="574">
        <f>ROUND(-'[3]Authorized Margins 2018'!O16*'WACAP 2019'!I44,2)</f>
        <v>-9574.73</v>
      </c>
      <c r="J50" s="574">
        <f>ROUND(-'[3]Authorized Margins 2018'!D16*'WACAP 2019'!J44,2)</f>
        <v>-6888</v>
      </c>
      <c r="K50" s="574">
        <f>ROUND(-'[3]Authorized Margins 2018'!E16*'WACAP 2019'!K44,2)</f>
        <v>-11372.34</v>
      </c>
      <c r="L50" s="574">
        <f>ROUND(-'[3]Authorized Margins 2018'!F16*'WACAP 2019'!L44,2)</f>
        <v>-10659.32</v>
      </c>
      <c r="M50" s="574">
        <f>ROUND(-'[3]Authorized Margins 2018'!G16*'WACAP 2019'!M44,2)</f>
        <v>-12106.08</v>
      </c>
      <c r="N50" s="574"/>
      <c r="O50" s="574">
        <f>ROUND(-'[3]Authorized Margins 2018'!H16*'WACAP 2019'!O44,2)</f>
        <v>-17439.3</v>
      </c>
      <c r="P50" s="575">
        <f>ROUND(-'[3]Authorized Margins 2018'!I16*'WACAP 2019'!P44,2)</f>
        <v>-28242.9</v>
      </c>
      <c r="R50" s="563"/>
    </row>
    <row r="51" spans="1:31" x14ac:dyDescent="0.25">
      <c r="A51" s="229">
        <v>51</v>
      </c>
      <c r="B51" s="572"/>
      <c r="C51" s="196" t="s">
        <v>353</v>
      </c>
      <c r="D51" s="294">
        <f t="shared" ref="D51:M51" si="25">SUM(D49:D50)</f>
        <v>14586.86</v>
      </c>
      <c r="E51" s="294">
        <f t="shared" si="25"/>
        <v>19348.759999999998</v>
      </c>
      <c r="F51" s="294">
        <f t="shared" si="25"/>
        <v>16470.099999999999</v>
      </c>
      <c r="G51" s="294">
        <f t="shared" si="25"/>
        <v>25332.909999999993</v>
      </c>
      <c r="H51" s="294">
        <f t="shared" si="25"/>
        <v>23752.289999999997</v>
      </c>
      <c r="I51" s="294">
        <f t="shared" si="25"/>
        <v>21053.38</v>
      </c>
      <c r="J51" s="294">
        <f t="shared" si="25"/>
        <v>27015.770000000004</v>
      </c>
      <c r="K51" s="294">
        <f t="shared" si="25"/>
        <v>26775.250000000004</v>
      </c>
      <c r="L51" s="294">
        <f t="shared" si="25"/>
        <v>25925.770000000004</v>
      </c>
      <c r="M51" s="294">
        <f t="shared" si="25"/>
        <v>38073.53</v>
      </c>
      <c r="N51" s="294">
        <f>-'[3]WACAP 2018'!Q52</f>
        <v>-245706.20000000004</v>
      </c>
      <c r="O51" s="294">
        <f>SUM(O49:O50)</f>
        <v>36062.339999999997</v>
      </c>
      <c r="P51" s="573">
        <f>SUM(P49:P50)</f>
        <v>16918.999999999993</v>
      </c>
      <c r="R51" s="578">
        <f>SUM(D51:Q51)-N51</f>
        <v>291315.96000000002</v>
      </c>
    </row>
    <row r="52" spans="1:31" x14ac:dyDescent="0.25">
      <c r="A52" s="229">
        <v>52</v>
      </c>
      <c r="B52" s="572"/>
      <c r="C52" s="196" t="s">
        <v>352</v>
      </c>
      <c r="D52" s="294">
        <f>ROUND(ROUND('[3]WACAP 2018'!O53*D$6,2)/365*D$7,2)</f>
        <v>1080.97</v>
      </c>
      <c r="E52" s="294">
        <f t="shared" ref="E52:M52" si="26">ROUND(ROUND(D54*E$6,2)/365*E$7,2)</f>
        <v>1038.6199999999999</v>
      </c>
      <c r="F52" s="294">
        <f t="shared" si="26"/>
        <v>1239.5999999999999</v>
      </c>
      <c r="G52" s="294">
        <f t="shared" si="26"/>
        <v>1341.47</v>
      </c>
      <c r="H52" s="294">
        <f t="shared" si="26"/>
        <v>1509.65</v>
      </c>
      <c r="I52" s="294">
        <f t="shared" si="26"/>
        <v>1574.11</v>
      </c>
      <c r="J52" s="294">
        <f t="shared" si="26"/>
        <v>1747.2</v>
      </c>
      <c r="K52" s="294">
        <f t="shared" si="26"/>
        <v>1881.56</v>
      </c>
      <c r="L52" s="294">
        <f t="shared" si="26"/>
        <v>1950.41</v>
      </c>
      <c r="M52" s="294">
        <f t="shared" si="26"/>
        <v>2114.4299999999998</v>
      </c>
      <c r="N52" s="294">
        <f>'[3]Ammort Split 2019'!N51</f>
        <v>-11238.970000000001</v>
      </c>
      <c r="O52" s="294">
        <f>ROUND(ROUND(N54*O$6,2)/365*O$7,2)</f>
        <v>1080.6199999999999</v>
      </c>
      <c r="P52" s="573">
        <f>ROUND(ROUND(O54*P$6,2)/365*P$7,2)</f>
        <v>1287.6199999999999</v>
      </c>
      <c r="R52" s="579">
        <f>SUM(D52:Q52)</f>
        <v>6607.2899999999972</v>
      </c>
    </row>
    <row r="53" spans="1:31" x14ac:dyDescent="0.25">
      <c r="A53" s="229">
        <v>53</v>
      </c>
      <c r="B53" s="572"/>
      <c r="C53" s="196" t="s">
        <v>351</v>
      </c>
      <c r="D53" s="574">
        <f t="shared" ref="D53:P53" si="27">SUM(D51:D52)</f>
        <v>15667.83</v>
      </c>
      <c r="E53" s="574">
        <f t="shared" si="27"/>
        <v>20387.379999999997</v>
      </c>
      <c r="F53" s="574">
        <f t="shared" si="27"/>
        <v>17709.699999999997</v>
      </c>
      <c r="G53" s="574">
        <f t="shared" si="27"/>
        <v>26674.379999999994</v>
      </c>
      <c r="H53" s="574">
        <f t="shared" si="27"/>
        <v>25261.94</v>
      </c>
      <c r="I53" s="574">
        <f t="shared" si="27"/>
        <v>22627.49</v>
      </c>
      <c r="J53" s="574">
        <f t="shared" si="27"/>
        <v>28762.970000000005</v>
      </c>
      <c r="K53" s="574">
        <f t="shared" si="27"/>
        <v>28656.810000000005</v>
      </c>
      <c r="L53" s="574">
        <f t="shared" si="27"/>
        <v>27876.180000000004</v>
      </c>
      <c r="M53" s="574">
        <f t="shared" si="27"/>
        <v>40187.96</v>
      </c>
      <c r="N53" s="574">
        <f t="shared" si="27"/>
        <v>-256945.17000000004</v>
      </c>
      <c r="O53" s="574">
        <f t="shared" si="27"/>
        <v>37142.959999999999</v>
      </c>
      <c r="P53" s="575">
        <f t="shared" si="27"/>
        <v>18206.619999999992</v>
      </c>
      <c r="R53" s="580">
        <f>SUM(R51:R52)</f>
        <v>297923.25</v>
      </c>
    </row>
    <row r="54" spans="1:31" ht="15.75" thickBot="1" x14ac:dyDescent="0.3">
      <c r="A54" s="229">
        <v>54</v>
      </c>
      <c r="B54" s="572"/>
      <c r="C54" s="593" t="s">
        <v>349</v>
      </c>
      <c r="D54" s="594">
        <f>'[3]WACAP 2018'!O53+'WACAP 2019'!D53</f>
        <v>261374.02999999997</v>
      </c>
      <c r="E54" s="594">
        <f t="shared" ref="E54:P54" si="28">D54+E53</f>
        <v>281761.40999999997</v>
      </c>
      <c r="F54" s="594">
        <f t="shared" si="28"/>
        <v>299471.11</v>
      </c>
      <c r="G54" s="594">
        <f t="shared" si="28"/>
        <v>326145.49</v>
      </c>
      <c r="H54" s="594">
        <f t="shared" si="28"/>
        <v>351407.43</v>
      </c>
      <c r="I54" s="594">
        <f t="shared" si="28"/>
        <v>374034.92</v>
      </c>
      <c r="J54" s="594">
        <f t="shared" si="28"/>
        <v>402797.89</v>
      </c>
      <c r="K54" s="595">
        <f t="shared" si="28"/>
        <v>431454.7</v>
      </c>
      <c r="L54" s="294">
        <f t="shared" si="28"/>
        <v>459330.88</v>
      </c>
      <c r="M54" s="294">
        <f t="shared" si="28"/>
        <v>499518.84</v>
      </c>
      <c r="N54" s="294">
        <f t="shared" si="28"/>
        <v>242573.66999999998</v>
      </c>
      <c r="O54" s="294">
        <f t="shared" si="28"/>
        <v>279716.63</v>
      </c>
      <c r="P54" s="581">
        <f t="shared" si="28"/>
        <v>297923.25</v>
      </c>
      <c r="Q54" s="563"/>
      <c r="R54" s="563"/>
    </row>
    <row r="55" spans="1:31" ht="15.75" thickBot="1" x14ac:dyDescent="0.3">
      <c r="A55" s="229">
        <v>55</v>
      </c>
      <c r="B55" s="596"/>
      <c r="D55" s="291"/>
      <c r="E55" s="291"/>
      <c r="F55" s="294"/>
      <c r="G55" s="291"/>
      <c r="H55" s="291"/>
      <c r="I55" s="291"/>
      <c r="J55" s="291"/>
      <c r="K55" s="597"/>
      <c r="L55" s="597"/>
      <c r="M55" s="597"/>
      <c r="N55" s="597"/>
      <c r="O55" s="597"/>
      <c r="P55" s="597"/>
      <c r="Q55" s="598"/>
      <c r="R55" s="599"/>
    </row>
    <row r="56" spans="1:31" x14ac:dyDescent="0.25">
      <c r="A56" s="229">
        <v>56</v>
      </c>
      <c r="B56" s="600" t="s">
        <v>382</v>
      </c>
      <c r="C56" s="596" t="s">
        <v>554</v>
      </c>
      <c r="D56" s="597"/>
      <c r="E56" s="597"/>
      <c r="F56" s="601"/>
      <c r="G56" s="597"/>
      <c r="H56" s="597"/>
      <c r="I56" s="597"/>
      <c r="J56" s="597"/>
      <c r="K56" s="597"/>
      <c r="L56" s="597"/>
      <c r="M56" s="597"/>
      <c r="N56" s="597"/>
      <c r="O56" s="597"/>
      <c r="P56" s="602"/>
      <c r="Q56" s="599"/>
      <c r="R56" s="603"/>
      <c r="T56" s="229">
        <v>504</v>
      </c>
      <c r="U56" s="196" t="s">
        <v>554</v>
      </c>
    </row>
    <row r="57" spans="1:31" ht="15.75" x14ac:dyDescent="0.25">
      <c r="A57" s="229">
        <v>57</v>
      </c>
      <c r="B57" s="572" t="s">
        <v>365</v>
      </c>
      <c r="C57" s="229" t="s">
        <v>548</v>
      </c>
      <c r="D57" s="291">
        <v>1</v>
      </c>
      <c r="E57" s="291">
        <v>1</v>
      </c>
      <c r="F57" s="291">
        <v>1</v>
      </c>
      <c r="G57" s="291">
        <v>1</v>
      </c>
      <c r="H57" s="291">
        <v>1</v>
      </c>
      <c r="I57" s="291">
        <v>1</v>
      </c>
      <c r="J57" s="291">
        <v>1</v>
      </c>
      <c r="K57" s="291">
        <v>1</v>
      </c>
      <c r="L57" s="291">
        <v>1</v>
      </c>
      <c r="M57" s="291">
        <v>1</v>
      </c>
      <c r="N57" s="291"/>
      <c r="O57" s="291">
        <v>1</v>
      </c>
      <c r="P57" s="587">
        <v>1</v>
      </c>
      <c r="Q57" s="584"/>
      <c r="R57" s="585"/>
      <c r="V57" s="588">
        <v>3958</v>
      </c>
      <c r="W57" s="229" t="s">
        <v>31</v>
      </c>
      <c r="X57" s="291">
        <f>V57</f>
        <v>3958</v>
      </c>
    </row>
    <row r="58" spans="1:31" ht="15.75" x14ac:dyDescent="0.25">
      <c r="A58" s="229">
        <v>58</v>
      </c>
      <c r="B58" s="572" t="s">
        <v>362</v>
      </c>
      <c r="C58" s="229" t="s">
        <v>381</v>
      </c>
      <c r="D58" s="294">
        <v>1137.43</v>
      </c>
      <c r="E58" s="294">
        <v>1070.55</v>
      </c>
      <c r="F58" s="294">
        <v>1269.57</v>
      </c>
      <c r="G58" s="294">
        <v>816.22</v>
      </c>
      <c r="H58" s="294">
        <v>522.54999999999995</v>
      </c>
      <c r="I58" s="294">
        <v>149.27000000000001</v>
      </c>
      <c r="J58" s="294">
        <v>84.93</v>
      </c>
      <c r="K58" s="294">
        <v>35.869999999999997</v>
      </c>
      <c r="L58" s="294">
        <v>31.94</v>
      </c>
      <c r="M58" s="294">
        <v>143.25</v>
      </c>
      <c r="N58" s="294"/>
      <c r="O58" s="294">
        <v>683.85</v>
      </c>
      <c r="P58" s="573">
        <v>915.96</v>
      </c>
      <c r="Q58" s="591"/>
      <c r="R58" s="578"/>
      <c r="T58" s="196" t="s">
        <v>28</v>
      </c>
      <c r="U58" s="590">
        <v>915.96</v>
      </c>
      <c r="V58" s="576">
        <f>U58/V57</f>
        <v>0.23141990904497223</v>
      </c>
      <c r="X58" s="576">
        <f>U58/X57</f>
        <v>0.23141990904497223</v>
      </c>
      <c r="Z58" s="229">
        <v>0.23141999999999999</v>
      </c>
      <c r="AB58" s="576">
        <f>Z58-X58</f>
        <v>9.0955027759465068E-8</v>
      </c>
    </row>
    <row r="59" spans="1:31" ht="15.75" x14ac:dyDescent="0.25">
      <c r="A59" s="229">
        <v>59</v>
      </c>
      <c r="B59" s="572" t="s">
        <v>357</v>
      </c>
      <c r="C59" s="229" t="s">
        <v>390</v>
      </c>
      <c r="D59" s="294">
        <v>1070.55</v>
      </c>
      <c r="E59" s="294">
        <v>1269.57</v>
      </c>
      <c r="F59" s="294">
        <v>816.22</v>
      </c>
      <c r="G59" s="294">
        <v>522.54999999999995</v>
      </c>
      <c r="H59" s="294">
        <v>149.27000000000001</v>
      </c>
      <c r="I59" s="294">
        <v>84.93</v>
      </c>
      <c r="J59" s="294">
        <v>35.869999999999997</v>
      </c>
      <c r="K59" s="294">
        <v>31.94</v>
      </c>
      <c r="L59" s="294">
        <v>143.25</v>
      </c>
      <c r="M59" s="294">
        <v>683.85</v>
      </c>
      <c r="N59" s="294"/>
      <c r="O59" s="294">
        <v>915.96</v>
      </c>
      <c r="P59" s="294">
        <v>1053.42</v>
      </c>
      <c r="Q59" s="578"/>
      <c r="R59" s="578"/>
      <c r="T59" s="196" t="s">
        <v>11</v>
      </c>
      <c r="U59" s="590">
        <v>1724.03</v>
      </c>
      <c r="V59" s="576">
        <f>U59/V57</f>
        <v>0.43558110156644769</v>
      </c>
      <c r="X59" s="576">
        <f>U59/X57</f>
        <v>0.43558110156644769</v>
      </c>
      <c r="Z59" s="229">
        <v>0.43558000000000002</v>
      </c>
      <c r="AB59" s="576">
        <f>Z59-X59</f>
        <v>-1.1015664476698994E-6</v>
      </c>
      <c r="AD59" s="591">
        <f>P59</f>
        <v>1053.42</v>
      </c>
    </row>
    <row r="60" spans="1:31" x14ac:dyDescent="0.25">
      <c r="A60" s="229">
        <v>60</v>
      </c>
      <c r="B60" s="572" t="s">
        <v>357</v>
      </c>
      <c r="C60" s="229" t="s">
        <v>389</v>
      </c>
      <c r="D60" s="574">
        <f>-'[3]WACAP 2018'!O58</f>
        <v>-1137.43</v>
      </c>
      <c r="E60" s="574">
        <f t="shared" ref="E60:M60" si="29">-D59</f>
        <v>-1070.55</v>
      </c>
      <c r="F60" s="574">
        <f t="shared" si="29"/>
        <v>-1269.57</v>
      </c>
      <c r="G60" s="574">
        <f t="shared" si="29"/>
        <v>-816.22</v>
      </c>
      <c r="H60" s="574">
        <f t="shared" si="29"/>
        <v>-522.54999999999995</v>
      </c>
      <c r="I60" s="574">
        <f t="shared" si="29"/>
        <v>-149.27000000000001</v>
      </c>
      <c r="J60" s="574">
        <f t="shared" si="29"/>
        <v>-84.93</v>
      </c>
      <c r="K60" s="574">
        <f t="shared" si="29"/>
        <v>-35.869999999999997</v>
      </c>
      <c r="L60" s="574">
        <f t="shared" si="29"/>
        <v>-31.94</v>
      </c>
      <c r="M60" s="574">
        <f t="shared" si="29"/>
        <v>-143.25</v>
      </c>
      <c r="N60" s="574"/>
      <c r="O60" s="574">
        <f>-M59</f>
        <v>-683.85</v>
      </c>
      <c r="P60" s="574">
        <f>-O59</f>
        <v>-915.96</v>
      </c>
      <c r="Q60" s="578"/>
      <c r="R60" s="578"/>
      <c r="T60" s="196"/>
      <c r="U60" s="294"/>
      <c r="V60" s="576"/>
      <c r="X60" s="576"/>
      <c r="AB60" s="576"/>
      <c r="AD60" s="591">
        <f>+D60</f>
        <v>-1137.43</v>
      </c>
      <c r="AE60" s="591"/>
    </row>
    <row r="61" spans="1:31" x14ac:dyDescent="0.25">
      <c r="A61" s="229">
        <v>61</v>
      </c>
      <c r="B61" s="586"/>
      <c r="C61" s="196" t="s">
        <v>355</v>
      </c>
      <c r="D61" s="294">
        <f t="shared" ref="D61:M61" si="30">SUM(D58:D60)</f>
        <v>1070.55</v>
      </c>
      <c r="E61" s="294">
        <f t="shared" si="30"/>
        <v>1269.57</v>
      </c>
      <c r="F61" s="294">
        <f t="shared" si="30"/>
        <v>816.22</v>
      </c>
      <c r="G61" s="294">
        <f t="shared" si="30"/>
        <v>522.54999999999995</v>
      </c>
      <c r="H61" s="294">
        <f t="shared" si="30"/>
        <v>149.26999999999998</v>
      </c>
      <c r="I61" s="294">
        <f t="shared" si="30"/>
        <v>84.93</v>
      </c>
      <c r="J61" s="294">
        <f t="shared" si="30"/>
        <v>35.870000000000005</v>
      </c>
      <c r="K61" s="294">
        <f t="shared" si="30"/>
        <v>31.940000000000005</v>
      </c>
      <c r="L61" s="294">
        <f t="shared" si="30"/>
        <v>143.25</v>
      </c>
      <c r="M61" s="294">
        <f t="shared" si="30"/>
        <v>683.85</v>
      </c>
      <c r="N61" s="294"/>
      <c r="O61" s="294">
        <f>SUM(O58:O60)</f>
        <v>915.95999999999992</v>
      </c>
      <c r="P61" s="573">
        <f>SUM(P58:P60)</f>
        <v>1053.42</v>
      </c>
      <c r="R61" s="563"/>
    </row>
    <row r="62" spans="1:31" x14ac:dyDescent="0.25">
      <c r="A62" s="229">
        <v>62</v>
      </c>
      <c r="B62" s="572"/>
      <c r="C62" s="196" t="s">
        <v>354</v>
      </c>
      <c r="D62" s="574">
        <f>ROUND(-'[3]Authorized Margins 2018'!J12*'WACAP 2019'!D57,2)</f>
        <v>-127.65</v>
      </c>
      <c r="E62" s="574">
        <f>ROUND(-'[3]Authorized Margins 2018'!K12*'WACAP 2019'!E57,2)</f>
        <v>-93.93</v>
      </c>
      <c r="F62" s="574">
        <f>ROUND(-'[3]Authorized Margins 2018'!L12*'WACAP 2019'!F57,2)</f>
        <v>-78.319999999999993</v>
      </c>
      <c r="G62" s="574">
        <f>ROUND(-'[3]Authorized Margins 2018'!M12*'WACAP 2019'!G57,2)</f>
        <v>-48.24</v>
      </c>
      <c r="H62" s="574">
        <f>ROUND(-'[3]Authorized Margins 2018'!N12*'WACAP 2019'!H57,2)</f>
        <v>-31.22</v>
      </c>
      <c r="I62" s="574">
        <f>ROUND(-'[3]Authorized Margins 2018'!O12*'WACAP 2019'!I57,2)</f>
        <v>-23.85</v>
      </c>
      <c r="J62" s="574">
        <f>ROUND(-'[3]Authorized Margins 2018'!D12*'WACAP 2019'!J57,2)</f>
        <v>-24.45</v>
      </c>
      <c r="K62" s="574">
        <f>ROUND(-'[3]Authorized Margins 2018'!E12*'WACAP 2019'!K57,2)</f>
        <v>-21.6</v>
      </c>
      <c r="L62" s="574">
        <f>ROUND(-'[3]Authorized Margins 2018'!F12*'WACAP 2019'!L57,2)</f>
        <v>-32.049999999999997</v>
      </c>
      <c r="M62" s="574">
        <f>ROUND(-'[3]Authorized Margins 2018'!G12*'WACAP 2019'!M57,2)</f>
        <v>-59.39</v>
      </c>
      <c r="N62" s="574"/>
      <c r="O62" s="574">
        <f>ROUND(-'[3]Authorized Margins 2018'!H12*'WACAP 2019'!O57,2)</f>
        <v>-89.84</v>
      </c>
      <c r="P62" s="575">
        <f>ROUND(-'[3]Authorized Margins 2018'!I12*'WACAP 2019'!P57,2)</f>
        <v>-127</v>
      </c>
      <c r="R62" s="563"/>
      <c r="U62" s="294"/>
    </row>
    <row r="63" spans="1:31" x14ac:dyDescent="0.25">
      <c r="A63" s="229">
        <v>63</v>
      </c>
      <c r="B63" s="572"/>
      <c r="C63" s="196" t="s">
        <v>353</v>
      </c>
      <c r="D63" s="294">
        <f t="shared" ref="D63:M63" si="31">SUM(D61:D62)</f>
        <v>942.9</v>
      </c>
      <c r="E63" s="294">
        <f t="shared" si="31"/>
        <v>1175.6399999999999</v>
      </c>
      <c r="F63" s="294">
        <f t="shared" si="31"/>
        <v>737.90000000000009</v>
      </c>
      <c r="G63" s="294">
        <f t="shared" si="31"/>
        <v>474.30999999999995</v>
      </c>
      <c r="H63" s="294">
        <f t="shared" si="31"/>
        <v>118.04999999999998</v>
      </c>
      <c r="I63" s="294">
        <f t="shared" si="31"/>
        <v>61.080000000000005</v>
      </c>
      <c r="J63" s="294">
        <f t="shared" si="31"/>
        <v>11.420000000000005</v>
      </c>
      <c r="K63" s="294">
        <f t="shared" si="31"/>
        <v>10.340000000000003</v>
      </c>
      <c r="L63" s="294">
        <f t="shared" si="31"/>
        <v>111.2</v>
      </c>
      <c r="M63" s="294">
        <f t="shared" si="31"/>
        <v>624.46</v>
      </c>
      <c r="N63" s="294">
        <f>-'[3]WACAP 2018'!Q64</f>
        <v>-6518.3300000000017</v>
      </c>
      <c r="O63" s="294">
        <f>SUM(O61:O62)</f>
        <v>826.11999999999989</v>
      </c>
      <c r="P63" s="573">
        <f>SUM(P61:P62)</f>
        <v>926.42000000000007</v>
      </c>
      <c r="R63" s="578">
        <f>SUM(D63:Q63)-N63</f>
        <v>6019.84</v>
      </c>
      <c r="U63" s="294">
        <v>948.8900000000001</v>
      </c>
    </row>
    <row r="64" spans="1:31" x14ac:dyDescent="0.25">
      <c r="A64" s="229">
        <v>64</v>
      </c>
      <c r="B64" s="572"/>
      <c r="C64" s="196" t="s">
        <v>352</v>
      </c>
      <c r="D64" s="294">
        <f>ROUND(ROUND('[3]WACAP 2018'!O65*D$6,2)/365*D$7,2)</f>
        <v>28.68</v>
      </c>
      <c r="E64" s="294">
        <f t="shared" ref="E64:M64" si="32">ROUND(ROUND(D66*E$6,2)/365*E$7,2)</f>
        <v>29.76</v>
      </c>
      <c r="F64" s="294">
        <f t="shared" si="32"/>
        <v>38.25</v>
      </c>
      <c r="G64" s="294">
        <f t="shared" si="32"/>
        <v>42.43</v>
      </c>
      <c r="H64" s="294">
        <f t="shared" si="32"/>
        <v>46.23</v>
      </c>
      <c r="I64" s="294">
        <f t="shared" si="32"/>
        <v>45.48</v>
      </c>
      <c r="J64" s="294">
        <f t="shared" si="32"/>
        <v>47.92</v>
      </c>
      <c r="K64" s="294">
        <f t="shared" si="32"/>
        <v>48.2</v>
      </c>
      <c r="L64" s="294">
        <f t="shared" si="32"/>
        <v>46.91</v>
      </c>
      <c r="M64" s="294">
        <f t="shared" si="32"/>
        <v>48.5</v>
      </c>
      <c r="N64" s="294">
        <f>'[3]Ammort Split 2019'!N63</f>
        <v>-298.17</v>
      </c>
      <c r="O64" s="294">
        <f>ROUND(ROUND(N66*O$6,2)/365*O$7,2)</f>
        <v>19.559999999999999</v>
      </c>
      <c r="P64" s="573">
        <f>ROUND(ROUND(O66*P$6,2)/365*P$7,2)</f>
        <v>24.11</v>
      </c>
      <c r="R64" s="579">
        <f>SUM(D64:Q64)</f>
        <v>167.86</v>
      </c>
      <c r="U64" s="294">
        <v>3.09</v>
      </c>
    </row>
    <row r="65" spans="1:31" x14ac:dyDescent="0.25">
      <c r="A65" s="229">
        <v>65</v>
      </c>
      <c r="B65" s="572"/>
      <c r="C65" s="196" t="s">
        <v>351</v>
      </c>
      <c r="D65" s="574">
        <f t="shared" ref="D65:P65" si="33">SUM(D63:D64)</f>
        <v>971.57999999999993</v>
      </c>
      <c r="E65" s="574">
        <f t="shared" si="33"/>
        <v>1205.3999999999999</v>
      </c>
      <c r="F65" s="574">
        <f t="shared" si="33"/>
        <v>776.15000000000009</v>
      </c>
      <c r="G65" s="574">
        <f t="shared" si="33"/>
        <v>516.7399999999999</v>
      </c>
      <c r="H65" s="574">
        <f t="shared" si="33"/>
        <v>164.27999999999997</v>
      </c>
      <c r="I65" s="574">
        <f t="shared" si="33"/>
        <v>106.56</v>
      </c>
      <c r="J65" s="574">
        <f t="shared" si="33"/>
        <v>59.34</v>
      </c>
      <c r="K65" s="574">
        <f t="shared" si="33"/>
        <v>58.540000000000006</v>
      </c>
      <c r="L65" s="574">
        <f t="shared" si="33"/>
        <v>158.11000000000001</v>
      </c>
      <c r="M65" s="574">
        <f t="shared" si="33"/>
        <v>672.96</v>
      </c>
      <c r="N65" s="574">
        <f t="shared" si="33"/>
        <v>-6816.5000000000018</v>
      </c>
      <c r="O65" s="574">
        <f t="shared" si="33"/>
        <v>845.67999999999984</v>
      </c>
      <c r="P65" s="575">
        <f t="shared" si="33"/>
        <v>950.53000000000009</v>
      </c>
      <c r="R65" s="580">
        <f>SUM(R63:R64)</f>
        <v>6187.7</v>
      </c>
      <c r="U65" s="294">
        <v>951.98000000000013</v>
      </c>
    </row>
    <row r="66" spans="1:31" x14ac:dyDescent="0.25">
      <c r="A66" s="229">
        <v>66</v>
      </c>
      <c r="B66" s="572"/>
      <c r="C66" s="196" t="s">
        <v>349</v>
      </c>
      <c r="D66" s="294">
        <f>'[3]WACAP 2018'!O65+'WACAP 2019'!D65</f>
        <v>7489.91</v>
      </c>
      <c r="E66" s="294">
        <f t="shared" ref="E66:P66" si="34">D66+E65</f>
        <v>8695.31</v>
      </c>
      <c r="F66" s="294">
        <f t="shared" si="34"/>
        <v>9471.4599999999991</v>
      </c>
      <c r="G66" s="294">
        <f t="shared" si="34"/>
        <v>9988.1999999999989</v>
      </c>
      <c r="H66" s="294">
        <f t="shared" si="34"/>
        <v>10152.48</v>
      </c>
      <c r="I66" s="294">
        <f t="shared" si="34"/>
        <v>10259.039999999999</v>
      </c>
      <c r="J66" s="294">
        <f t="shared" si="34"/>
        <v>10318.379999999999</v>
      </c>
      <c r="K66" s="294">
        <f t="shared" si="34"/>
        <v>10376.92</v>
      </c>
      <c r="L66" s="294">
        <f t="shared" si="34"/>
        <v>10535.03</v>
      </c>
      <c r="M66" s="294">
        <f t="shared" si="34"/>
        <v>11207.990000000002</v>
      </c>
      <c r="N66" s="294">
        <f t="shared" si="34"/>
        <v>4391.49</v>
      </c>
      <c r="O66" s="294">
        <f t="shared" si="34"/>
        <v>5237.17</v>
      </c>
      <c r="P66" s="581">
        <f t="shared" si="34"/>
        <v>6187.7</v>
      </c>
      <c r="R66" s="563"/>
      <c r="U66" s="294">
        <v>1808.02</v>
      </c>
      <c r="V66" s="591">
        <f>1808.02-1805.56</f>
        <v>2.4600000000000364</v>
      </c>
    </row>
    <row r="67" spans="1:31" x14ac:dyDescent="0.25">
      <c r="A67" s="229">
        <v>67</v>
      </c>
      <c r="B67" s="572"/>
      <c r="C67" s="196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1"/>
      <c r="O67" s="294"/>
      <c r="P67" s="573"/>
      <c r="R67" s="563"/>
      <c r="T67" s="196"/>
      <c r="U67" s="294"/>
      <c r="V67" s="591"/>
    </row>
    <row r="68" spans="1:31" x14ac:dyDescent="0.25">
      <c r="A68" s="229">
        <v>68</v>
      </c>
      <c r="B68" s="586" t="s">
        <v>382</v>
      </c>
      <c r="C68" s="264">
        <v>504</v>
      </c>
      <c r="D68" s="291"/>
      <c r="E68" s="291"/>
      <c r="F68" s="294"/>
      <c r="G68" s="291"/>
      <c r="H68" s="291"/>
      <c r="I68" s="291"/>
      <c r="J68" s="291"/>
      <c r="K68" s="291"/>
      <c r="L68" s="291"/>
      <c r="M68" s="291"/>
      <c r="N68" s="291"/>
      <c r="O68" s="291"/>
      <c r="P68" s="587"/>
      <c r="R68" s="563"/>
      <c r="U68" s="229">
        <v>504</v>
      </c>
    </row>
    <row r="69" spans="1:31" ht="15.75" x14ac:dyDescent="0.25">
      <c r="A69" s="229">
        <v>69</v>
      </c>
      <c r="B69" s="572" t="s">
        <v>365</v>
      </c>
      <c r="C69" s="229" t="s">
        <v>548</v>
      </c>
      <c r="D69" s="291">
        <v>26545</v>
      </c>
      <c r="E69" s="291">
        <v>26585</v>
      </c>
      <c r="F69" s="291">
        <v>26564</v>
      </c>
      <c r="G69" s="291">
        <v>26465</v>
      </c>
      <c r="H69" s="291">
        <v>26386</v>
      </c>
      <c r="I69" s="291">
        <v>26319</v>
      </c>
      <c r="J69" s="291">
        <v>26276</v>
      </c>
      <c r="K69" s="291">
        <v>26268</v>
      </c>
      <c r="L69" s="291">
        <v>26300</v>
      </c>
      <c r="M69" s="291">
        <v>26526</v>
      </c>
      <c r="N69" s="291"/>
      <c r="O69" s="291">
        <v>26673</v>
      </c>
      <c r="P69" s="587">
        <v>26797</v>
      </c>
      <c r="Q69" s="584"/>
      <c r="R69" s="585"/>
      <c r="V69" s="588">
        <v>11976706</v>
      </c>
      <c r="W69" s="229" t="s">
        <v>31</v>
      </c>
      <c r="X69" s="291"/>
    </row>
    <row r="70" spans="1:31" ht="15.75" x14ac:dyDescent="0.25">
      <c r="A70" s="229">
        <v>70</v>
      </c>
      <c r="B70" s="572" t="s">
        <v>362</v>
      </c>
      <c r="C70" s="229" t="s">
        <v>381</v>
      </c>
      <c r="D70" s="294">
        <v>3043133.11</v>
      </c>
      <c r="E70" s="294">
        <v>3244574.11</v>
      </c>
      <c r="F70" s="294">
        <v>3697205.87</v>
      </c>
      <c r="G70" s="294">
        <v>2113981.9</v>
      </c>
      <c r="H70" s="294">
        <v>1248101.71</v>
      </c>
      <c r="I70" s="294">
        <v>805125.81</v>
      </c>
      <c r="J70" s="294">
        <v>709410.37</v>
      </c>
      <c r="K70" s="294">
        <v>648656</v>
      </c>
      <c r="L70" s="294">
        <v>620869.32999999996</v>
      </c>
      <c r="M70" s="294">
        <v>1126102.92</v>
      </c>
      <c r="N70" s="294"/>
      <c r="O70" s="294">
        <v>1834162.29</v>
      </c>
      <c r="P70" s="573">
        <v>2778115.34</v>
      </c>
      <c r="Q70" s="591"/>
      <c r="R70" s="578"/>
      <c r="T70" s="196" t="s">
        <v>28</v>
      </c>
      <c r="U70" s="590">
        <v>2778115.34</v>
      </c>
      <c r="V70" s="576">
        <f>U70/V69</f>
        <v>0.23195988446238888</v>
      </c>
      <c r="X70" s="576">
        <f>U70/V69</f>
        <v>0.23195988446238888</v>
      </c>
      <c r="Z70" s="229">
        <v>0.23141999999999999</v>
      </c>
      <c r="AB70" s="576">
        <f>Z70-X70</f>
        <v>-5.3988446238889543E-4</v>
      </c>
    </row>
    <row r="71" spans="1:31" ht="15.75" x14ac:dyDescent="0.25">
      <c r="A71" s="229">
        <v>71</v>
      </c>
      <c r="B71" s="572" t="s">
        <v>357</v>
      </c>
      <c r="C71" s="229" t="s">
        <v>384</v>
      </c>
      <c r="D71" s="294">
        <f>ROUND(ROUND(10187002*0.8988,0)*0.23142,2)</f>
        <v>2118899.34</v>
      </c>
      <c r="E71" s="294">
        <f>ROUND(ROUND(12666270*0.9016,0)*0.23142,2)</f>
        <v>2642795.34</v>
      </c>
      <c r="F71" s="294">
        <f>ROUND(ROUND(8619566*0.9062,0)*0.23142,2)</f>
        <v>1807633.42</v>
      </c>
      <c r="G71" s="294">
        <f>ROUND(ROUND(4713041*0.8984,0)*0.23142,2)</f>
        <v>979877.64</v>
      </c>
      <c r="H71" s="294">
        <f>ROUND(ROUND(2695771*0.8858,0)*0.23142,2)</f>
        <v>552611.06000000006</v>
      </c>
      <c r="I71" s="294">
        <f>ROUND(ROUND(2099565*0.8784,0)*0.23142,2)</f>
        <v>426798.19</v>
      </c>
      <c r="J71" s="294">
        <f>ROUND(ROUND(2183931*0.8827,0)*0.23142,2)</f>
        <v>446121.29</v>
      </c>
      <c r="K71" s="294">
        <f>ROUND(ROUND(1243727*0.8744,0)*0.23142,2)</f>
        <v>251672.72</v>
      </c>
      <c r="L71" s="294">
        <f>ROUND(ROUND(2978172*0.8851,0)*0.23142,2)</f>
        <v>610018.49</v>
      </c>
      <c r="M71" s="294">
        <f>ROUND(ROUND(6393900*0.8771,0)*0.23142,2)</f>
        <v>1297824.19</v>
      </c>
      <c r="N71" s="294"/>
      <c r="O71" s="294">
        <f>ROUND(ROUND(10324809*0.8841,0)*0.23142,2)</f>
        <v>2112439.71</v>
      </c>
      <c r="P71" s="573">
        <f>ROUND(ROUND(11506709*0.9041,0)*0.23142,2)</f>
        <v>2407512.25</v>
      </c>
      <c r="Q71" s="591"/>
      <c r="R71" s="578"/>
      <c r="T71" s="196" t="s">
        <v>11</v>
      </c>
      <c r="U71" s="590">
        <v>5228298.07</v>
      </c>
      <c r="V71" s="576">
        <f>U71/V69</f>
        <v>0.43653890059587336</v>
      </c>
      <c r="X71" s="576">
        <f>U71/V69</f>
        <v>0.43653890059587336</v>
      </c>
      <c r="Z71" s="229">
        <f>+Z59</f>
        <v>0.43558000000000002</v>
      </c>
      <c r="AB71" s="576">
        <f>Z71-X71</f>
        <v>-9.5890059587333543E-4</v>
      </c>
      <c r="AD71" s="591">
        <f>P71</f>
        <v>2407512.25</v>
      </c>
    </row>
    <row r="72" spans="1:31" x14ac:dyDescent="0.25">
      <c r="A72" s="229">
        <v>72</v>
      </c>
      <c r="B72" s="572" t="s">
        <v>357</v>
      </c>
      <c r="C72" s="229" t="s">
        <v>383</v>
      </c>
      <c r="D72" s="574">
        <f>-'[3]WACAP 2018'!O70</f>
        <v>-2112086.7999999998</v>
      </c>
      <c r="E72" s="574">
        <f t="shared" ref="E72:M72" si="35">-D71</f>
        <v>-2118899.34</v>
      </c>
      <c r="F72" s="574">
        <f t="shared" si="35"/>
        <v>-2642795.34</v>
      </c>
      <c r="G72" s="574">
        <f t="shared" si="35"/>
        <v>-1807633.42</v>
      </c>
      <c r="H72" s="574">
        <f t="shared" si="35"/>
        <v>-979877.64</v>
      </c>
      <c r="I72" s="574">
        <f t="shared" si="35"/>
        <v>-552611.06000000006</v>
      </c>
      <c r="J72" s="574">
        <f t="shared" si="35"/>
        <v>-426798.19</v>
      </c>
      <c r="K72" s="574">
        <f t="shared" si="35"/>
        <v>-446121.29</v>
      </c>
      <c r="L72" s="574">
        <f t="shared" si="35"/>
        <v>-251672.72</v>
      </c>
      <c r="M72" s="574">
        <f t="shared" si="35"/>
        <v>-610018.49</v>
      </c>
      <c r="N72" s="574"/>
      <c r="O72" s="574">
        <f>-M71</f>
        <v>-1297824.19</v>
      </c>
      <c r="P72" s="575">
        <f>-O71</f>
        <v>-2112439.71</v>
      </c>
      <c r="Q72" s="591"/>
      <c r="R72" s="578"/>
      <c r="T72" s="196"/>
      <c r="U72" s="294"/>
      <c r="V72" s="576"/>
      <c r="X72" s="576"/>
      <c r="AB72" s="576"/>
      <c r="AD72" s="591">
        <f>+D72</f>
        <v>-2112086.7999999998</v>
      </c>
      <c r="AE72" s="591"/>
    </row>
    <row r="73" spans="1:31" x14ac:dyDescent="0.25">
      <c r="A73" s="229">
        <v>73</v>
      </c>
      <c r="B73" s="572"/>
      <c r="C73" s="196" t="s">
        <v>355</v>
      </c>
      <c r="D73" s="294">
        <f t="shared" ref="D73:M73" si="36">SUM(D70:D72)</f>
        <v>3049945.6499999994</v>
      </c>
      <c r="E73" s="294">
        <f t="shared" si="36"/>
        <v>3768470.1099999994</v>
      </c>
      <c r="F73" s="294">
        <f t="shared" si="36"/>
        <v>2862043.95</v>
      </c>
      <c r="G73" s="294">
        <f t="shared" si="36"/>
        <v>1286226.1200000001</v>
      </c>
      <c r="H73" s="294">
        <f t="shared" si="36"/>
        <v>820835.13</v>
      </c>
      <c r="I73" s="294">
        <f t="shared" si="36"/>
        <v>679312.94</v>
      </c>
      <c r="J73" s="294">
        <f t="shared" si="36"/>
        <v>728733.47</v>
      </c>
      <c r="K73" s="294">
        <f t="shared" si="36"/>
        <v>454207.43</v>
      </c>
      <c r="L73" s="294">
        <f t="shared" si="36"/>
        <v>979215.09999999986</v>
      </c>
      <c r="M73" s="294">
        <f t="shared" si="36"/>
        <v>1813908.6199999999</v>
      </c>
      <c r="N73" s="294"/>
      <c r="O73" s="294">
        <f>SUM(O70:O72)</f>
        <v>2648777.81</v>
      </c>
      <c r="P73" s="573">
        <f>SUM(P70:P72)</f>
        <v>3073187.88</v>
      </c>
      <c r="R73" s="563"/>
    </row>
    <row r="74" spans="1:31" x14ac:dyDescent="0.25">
      <c r="A74" s="229">
        <v>74</v>
      </c>
      <c r="B74" s="572"/>
      <c r="C74" s="196" t="s">
        <v>354</v>
      </c>
      <c r="D74" s="574">
        <f>ROUND(-'[3]Authorized Margins 2018'!J12*'WACAP 2019'!D69,2)</f>
        <v>-3388469.25</v>
      </c>
      <c r="E74" s="574">
        <f>ROUND(-'[3]Authorized Margins 2018'!K12*'WACAP 2019'!E69,2)</f>
        <v>-2497129.0499999998</v>
      </c>
      <c r="F74" s="574">
        <f>ROUND(-'[3]Authorized Margins 2018'!L12*'WACAP 2019'!F69,2)</f>
        <v>-2080492.48</v>
      </c>
      <c r="G74" s="574">
        <f>ROUND(-'[3]Authorized Margins 2018'!M12*'WACAP 2019'!G69,2)</f>
        <v>-1276671.6000000001</v>
      </c>
      <c r="H74" s="574">
        <f>ROUND(-'[3]Authorized Margins 2018'!N12*'WACAP 2019'!H69,2)</f>
        <v>-823770.92</v>
      </c>
      <c r="I74" s="574">
        <f>ROUND(-'[3]Authorized Margins 2018'!O12*'WACAP 2019'!I69,2)</f>
        <v>-627708.15</v>
      </c>
      <c r="J74" s="574">
        <f>ROUND(-'[3]Authorized Margins 2018'!D12*'WACAP 2019'!J69,2)</f>
        <v>-642448.19999999995</v>
      </c>
      <c r="K74" s="574">
        <f>ROUND(-'[3]Authorized Margins 2018'!E12*'WACAP 2019'!K69,2)</f>
        <v>-567388.80000000005</v>
      </c>
      <c r="L74" s="574">
        <f>ROUND(-'[3]Authorized Margins 2018'!F12*'WACAP 2019'!L69,2)</f>
        <v>-842915</v>
      </c>
      <c r="M74" s="574">
        <f>ROUND(-'[3]Authorized Margins 2018'!G12*'WACAP 2019'!M69,2)</f>
        <v>-1575379.14</v>
      </c>
      <c r="N74" s="574"/>
      <c r="O74" s="574">
        <f>ROUND(-'[3]Authorized Margins 2018'!H12*'WACAP 2019'!O69,2)</f>
        <v>-2396302.3199999998</v>
      </c>
      <c r="P74" s="575">
        <f>ROUND(-'[3]Authorized Margins 2018'!I12*'WACAP 2019'!P69,2)</f>
        <v>-3403219</v>
      </c>
      <c r="R74" s="563"/>
    </row>
    <row r="75" spans="1:31" x14ac:dyDescent="0.25">
      <c r="A75" s="229">
        <v>75</v>
      </c>
      <c r="B75" s="572"/>
      <c r="C75" s="196" t="s">
        <v>353</v>
      </c>
      <c r="D75" s="294">
        <f t="shared" ref="D75:M75" si="37">SUM(D73:D74)</f>
        <v>-338523.60000000056</v>
      </c>
      <c r="E75" s="294">
        <f t="shared" si="37"/>
        <v>1271341.0599999996</v>
      </c>
      <c r="F75" s="294">
        <f t="shared" si="37"/>
        <v>781551.4700000002</v>
      </c>
      <c r="G75" s="294">
        <f t="shared" si="37"/>
        <v>9554.5200000000186</v>
      </c>
      <c r="H75" s="294">
        <f t="shared" si="37"/>
        <v>-2935.7900000000373</v>
      </c>
      <c r="I75" s="294">
        <f t="shared" si="37"/>
        <v>51604.789999999921</v>
      </c>
      <c r="J75" s="294">
        <f t="shared" si="37"/>
        <v>86285.270000000019</v>
      </c>
      <c r="K75" s="294">
        <f t="shared" si="37"/>
        <v>-113181.37000000005</v>
      </c>
      <c r="L75" s="294">
        <f t="shared" si="37"/>
        <v>136300.09999999986</v>
      </c>
      <c r="M75" s="294">
        <f t="shared" si="37"/>
        <v>238529.47999999998</v>
      </c>
      <c r="N75" s="294">
        <f>-'[3]WACAP 2018'!Q76</f>
        <v>28946.250000001055</v>
      </c>
      <c r="O75" s="294">
        <f>SUM(O73:O74)</f>
        <v>252475.49000000022</v>
      </c>
      <c r="P75" s="573">
        <f>SUM(P73:P74)</f>
        <v>-330031.12000000011</v>
      </c>
      <c r="R75" s="578">
        <f>SUM(D75:Q75)-N75</f>
        <v>2042970.2999999986</v>
      </c>
    </row>
    <row r="76" spans="1:31" x14ac:dyDescent="0.25">
      <c r="A76" s="229">
        <v>76</v>
      </c>
      <c r="B76" s="572"/>
      <c r="C76" s="196" t="s">
        <v>352</v>
      </c>
      <c r="D76" s="294">
        <f>ROUND(ROUND('[3]WACAP 2018'!O77*D$6,2)/365*D$7,2)</f>
        <v>-127.35</v>
      </c>
      <c r="E76" s="294">
        <f t="shared" ref="E76:M76" si="38">ROUND(ROUND(D78*E$6,2)/365*E$7,2)</f>
        <v>-1460.72</v>
      </c>
      <c r="F76" s="294">
        <f t="shared" si="38"/>
        <v>3969.55</v>
      </c>
      <c r="G76" s="294">
        <f t="shared" si="38"/>
        <v>7560.44</v>
      </c>
      <c r="H76" s="294">
        <f t="shared" si="38"/>
        <v>7891.67</v>
      </c>
      <c r="I76" s="294">
        <f t="shared" si="38"/>
        <v>7659.3</v>
      </c>
      <c r="J76" s="294">
        <f t="shared" si="38"/>
        <v>8264.06</v>
      </c>
      <c r="K76" s="294">
        <f t="shared" si="38"/>
        <v>8705.7199999999993</v>
      </c>
      <c r="L76" s="294">
        <f t="shared" si="38"/>
        <v>7952.61</v>
      </c>
      <c r="M76" s="294">
        <f t="shared" si="38"/>
        <v>8762.2000000000007</v>
      </c>
      <c r="N76" s="294">
        <f>'[3]Ammort Split 2019'!N75</f>
        <v>1324.06</v>
      </c>
      <c r="O76" s="294">
        <f>ROUND(ROUND(N78*O$6,2)/365*O$7,2)</f>
        <v>9716.0300000000007</v>
      </c>
      <c r="P76" s="573">
        <f>ROUND(ROUND(O78*P$6,2)/365*P$7,2)</f>
        <v>11246.84</v>
      </c>
      <c r="R76" s="579">
        <f>SUM(D76:Q76)</f>
        <v>81464.409999999989</v>
      </c>
    </row>
    <row r="77" spans="1:31" x14ac:dyDescent="0.25">
      <c r="A77" s="229">
        <v>77</v>
      </c>
      <c r="B77" s="572"/>
      <c r="C77" s="196" t="s">
        <v>351</v>
      </c>
      <c r="D77" s="574">
        <f t="shared" ref="D77:P77" si="39">SUM(D75:D76)</f>
        <v>-338650.95000000054</v>
      </c>
      <c r="E77" s="574">
        <f t="shared" si="39"/>
        <v>1269880.3399999996</v>
      </c>
      <c r="F77" s="574">
        <f t="shared" si="39"/>
        <v>785521.02000000025</v>
      </c>
      <c r="G77" s="574">
        <f t="shared" si="39"/>
        <v>17114.960000000017</v>
      </c>
      <c r="H77" s="574">
        <f t="shared" si="39"/>
        <v>4955.8799999999628</v>
      </c>
      <c r="I77" s="574">
        <f t="shared" si="39"/>
        <v>59264.089999999924</v>
      </c>
      <c r="J77" s="574">
        <f t="shared" si="39"/>
        <v>94549.330000000016</v>
      </c>
      <c r="K77" s="574">
        <f t="shared" si="39"/>
        <v>-104475.65000000005</v>
      </c>
      <c r="L77" s="574">
        <f t="shared" si="39"/>
        <v>144252.70999999985</v>
      </c>
      <c r="M77" s="574">
        <f t="shared" si="39"/>
        <v>247291.68</v>
      </c>
      <c r="N77" s="574">
        <f t="shared" si="39"/>
        <v>30270.310000001056</v>
      </c>
      <c r="O77" s="574">
        <f t="shared" si="39"/>
        <v>262191.52000000025</v>
      </c>
      <c r="P77" s="575">
        <f t="shared" si="39"/>
        <v>-318784.28000000009</v>
      </c>
      <c r="R77" s="580">
        <f>SUM(R75:R76)</f>
        <v>2124434.7099999986</v>
      </c>
    </row>
    <row r="78" spans="1:31" x14ac:dyDescent="0.25">
      <c r="A78" s="229">
        <v>78</v>
      </c>
      <c r="B78" s="572"/>
      <c r="C78" s="196" t="s">
        <v>349</v>
      </c>
      <c r="D78" s="294">
        <f>'[3]WACAP 2018'!O77+'WACAP 2019'!D77</f>
        <v>-367597.20000000222</v>
      </c>
      <c r="E78" s="294">
        <f t="shared" ref="E78:P78" si="40">D78+E77</f>
        <v>902283.13999999734</v>
      </c>
      <c r="F78" s="294">
        <f t="shared" si="40"/>
        <v>1687804.1599999976</v>
      </c>
      <c r="G78" s="294">
        <f t="shared" si="40"/>
        <v>1704919.1199999976</v>
      </c>
      <c r="H78" s="294">
        <f t="shared" si="40"/>
        <v>1709874.9999999974</v>
      </c>
      <c r="I78" s="294">
        <f t="shared" si="40"/>
        <v>1769139.0899999973</v>
      </c>
      <c r="J78" s="294">
        <f t="shared" si="40"/>
        <v>1863688.4199999974</v>
      </c>
      <c r="K78" s="294">
        <f t="shared" si="40"/>
        <v>1759212.7699999972</v>
      </c>
      <c r="L78" s="294">
        <f t="shared" si="40"/>
        <v>1903465.4799999972</v>
      </c>
      <c r="M78" s="294">
        <f t="shared" si="40"/>
        <v>2150757.1599999974</v>
      </c>
      <c r="N78" s="294">
        <f t="shared" si="40"/>
        <v>2181027.4699999983</v>
      </c>
      <c r="O78" s="294">
        <f t="shared" si="40"/>
        <v>2443218.9899999984</v>
      </c>
      <c r="P78" s="581">
        <f t="shared" si="40"/>
        <v>2124434.7099999981</v>
      </c>
      <c r="R78" s="563"/>
      <c r="V78" s="591">
        <f>ROUND(U99/Z99,0)</f>
        <v>887875</v>
      </c>
    </row>
    <row r="79" spans="1:31" ht="15.75" thickBot="1" x14ac:dyDescent="0.3">
      <c r="A79" s="229">
        <v>79</v>
      </c>
      <c r="B79" s="604"/>
      <c r="C79" s="196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554"/>
      <c r="R79" s="554"/>
      <c r="T79" s="196"/>
      <c r="U79" s="294"/>
      <c r="V79" s="591">
        <f>ROUND(U100/Z100,0)</f>
        <v>275531</v>
      </c>
    </row>
    <row r="80" spans="1:31" x14ac:dyDescent="0.25">
      <c r="A80" s="229">
        <v>80</v>
      </c>
      <c r="B80" s="600" t="s">
        <v>382</v>
      </c>
      <c r="C80" s="599" t="s">
        <v>553</v>
      </c>
      <c r="D80" s="597"/>
      <c r="E80" s="597"/>
      <c r="F80" s="601"/>
      <c r="G80" s="597"/>
      <c r="H80" s="597"/>
      <c r="I80" s="597"/>
      <c r="J80" s="597"/>
      <c r="K80" s="597"/>
      <c r="L80" s="597"/>
      <c r="M80" s="597"/>
      <c r="N80" s="597"/>
      <c r="O80" s="597"/>
      <c r="P80" s="602"/>
      <c r="Q80" s="599"/>
      <c r="R80" s="603"/>
      <c r="T80" s="196"/>
      <c r="U80" s="294"/>
      <c r="V80" s="591"/>
    </row>
    <row r="81" spans="1:31" x14ac:dyDescent="0.25">
      <c r="A81" s="229">
        <v>81</v>
      </c>
      <c r="B81" s="572" t="s">
        <v>365</v>
      </c>
      <c r="C81" s="229" t="s">
        <v>548</v>
      </c>
      <c r="D81" s="291"/>
      <c r="E81" s="291"/>
      <c r="F81" s="291"/>
      <c r="G81" s="291"/>
      <c r="H81" s="291"/>
      <c r="I81" s="291"/>
      <c r="J81" s="291"/>
      <c r="K81" s="291"/>
      <c r="L81" s="291"/>
      <c r="M81" s="291">
        <v>7</v>
      </c>
      <c r="N81" s="291"/>
      <c r="O81" s="291">
        <v>7</v>
      </c>
      <c r="P81" s="587">
        <v>7</v>
      </c>
      <c r="Q81" s="584"/>
      <c r="R81" s="585"/>
      <c r="T81" s="196"/>
      <c r="U81" s="294"/>
      <c r="V81" s="591"/>
    </row>
    <row r="82" spans="1:31" x14ac:dyDescent="0.25">
      <c r="A82" s="229">
        <v>82</v>
      </c>
      <c r="B82" s="572" t="s">
        <v>362</v>
      </c>
      <c r="C82" s="229" t="s">
        <v>387</v>
      </c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>
        <v>18669.12</v>
      </c>
      <c r="P82" s="573">
        <v>19643.849999999999</v>
      </c>
      <c r="Q82" s="591"/>
      <c r="R82" s="578"/>
      <c r="T82" s="196"/>
      <c r="U82" s="294"/>
      <c r="V82" s="591"/>
    </row>
    <row r="83" spans="1:31" x14ac:dyDescent="0.25">
      <c r="A83" s="229">
        <v>83</v>
      </c>
      <c r="B83" s="572" t="s">
        <v>362</v>
      </c>
      <c r="C83" s="229" t="s">
        <v>386</v>
      </c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>
        <v>35157.15</v>
      </c>
      <c r="P83" s="573">
        <v>39654.980000000003</v>
      </c>
      <c r="Q83" s="591"/>
      <c r="R83" s="578"/>
      <c r="T83" s="196"/>
      <c r="U83" s="294"/>
      <c r="V83" s="591"/>
    </row>
    <row r="84" spans="1:31" x14ac:dyDescent="0.25">
      <c r="A84" s="229">
        <v>84</v>
      </c>
      <c r="B84" s="572" t="s">
        <v>362</v>
      </c>
      <c r="C84" s="229" t="s">
        <v>385</v>
      </c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>
        <v>24299.87</v>
      </c>
      <c r="P84" s="573">
        <v>27107.24</v>
      </c>
      <c r="Q84" s="591"/>
      <c r="R84" s="578"/>
      <c r="T84" s="196"/>
      <c r="U84" s="294"/>
      <c r="V84" s="591"/>
    </row>
    <row r="85" spans="1:31" x14ac:dyDescent="0.25">
      <c r="A85" s="229">
        <v>85</v>
      </c>
      <c r="B85" s="572" t="s">
        <v>357</v>
      </c>
      <c r="C85" s="605" t="s">
        <v>552</v>
      </c>
      <c r="D85" s="294"/>
      <c r="E85" s="294"/>
      <c r="F85" s="294"/>
      <c r="G85" s="294"/>
      <c r="H85" s="294"/>
      <c r="I85" s="294"/>
      <c r="J85" s="294"/>
      <c r="K85" s="294"/>
      <c r="L85" s="294"/>
      <c r="M85" s="294">
        <v>18669.12</v>
      </c>
      <c r="N85" s="294"/>
      <c r="O85" s="294">
        <v>19643.849999999999</v>
      </c>
      <c r="P85" s="573">
        <v>19935.75</v>
      </c>
      <c r="Q85" s="591"/>
      <c r="R85" s="578"/>
      <c r="T85" s="196"/>
      <c r="U85" s="294"/>
      <c r="V85" s="591"/>
      <c r="AD85" s="591"/>
    </row>
    <row r="86" spans="1:31" x14ac:dyDescent="0.25">
      <c r="A86" s="229">
        <v>86</v>
      </c>
      <c r="B86" s="572" t="s">
        <v>357</v>
      </c>
      <c r="C86" s="605" t="s">
        <v>551</v>
      </c>
      <c r="D86" s="294"/>
      <c r="E86" s="294"/>
      <c r="F86" s="294"/>
      <c r="G86" s="294"/>
      <c r="H86" s="294"/>
      <c r="I86" s="294"/>
      <c r="J86" s="294"/>
      <c r="K86" s="294"/>
      <c r="L86" s="294"/>
      <c r="M86" s="294">
        <v>35157.15</v>
      </c>
      <c r="N86" s="294"/>
      <c r="O86" s="294">
        <v>39654.980000000003</v>
      </c>
      <c r="P86" s="573">
        <v>41795.550000000003</v>
      </c>
      <c r="Q86" s="591"/>
      <c r="R86" s="578"/>
      <c r="T86" s="196"/>
      <c r="U86" s="294"/>
      <c r="V86" s="591"/>
      <c r="AD86" s="591"/>
    </row>
    <row r="87" spans="1:31" x14ac:dyDescent="0.25">
      <c r="A87" s="229">
        <v>87</v>
      </c>
      <c r="B87" s="572" t="s">
        <v>357</v>
      </c>
      <c r="C87" s="605" t="s">
        <v>550</v>
      </c>
      <c r="D87" s="294"/>
      <c r="E87" s="294"/>
      <c r="F87" s="294"/>
      <c r="G87" s="294"/>
      <c r="H87" s="294"/>
      <c r="I87" s="294"/>
      <c r="J87" s="294"/>
      <c r="K87" s="294"/>
      <c r="L87" s="294"/>
      <c r="M87" s="294">
        <v>24299.87</v>
      </c>
      <c r="N87" s="294"/>
      <c r="O87" s="294">
        <v>27107.24</v>
      </c>
      <c r="P87" s="573">
        <v>31678.16</v>
      </c>
      <c r="Q87" s="591"/>
      <c r="R87" s="578"/>
      <c r="T87" s="196"/>
      <c r="U87" s="294"/>
      <c r="V87" s="591"/>
      <c r="AD87" s="591"/>
    </row>
    <row r="88" spans="1:31" x14ac:dyDescent="0.25">
      <c r="A88" s="229">
        <v>88</v>
      </c>
      <c r="B88" s="572" t="s">
        <v>357</v>
      </c>
      <c r="C88" s="229" t="s">
        <v>389</v>
      </c>
      <c r="D88" s="574"/>
      <c r="E88" s="574">
        <f t="shared" ref="E88:M88" si="41">-D85</f>
        <v>0</v>
      </c>
      <c r="F88" s="574">
        <f t="shared" si="41"/>
        <v>0</v>
      </c>
      <c r="G88" s="574">
        <f t="shared" si="41"/>
        <v>0</v>
      </c>
      <c r="H88" s="574">
        <f t="shared" si="41"/>
        <v>0</v>
      </c>
      <c r="I88" s="574">
        <f t="shared" si="41"/>
        <v>0</v>
      </c>
      <c r="J88" s="574">
        <f t="shared" si="41"/>
        <v>0</v>
      </c>
      <c r="K88" s="574">
        <f t="shared" si="41"/>
        <v>0</v>
      </c>
      <c r="L88" s="574">
        <f t="shared" si="41"/>
        <v>0</v>
      </c>
      <c r="M88" s="574">
        <f t="shared" si="41"/>
        <v>0</v>
      </c>
      <c r="N88" s="294"/>
      <c r="O88" s="574">
        <f>-M85-M86-M87</f>
        <v>-78126.14</v>
      </c>
      <c r="P88" s="574">
        <f>-O85-O86-O87</f>
        <v>-86406.07</v>
      </c>
      <c r="Q88" s="578"/>
      <c r="R88" s="578"/>
      <c r="T88" s="196"/>
      <c r="U88" s="294"/>
      <c r="V88" s="591"/>
      <c r="AD88" s="591">
        <f>M88</f>
        <v>0</v>
      </c>
      <c r="AE88" s="591">
        <f>SUM(AD85:AD88)</f>
        <v>0</v>
      </c>
    </row>
    <row r="89" spans="1:31" x14ac:dyDescent="0.25">
      <c r="A89" s="229">
        <v>89</v>
      </c>
      <c r="B89" s="572"/>
      <c r="C89" s="196" t="s">
        <v>355</v>
      </c>
      <c r="D89" s="294">
        <f t="shared" ref="D89:M89" si="42">SUM(D82:D88)</f>
        <v>0</v>
      </c>
      <c r="E89" s="294">
        <f t="shared" si="42"/>
        <v>0</v>
      </c>
      <c r="F89" s="294">
        <f t="shared" si="42"/>
        <v>0</v>
      </c>
      <c r="G89" s="294">
        <f t="shared" si="42"/>
        <v>0</v>
      </c>
      <c r="H89" s="294">
        <f t="shared" si="42"/>
        <v>0</v>
      </c>
      <c r="I89" s="294">
        <f t="shared" si="42"/>
        <v>0</v>
      </c>
      <c r="J89" s="294">
        <f t="shared" si="42"/>
        <v>0</v>
      </c>
      <c r="K89" s="294">
        <f t="shared" si="42"/>
        <v>0</v>
      </c>
      <c r="L89" s="294">
        <f t="shared" si="42"/>
        <v>0</v>
      </c>
      <c r="M89" s="294">
        <f t="shared" si="42"/>
        <v>78126.14</v>
      </c>
      <c r="N89" s="595"/>
      <c r="O89" s="294">
        <f>SUM(O82:O88)</f>
        <v>86406.069999999992</v>
      </c>
      <c r="P89" s="573">
        <f>SUM(P82:P88)</f>
        <v>93409.459999999992</v>
      </c>
      <c r="R89" s="563"/>
      <c r="T89" s="196"/>
      <c r="U89" s="294"/>
      <c r="V89" s="591"/>
    </row>
    <row r="90" spans="1:31" x14ac:dyDescent="0.25">
      <c r="A90" s="229">
        <v>90</v>
      </c>
      <c r="B90" s="572"/>
      <c r="C90" s="196" t="s">
        <v>354</v>
      </c>
      <c r="D90" s="574">
        <f>ROUND(-'[3]Authorized Margins 2018'!J36*'WACAP 2019'!D81,2)</f>
        <v>0</v>
      </c>
      <c r="E90" s="574">
        <f>ROUND(-'[3]Authorized Margins 2018'!K36*'WACAP 2019'!E81,2)</f>
        <v>0</v>
      </c>
      <c r="F90" s="574">
        <f>ROUND(-'[3]Authorized Margins 2018'!L36*'WACAP 2019'!F81,2)</f>
        <v>0</v>
      </c>
      <c r="G90" s="574">
        <f>ROUND(-'[3]Authorized Margins 2018'!M36*'WACAP 2019'!G81,2)</f>
        <v>0</v>
      </c>
      <c r="H90" s="574">
        <f>ROUND(-'[3]Authorized Margins 2018'!N36*'WACAP 2019'!H81,2)</f>
        <v>0</v>
      </c>
      <c r="I90" s="574">
        <f>ROUND(-'[3]Authorized Margins 2018'!O36*'WACAP 2019'!I81,2)</f>
        <v>0</v>
      </c>
      <c r="J90" s="574">
        <f>ROUND(-'[3]Authorized Margins 2018'!D36*'WACAP 2019'!J81,2)</f>
        <v>0</v>
      </c>
      <c r="K90" s="574">
        <f>ROUND(-'[3]Authorized Margins 2018'!E36*'WACAP 2019'!K81,2)</f>
        <v>0</v>
      </c>
      <c r="L90" s="574">
        <f>ROUND(-'[3]Authorized Margins 2018'!F36*'WACAP 2019'!L81,2)</f>
        <v>0</v>
      </c>
      <c r="M90" s="574">
        <f>ROUND(-'[3]Authorized Margins 2018'!G16*'WACAP 2019'!M81,2)</f>
        <v>-6053.04</v>
      </c>
      <c r="N90" s="574"/>
      <c r="O90" s="574">
        <f>ROUND(-'[3]Authorized Margins 2018'!H16*'WACAP 2019'!O81,2)</f>
        <v>-8138.34</v>
      </c>
      <c r="P90" s="575">
        <f>ROUND(-'[3]Authorized Margins 2018'!I16*'WACAP 2019'!P81,2)</f>
        <v>-13180.02</v>
      </c>
      <c r="R90" s="563"/>
      <c r="T90" s="196"/>
      <c r="U90" s="294"/>
      <c r="V90" s="591"/>
    </row>
    <row r="91" spans="1:31" x14ac:dyDescent="0.25">
      <c r="A91" s="229">
        <v>91</v>
      </c>
      <c r="B91" s="572"/>
      <c r="C91" s="196" t="s">
        <v>353</v>
      </c>
      <c r="D91" s="294">
        <f t="shared" ref="D91:M91" si="43">SUM(D89:D90)</f>
        <v>0</v>
      </c>
      <c r="E91" s="294">
        <f t="shared" si="43"/>
        <v>0</v>
      </c>
      <c r="F91" s="294">
        <f t="shared" si="43"/>
        <v>0</v>
      </c>
      <c r="G91" s="294">
        <f t="shared" si="43"/>
        <v>0</v>
      </c>
      <c r="H91" s="294">
        <f t="shared" si="43"/>
        <v>0</v>
      </c>
      <c r="I91" s="294">
        <f t="shared" si="43"/>
        <v>0</v>
      </c>
      <c r="J91" s="294">
        <f t="shared" si="43"/>
        <v>0</v>
      </c>
      <c r="K91" s="294">
        <f t="shared" si="43"/>
        <v>0</v>
      </c>
      <c r="L91" s="294">
        <f t="shared" si="43"/>
        <v>0</v>
      </c>
      <c r="M91" s="294">
        <f t="shared" si="43"/>
        <v>72073.100000000006</v>
      </c>
      <c r="N91" s="294">
        <f>-'[3]WACAP 2018'!Q88</f>
        <v>0</v>
      </c>
      <c r="O91" s="294">
        <f>SUM(O89:O90)</f>
        <v>78267.73</v>
      </c>
      <c r="P91" s="573">
        <f>SUM(P89:P90)</f>
        <v>80229.439999999988</v>
      </c>
      <c r="R91" s="578">
        <f>SUM(D91:Q91)-N91</f>
        <v>230570.27000000002</v>
      </c>
      <c r="T91" s="196"/>
      <c r="U91" s="294"/>
      <c r="V91" s="591"/>
    </row>
    <row r="92" spans="1:31" x14ac:dyDescent="0.25">
      <c r="A92" s="229">
        <v>92</v>
      </c>
      <c r="B92" s="572"/>
      <c r="C92" s="196" t="s">
        <v>352</v>
      </c>
      <c r="D92" s="294"/>
      <c r="E92" s="294"/>
      <c r="F92" s="294"/>
      <c r="G92" s="294"/>
      <c r="H92" s="294"/>
      <c r="I92" s="294"/>
      <c r="J92" s="294"/>
      <c r="K92" s="294"/>
      <c r="L92" s="294"/>
      <c r="M92" s="294">
        <f>ROUND(ROUND(L94*M$6,2)/365*M$7,2)</f>
        <v>0</v>
      </c>
      <c r="N92" s="294">
        <f>'[3]Ammort Split 2019'!N87</f>
        <v>0</v>
      </c>
      <c r="O92" s="294">
        <f>ROUND(ROUND(N94*O$6,2)/365*O$7,2)</f>
        <v>321.07</v>
      </c>
      <c r="P92" s="573">
        <f>ROUND(ROUND(O94*P$6,2)/365*P$7,2)</f>
        <v>693.54</v>
      </c>
      <c r="R92" s="579">
        <f>SUM(D92:Q92)</f>
        <v>1014.6099999999999</v>
      </c>
      <c r="T92" s="196"/>
      <c r="U92" s="294"/>
      <c r="V92" s="591"/>
    </row>
    <row r="93" spans="1:31" x14ac:dyDescent="0.25">
      <c r="A93" s="229">
        <v>93</v>
      </c>
      <c r="B93" s="572"/>
      <c r="C93" s="196" t="s">
        <v>351</v>
      </c>
      <c r="D93" s="574">
        <f t="shared" ref="D93:P93" si="44">SUM(D91:D92)</f>
        <v>0</v>
      </c>
      <c r="E93" s="574">
        <f t="shared" si="44"/>
        <v>0</v>
      </c>
      <c r="F93" s="574">
        <f t="shared" si="44"/>
        <v>0</v>
      </c>
      <c r="G93" s="574">
        <f t="shared" si="44"/>
        <v>0</v>
      </c>
      <c r="H93" s="574">
        <f t="shared" si="44"/>
        <v>0</v>
      </c>
      <c r="I93" s="574">
        <f t="shared" si="44"/>
        <v>0</v>
      </c>
      <c r="J93" s="574">
        <f t="shared" si="44"/>
        <v>0</v>
      </c>
      <c r="K93" s="574">
        <f t="shared" si="44"/>
        <v>0</v>
      </c>
      <c r="L93" s="574">
        <f t="shared" si="44"/>
        <v>0</v>
      </c>
      <c r="M93" s="574">
        <f t="shared" si="44"/>
        <v>72073.100000000006</v>
      </c>
      <c r="N93" s="574">
        <f t="shared" si="44"/>
        <v>0</v>
      </c>
      <c r="O93" s="574">
        <f t="shared" si="44"/>
        <v>78588.800000000003</v>
      </c>
      <c r="P93" s="575">
        <f t="shared" si="44"/>
        <v>80922.979999999981</v>
      </c>
      <c r="R93" s="580">
        <f>SUM(R91:R92)</f>
        <v>231584.88</v>
      </c>
      <c r="T93" s="196"/>
      <c r="U93" s="294"/>
      <c r="V93" s="591"/>
    </row>
    <row r="94" spans="1:31" x14ac:dyDescent="0.25">
      <c r="A94" s="229">
        <v>94</v>
      </c>
      <c r="B94" s="572"/>
      <c r="C94" s="196" t="s">
        <v>349</v>
      </c>
      <c r="D94" s="294"/>
      <c r="E94" s="294">
        <f t="shared" ref="E94:P94" si="45">D94+E93</f>
        <v>0</v>
      </c>
      <c r="F94" s="294">
        <f t="shared" si="45"/>
        <v>0</v>
      </c>
      <c r="G94" s="294">
        <f t="shared" si="45"/>
        <v>0</v>
      </c>
      <c r="H94" s="294">
        <f t="shared" si="45"/>
        <v>0</v>
      </c>
      <c r="I94" s="294">
        <f t="shared" si="45"/>
        <v>0</v>
      </c>
      <c r="J94" s="294">
        <f t="shared" si="45"/>
        <v>0</v>
      </c>
      <c r="K94" s="294">
        <f t="shared" si="45"/>
        <v>0</v>
      </c>
      <c r="L94" s="294">
        <f t="shared" si="45"/>
        <v>0</v>
      </c>
      <c r="M94" s="294">
        <f t="shared" si="45"/>
        <v>72073.100000000006</v>
      </c>
      <c r="N94" s="294">
        <f t="shared" si="45"/>
        <v>72073.100000000006</v>
      </c>
      <c r="O94" s="294">
        <f t="shared" si="45"/>
        <v>150661.90000000002</v>
      </c>
      <c r="P94" s="581">
        <f t="shared" si="45"/>
        <v>231584.88</v>
      </c>
      <c r="R94" s="563"/>
      <c r="T94" s="196"/>
      <c r="U94" s="294"/>
      <c r="V94" s="591"/>
    </row>
    <row r="95" spans="1:31" x14ac:dyDescent="0.25">
      <c r="A95" s="229">
        <v>95</v>
      </c>
      <c r="B95" s="572"/>
      <c r="C95" s="196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1"/>
      <c r="O95" s="294"/>
      <c r="P95" s="573"/>
      <c r="R95" s="563"/>
      <c r="T95" s="196"/>
      <c r="U95" s="294"/>
      <c r="V95" s="591"/>
    </row>
    <row r="96" spans="1:31" x14ac:dyDescent="0.25">
      <c r="A96" s="229">
        <v>96</v>
      </c>
      <c r="B96" s="586" t="s">
        <v>382</v>
      </c>
      <c r="C96" s="264">
        <v>511</v>
      </c>
      <c r="D96" s="291"/>
      <c r="E96" s="291"/>
      <c r="F96" s="294"/>
      <c r="G96" s="291"/>
      <c r="H96" s="291"/>
      <c r="I96" s="291"/>
      <c r="J96" s="291"/>
      <c r="K96" s="291"/>
      <c r="L96" s="291"/>
      <c r="M96" s="291"/>
      <c r="N96" s="291"/>
      <c r="O96" s="291"/>
      <c r="P96" s="587"/>
      <c r="R96" s="563"/>
      <c r="U96" s="229">
        <v>511</v>
      </c>
      <c r="V96" s="591">
        <f>ROUND(U101/Z101,0)</f>
        <v>106750</v>
      </c>
      <c r="W96" s="591">
        <f>SUM(V76:V96)</f>
        <v>1270156</v>
      </c>
    </row>
    <row r="97" spans="1:30" ht="15.75" x14ac:dyDescent="0.25">
      <c r="A97" s="229">
        <v>97</v>
      </c>
      <c r="B97" s="572" t="s">
        <v>365</v>
      </c>
      <c r="C97" s="229" t="s">
        <v>548</v>
      </c>
      <c r="D97" s="291">
        <v>74</v>
      </c>
      <c r="E97" s="291">
        <v>74</v>
      </c>
      <c r="F97" s="291">
        <v>73</v>
      </c>
      <c r="G97" s="291">
        <v>73</v>
      </c>
      <c r="H97" s="291">
        <v>73</v>
      </c>
      <c r="I97" s="291">
        <v>73</v>
      </c>
      <c r="J97" s="291">
        <v>74</v>
      </c>
      <c r="K97" s="291">
        <v>75</v>
      </c>
      <c r="L97" s="291">
        <v>75</v>
      </c>
      <c r="M97" s="291">
        <v>75</v>
      </c>
      <c r="N97" s="291"/>
      <c r="O97" s="291">
        <v>75</v>
      </c>
      <c r="P97" s="587">
        <v>75</v>
      </c>
      <c r="Q97" s="584"/>
      <c r="R97" s="585"/>
      <c r="V97" s="588">
        <v>1270156</v>
      </c>
      <c r="W97" s="229" t="s">
        <v>31</v>
      </c>
      <c r="X97" s="291"/>
    </row>
    <row r="98" spans="1:30" x14ac:dyDescent="0.25">
      <c r="A98" s="229">
        <v>98</v>
      </c>
      <c r="B98" s="572" t="s">
        <v>362</v>
      </c>
      <c r="C98" s="229" t="s">
        <v>388</v>
      </c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573"/>
      <c r="Q98" s="591"/>
      <c r="R98" s="578"/>
      <c r="T98" s="196" t="s">
        <v>28</v>
      </c>
      <c r="U98" s="294"/>
      <c r="V98" s="576"/>
      <c r="X98" s="576"/>
      <c r="AB98" s="576">
        <f>Z98-X98</f>
        <v>0</v>
      </c>
    </row>
    <row r="99" spans="1:30" ht="15.75" x14ac:dyDescent="0.25">
      <c r="A99" s="229">
        <v>99</v>
      </c>
      <c r="B99" s="572" t="s">
        <v>362</v>
      </c>
      <c r="C99" s="229" t="s">
        <v>387</v>
      </c>
      <c r="D99" s="294">
        <v>137096.94</v>
      </c>
      <c r="E99" s="294">
        <v>142202.75</v>
      </c>
      <c r="F99" s="294">
        <v>148808.72</v>
      </c>
      <c r="G99" s="294">
        <v>101345.27</v>
      </c>
      <c r="H99" s="294">
        <v>68346.91</v>
      </c>
      <c r="I99" s="294">
        <v>49023.82</v>
      </c>
      <c r="J99" s="294">
        <v>39985.11</v>
      </c>
      <c r="K99" s="294">
        <v>42022.45</v>
      </c>
      <c r="L99" s="294">
        <v>36146.300000000003</v>
      </c>
      <c r="M99" s="294">
        <v>62882.46</v>
      </c>
      <c r="N99" s="294"/>
      <c r="O99" s="294">
        <v>97254.58</v>
      </c>
      <c r="P99" s="573">
        <v>127232.51</v>
      </c>
      <c r="Q99" s="591"/>
      <c r="R99" s="578"/>
      <c r="T99" s="196" t="s">
        <v>28</v>
      </c>
      <c r="U99" s="590">
        <v>127232.51</v>
      </c>
      <c r="V99" s="576">
        <f>U99/V78</f>
        <v>0.14330002534140504</v>
      </c>
      <c r="X99" s="576">
        <f>U99/V78</f>
        <v>0.14330002534140504</v>
      </c>
      <c r="Z99" s="592">
        <v>0.14330000000000001</v>
      </c>
      <c r="AB99" s="576">
        <f>Z99-X99</f>
        <v>-2.5341405029966069E-8</v>
      </c>
    </row>
    <row r="100" spans="1:30" ht="15.75" x14ac:dyDescent="0.25">
      <c r="A100" s="229">
        <v>100</v>
      </c>
      <c r="B100" s="572" t="s">
        <v>362</v>
      </c>
      <c r="C100" s="229" t="s">
        <v>386</v>
      </c>
      <c r="D100" s="294">
        <v>40242.300000000003</v>
      </c>
      <c r="E100" s="294">
        <v>40294.370000000003</v>
      </c>
      <c r="F100" s="294">
        <v>44890.31</v>
      </c>
      <c r="G100" s="294">
        <v>28516.880000000001</v>
      </c>
      <c r="H100" s="294">
        <v>22122.75</v>
      </c>
      <c r="I100" s="294">
        <v>15140.33</v>
      </c>
      <c r="J100" s="294">
        <v>13956.5</v>
      </c>
      <c r="K100" s="294">
        <v>11827.35</v>
      </c>
      <c r="L100" s="294">
        <v>10390.42</v>
      </c>
      <c r="M100" s="294">
        <v>23311.23</v>
      </c>
      <c r="N100" s="294"/>
      <c r="O100" s="294">
        <v>30469.07</v>
      </c>
      <c r="P100" s="573">
        <v>30264.34</v>
      </c>
      <c r="Q100" s="591"/>
      <c r="R100" s="578"/>
      <c r="T100" s="196" t="s">
        <v>28</v>
      </c>
      <c r="U100" s="590">
        <v>30264.34</v>
      </c>
      <c r="V100" s="576">
        <f>U100/V79</f>
        <v>0.10984005429516099</v>
      </c>
      <c r="X100" s="576">
        <f>U100/V79</f>
        <v>0.10984005429516099</v>
      </c>
      <c r="Z100" s="229">
        <v>0.10983999999999999</v>
      </c>
      <c r="AB100" s="576">
        <f>Z100-X100</f>
        <v>-5.4295160992201552E-8</v>
      </c>
    </row>
    <row r="101" spans="1:30" ht="15.75" x14ac:dyDescent="0.25">
      <c r="A101" s="229">
        <v>101</v>
      </c>
      <c r="B101" s="572" t="s">
        <v>362</v>
      </c>
      <c r="C101" s="229" t="s">
        <v>385</v>
      </c>
      <c r="D101" s="294">
        <v>4186.92</v>
      </c>
      <c r="E101" s="294">
        <v>4559.41</v>
      </c>
      <c r="F101" s="294">
        <v>5498.64</v>
      </c>
      <c r="G101" s="294">
        <v>1679.4</v>
      </c>
      <c r="H101" s="294">
        <v>375.09</v>
      </c>
      <c r="I101" s="294">
        <v>0</v>
      </c>
      <c r="J101" s="294"/>
      <c r="K101" s="294"/>
      <c r="L101" s="294"/>
      <c r="M101" s="294">
        <v>794.06</v>
      </c>
      <c r="N101" s="294"/>
      <c r="O101" s="294">
        <v>2193.0700000000002</v>
      </c>
      <c r="P101" s="573">
        <v>2891.86</v>
      </c>
      <c r="Q101" s="591"/>
      <c r="R101" s="578"/>
      <c r="T101" s="196" t="s">
        <v>28</v>
      </c>
      <c r="U101" s="590">
        <v>2891.86</v>
      </c>
      <c r="V101" s="576">
        <f>U101/V96</f>
        <v>2.7090023419203749E-2</v>
      </c>
      <c r="X101" s="576">
        <f>U101/V96</f>
        <v>2.7090023419203749E-2</v>
      </c>
      <c r="Z101" s="229">
        <v>2.7089999999999999E-2</v>
      </c>
      <c r="AB101" s="576">
        <f>Z101-X101</f>
        <v>-2.3419203749874828E-8</v>
      </c>
    </row>
    <row r="102" spans="1:30" ht="15.75" x14ac:dyDescent="0.25">
      <c r="A102" s="229">
        <v>102</v>
      </c>
      <c r="B102" s="572" t="s">
        <v>357</v>
      </c>
      <c r="C102" s="229" t="s">
        <v>384</v>
      </c>
      <c r="D102" s="294">
        <f>ROUND(ROUND(10187002*0.1012,0)*0.10984,2)</f>
        <v>113236.8</v>
      </c>
      <c r="E102" s="294">
        <f>ROUND(ROUND(12666270*0.0984,0)*0.10984,2)</f>
        <v>136900.29</v>
      </c>
      <c r="F102" s="294">
        <f>ROUND(ROUND(8619566*0.0938,0)*0.10984,2)</f>
        <v>88807.29</v>
      </c>
      <c r="G102" s="294">
        <f>ROUND(ROUND(4713041*0.1016,0)*0.10984,2)</f>
        <v>52596.33</v>
      </c>
      <c r="H102" s="294">
        <f>ROUND(ROUND(2695771*0.1142,0)*0.10984,2)</f>
        <v>33815.01</v>
      </c>
      <c r="I102" s="294">
        <f>ROUND(ROUND(2099565*0.1216,0)*0.10984,2)</f>
        <v>28042.92</v>
      </c>
      <c r="J102" s="294">
        <f>ROUND(ROUND(2183931*0.1173,0)*0.10984,2)</f>
        <v>28138.26</v>
      </c>
      <c r="K102" s="294">
        <f>ROUND(ROUND(1243727*0.1256,0)*0.10984,2)</f>
        <v>17158.330000000002</v>
      </c>
      <c r="L102" s="294">
        <f>ROUND(ROUND(2978172*0.1149,0)*0.10984,2)</f>
        <v>37586.370000000003</v>
      </c>
      <c r="M102" s="294">
        <f>ROUND(ROUND(6393900*0.1229,0)*0.10984,2)</f>
        <v>86313.37</v>
      </c>
      <c r="N102" s="294"/>
      <c r="O102" s="294">
        <f>ROUND(ROUND(10324809*0.1159,0)*0.10984,2)</f>
        <v>131439.49</v>
      </c>
      <c r="P102" s="294">
        <f>ROUND(ROUND(11506709*0.0959,0)*0.10984,2)</f>
        <v>121207.67</v>
      </c>
      <c r="Q102" s="578"/>
      <c r="R102" s="578"/>
      <c r="T102" s="196" t="s">
        <v>11</v>
      </c>
      <c r="U102" s="590">
        <v>535932.37</v>
      </c>
      <c r="V102" s="576">
        <f>U102/V97</f>
        <v>0.42194216300989801</v>
      </c>
      <c r="X102" s="576">
        <f>U102/V97</f>
        <v>0.42194216300989801</v>
      </c>
      <c r="Z102" s="592">
        <f>+Z49</f>
        <v>0.42197000000000001</v>
      </c>
      <c r="AB102" s="576">
        <f>Z102-X102</f>
        <v>2.7836990102003689E-5</v>
      </c>
      <c r="AD102" s="591">
        <f>P102</f>
        <v>121207.67</v>
      </c>
    </row>
    <row r="103" spans="1:30" x14ac:dyDescent="0.25">
      <c r="A103" s="229">
        <v>103</v>
      </c>
      <c r="B103" s="572" t="s">
        <v>357</v>
      </c>
      <c r="C103" s="229" t="s">
        <v>383</v>
      </c>
      <c r="D103" s="574">
        <f>-'[3]WACAP 2018'!O85</f>
        <v>-120997.44</v>
      </c>
      <c r="E103" s="574">
        <f t="shared" ref="E103:M103" si="46">-D102</f>
        <v>-113236.8</v>
      </c>
      <c r="F103" s="574">
        <f t="shared" si="46"/>
        <v>-136900.29</v>
      </c>
      <c r="G103" s="574">
        <f t="shared" si="46"/>
        <v>-88807.29</v>
      </c>
      <c r="H103" s="574">
        <f t="shared" si="46"/>
        <v>-52596.33</v>
      </c>
      <c r="I103" s="574">
        <f t="shared" si="46"/>
        <v>-33815.01</v>
      </c>
      <c r="J103" s="574">
        <f t="shared" si="46"/>
        <v>-28042.92</v>
      </c>
      <c r="K103" s="574">
        <f t="shared" si="46"/>
        <v>-28138.26</v>
      </c>
      <c r="L103" s="574">
        <f t="shared" si="46"/>
        <v>-17158.330000000002</v>
      </c>
      <c r="M103" s="574">
        <f t="shared" si="46"/>
        <v>-37586.370000000003</v>
      </c>
      <c r="N103" s="574"/>
      <c r="O103" s="574">
        <f>-M102</f>
        <v>-86313.37</v>
      </c>
      <c r="P103" s="575">
        <f>-O102</f>
        <v>-131439.49</v>
      </c>
      <c r="Q103" s="591"/>
      <c r="R103" s="578"/>
      <c r="T103" s="196"/>
      <c r="U103" s="294"/>
      <c r="V103" s="576"/>
      <c r="X103" s="576"/>
      <c r="AB103" s="576"/>
      <c r="AD103" s="591">
        <f>D103</f>
        <v>-120997.44</v>
      </c>
    </row>
    <row r="104" spans="1:30" x14ac:dyDescent="0.25">
      <c r="A104" s="229">
        <v>104</v>
      </c>
      <c r="B104" s="572"/>
      <c r="C104" s="196" t="s">
        <v>355</v>
      </c>
      <c r="D104" s="294">
        <f t="shared" ref="D104:M104" si="47">SUM(D98:D103)</f>
        <v>173765.52000000002</v>
      </c>
      <c r="E104" s="294">
        <f t="shared" si="47"/>
        <v>210720.02000000002</v>
      </c>
      <c r="F104" s="294">
        <f t="shared" si="47"/>
        <v>151104.67000000001</v>
      </c>
      <c r="G104" s="294">
        <f t="shared" si="47"/>
        <v>95330.590000000011</v>
      </c>
      <c r="H104" s="294">
        <f t="shared" si="47"/>
        <v>72063.430000000008</v>
      </c>
      <c r="I104" s="294">
        <f t="shared" si="47"/>
        <v>58392.060000000005</v>
      </c>
      <c r="J104" s="294">
        <f t="shared" si="47"/>
        <v>54036.95</v>
      </c>
      <c r="K104" s="294">
        <f t="shared" si="47"/>
        <v>42869.87000000001</v>
      </c>
      <c r="L104" s="294">
        <f t="shared" si="47"/>
        <v>66964.759999999995</v>
      </c>
      <c r="M104" s="294">
        <f t="shared" si="47"/>
        <v>135714.75</v>
      </c>
      <c r="N104" s="294"/>
      <c r="O104" s="294">
        <f>SUM(O98:O103)</f>
        <v>175042.84</v>
      </c>
      <c r="P104" s="581">
        <f>SUM(P98:P103)</f>
        <v>150156.89000000001</v>
      </c>
      <c r="R104" s="563"/>
    </row>
    <row r="105" spans="1:30" x14ac:dyDescent="0.25">
      <c r="A105" s="229">
        <v>105</v>
      </c>
      <c r="B105" s="572"/>
      <c r="C105" s="196" t="s">
        <v>354</v>
      </c>
      <c r="D105" s="574">
        <f>ROUND(-'[3]Authorized Margins 2018'!J16*'WACAP 2019'!D97,2)</f>
        <v>-156336.84</v>
      </c>
      <c r="E105" s="574">
        <f>ROUND(-'[3]Authorized Margins 2018'!K16*'WACAP 2019'!E97,2)</f>
        <v>-126029.4</v>
      </c>
      <c r="F105" s="574">
        <f>ROUND(-'[3]Authorized Margins 2018'!L16*'WACAP 2019'!F97,2)</f>
        <v>-154119.06</v>
      </c>
      <c r="G105" s="574">
        <f>ROUND(-'[3]Authorized Margins 2018'!M16*'WACAP 2019'!G97,2)</f>
        <v>-95426.33</v>
      </c>
      <c r="H105" s="574">
        <f>ROUND(-'[3]Authorized Margins 2018'!N16*'WACAP 2019'!H97,2)</f>
        <v>-58226.26</v>
      </c>
      <c r="I105" s="574">
        <f>ROUND(-'[3]Authorized Margins 2018'!O16*'WACAP 2019'!I97,2)</f>
        <v>-63541.39</v>
      </c>
      <c r="J105" s="574">
        <f>ROUND(-'[3]Authorized Margins 2018'!D16*'WACAP 2019'!J97,2)</f>
        <v>-42476</v>
      </c>
      <c r="K105" s="574">
        <f>ROUND(-'[3]Authorized Margins 2018'!E16*'WACAP 2019'!K97,2)</f>
        <v>-60923.25</v>
      </c>
      <c r="L105" s="574">
        <f>ROUND(-'[3]Authorized Margins 2018'!F16*'WACAP 2019'!L97,2)</f>
        <v>-57103.5</v>
      </c>
      <c r="M105" s="574">
        <f>ROUND(-'[3]Authorized Margins 2018'!G16*'WACAP 2019'!M97,2)</f>
        <v>-64854</v>
      </c>
      <c r="N105" s="574"/>
      <c r="O105" s="574">
        <f>ROUND(-'[3]Authorized Margins 2018'!H16*'WACAP 2019'!O97,2)</f>
        <v>-87196.5</v>
      </c>
      <c r="P105" s="575">
        <f>ROUND(-'[3]Authorized Margins 2018'!I16*'WACAP 2019'!P97,2)</f>
        <v>-141214.5</v>
      </c>
      <c r="R105" s="563"/>
    </row>
    <row r="106" spans="1:30" x14ac:dyDescent="0.25">
      <c r="A106" s="229">
        <v>106</v>
      </c>
      <c r="B106" s="572"/>
      <c r="C106" s="196" t="s">
        <v>353</v>
      </c>
      <c r="D106" s="294">
        <f t="shared" ref="D106:M106" si="48">SUM(D104:D105)</f>
        <v>17428.680000000022</v>
      </c>
      <c r="E106" s="294">
        <f t="shared" si="48"/>
        <v>84690.620000000024</v>
      </c>
      <c r="F106" s="294">
        <f t="shared" si="48"/>
        <v>-3014.3899999999849</v>
      </c>
      <c r="G106" s="294">
        <f t="shared" si="48"/>
        <v>-95.739999999990687</v>
      </c>
      <c r="H106" s="294">
        <f t="shared" si="48"/>
        <v>13837.170000000006</v>
      </c>
      <c r="I106" s="294">
        <f t="shared" si="48"/>
        <v>-5149.3299999999945</v>
      </c>
      <c r="J106" s="294">
        <f t="shared" si="48"/>
        <v>11560.949999999997</v>
      </c>
      <c r="K106" s="294">
        <f t="shared" si="48"/>
        <v>-18053.37999999999</v>
      </c>
      <c r="L106" s="294">
        <f t="shared" si="48"/>
        <v>9861.2599999999948</v>
      </c>
      <c r="M106" s="294">
        <f t="shared" si="48"/>
        <v>70860.75</v>
      </c>
      <c r="N106" s="294">
        <f>-'[3]WACAP 2018'!Q91</f>
        <v>-233597.07000000004</v>
      </c>
      <c r="O106" s="294">
        <f>SUM(O104:O105)</f>
        <v>87846.34</v>
      </c>
      <c r="P106" s="573">
        <f>SUM(P104:P105)</f>
        <v>8942.390000000014</v>
      </c>
      <c r="R106" s="578">
        <f>SUM(D106:Q106)-N106</f>
        <v>278715.32000000007</v>
      </c>
    </row>
    <row r="107" spans="1:30" x14ac:dyDescent="0.25">
      <c r="A107" s="229">
        <v>107</v>
      </c>
      <c r="B107" s="572"/>
      <c r="C107" s="196" t="s">
        <v>352</v>
      </c>
      <c r="D107" s="294">
        <f>ROUND(ROUND('[3]WACAP 2018'!O92*D$6,2)/365*D$7,2)</f>
        <v>1027.7</v>
      </c>
      <c r="E107" s="294">
        <f t="shared" ref="E107:M107" si="49">ROUND(ROUND(D109*E$6,2)/365*E$7,2)</f>
        <v>1001.58</v>
      </c>
      <c r="F107" s="294">
        <f t="shared" si="49"/>
        <v>1485.9</v>
      </c>
      <c r="G107" s="294">
        <f t="shared" si="49"/>
        <v>1506.07</v>
      </c>
      <c r="H107" s="294">
        <f t="shared" si="49"/>
        <v>1562.8</v>
      </c>
      <c r="I107" s="294">
        <f t="shared" si="49"/>
        <v>1581.37</v>
      </c>
      <c r="J107" s="294">
        <f t="shared" si="49"/>
        <v>1632.41</v>
      </c>
      <c r="K107" s="294">
        <f t="shared" si="49"/>
        <v>1694.04</v>
      </c>
      <c r="L107" s="294">
        <f t="shared" si="49"/>
        <v>1565.44</v>
      </c>
      <c r="M107" s="294">
        <f t="shared" si="49"/>
        <v>1646.69</v>
      </c>
      <c r="N107" s="294">
        <f>'[3]Ammort Split 2019'!N90</f>
        <v>-10685.080000000002</v>
      </c>
      <c r="O107" s="294">
        <f>ROUND(ROUND(N109*O$6,2)/365*O$7,2)</f>
        <v>828.35</v>
      </c>
      <c r="P107" s="573">
        <f>ROUND(ROUND(O109*P$6,2)/365*P$7,2)</f>
        <v>1264.1600000000001</v>
      </c>
      <c r="R107" s="579">
        <f>SUM(D107:Q107)</f>
        <v>6111.4299999999985</v>
      </c>
    </row>
    <row r="108" spans="1:30" x14ac:dyDescent="0.25">
      <c r="A108" s="229">
        <v>108</v>
      </c>
      <c r="B108" s="572"/>
      <c r="C108" s="196" t="s">
        <v>351</v>
      </c>
      <c r="D108" s="574">
        <f t="shared" ref="D108:P108" si="50">SUM(D106:D107)</f>
        <v>18456.380000000023</v>
      </c>
      <c r="E108" s="574">
        <f t="shared" si="50"/>
        <v>85692.200000000026</v>
      </c>
      <c r="F108" s="574">
        <f t="shared" si="50"/>
        <v>-1528.4899999999848</v>
      </c>
      <c r="G108" s="574">
        <f t="shared" si="50"/>
        <v>1410.3300000000092</v>
      </c>
      <c r="H108" s="574">
        <f t="shared" si="50"/>
        <v>15399.970000000005</v>
      </c>
      <c r="I108" s="574">
        <f t="shared" si="50"/>
        <v>-3567.9599999999946</v>
      </c>
      <c r="J108" s="574">
        <f t="shared" si="50"/>
        <v>13193.359999999997</v>
      </c>
      <c r="K108" s="574">
        <f t="shared" si="50"/>
        <v>-16359.339999999989</v>
      </c>
      <c r="L108" s="574">
        <f t="shared" si="50"/>
        <v>11426.699999999995</v>
      </c>
      <c r="M108" s="574">
        <f t="shared" si="50"/>
        <v>72507.44</v>
      </c>
      <c r="N108" s="574">
        <f t="shared" si="50"/>
        <v>-244282.15000000002</v>
      </c>
      <c r="O108" s="574">
        <f t="shared" si="50"/>
        <v>88674.69</v>
      </c>
      <c r="P108" s="575">
        <f t="shared" si="50"/>
        <v>10206.550000000014</v>
      </c>
      <c r="R108" s="580">
        <f>SUM(R106:R107)</f>
        <v>284826.75000000006</v>
      </c>
    </row>
    <row r="109" spans="1:30" x14ac:dyDescent="0.25">
      <c r="A109" s="229">
        <v>109</v>
      </c>
      <c r="B109" s="572"/>
      <c r="C109" s="196" t="s">
        <v>349</v>
      </c>
      <c r="D109" s="294">
        <f>'[3]WACAP 2018'!O92+'WACAP 2019'!D108</f>
        <v>252053.45000000004</v>
      </c>
      <c r="E109" s="294">
        <f t="shared" ref="E109:P109" si="51">D109+E108</f>
        <v>337745.65000000008</v>
      </c>
      <c r="F109" s="294">
        <f t="shared" si="51"/>
        <v>336217.16000000009</v>
      </c>
      <c r="G109" s="294">
        <f t="shared" si="51"/>
        <v>337627.49000000011</v>
      </c>
      <c r="H109" s="294">
        <f t="shared" si="51"/>
        <v>353027.46000000014</v>
      </c>
      <c r="I109" s="294">
        <f t="shared" si="51"/>
        <v>349459.50000000012</v>
      </c>
      <c r="J109" s="294">
        <f t="shared" si="51"/>
        <v>362652.8600000001</v>
      </c>
      <c r="K109" s="294">
        <f t="shared" si="51"/>
        <v>346293.52000000014</v>
      </c>
      <c r="L109" s="294">
        <f t="shared" si="51"/>
        <v>357720.22000000015</v>
      </c>
      <c r="M109" s="294">
        <f t="shared" si="51"/>
        <v>430227.66000000015</v>
      </c>
      <c r="N109" s="294">
        <f t="shared" si="51"/>
        <v>185945.51000000013</v>
      </c>
      <c r="O109" s="294">
        <f t="shared" si="51"/>
        <v>274620.20000000013</v>
      </c>
      <c r="P109" s="581">
        <f t="shared" si="51"/>
        <v>284826.75000000012</v>
      </c>
      <c r="R109" s="563"/>
    </row>
    <row r="110" spans="1:30" x14ac:dyDescent="0.25">
      <c r="A110" s="229">
        <v>110</v>
      </c>
      <c r="B110" s="572"/>
      <c r="D110" s="291"/>
      <c r="E110" s="291"/>
      <c r="F110" s="294"/>
      <c r="G110" s="291"/>
      <c r="H110" s="291"/>
      <c r="I110" s="291"/>
      <c r="J110" s="291"/>
      <c r="K110" s="291"/>
      <c r="L110" s="291"/>
      <c r="M110" s="291"/>
      <c r="N110" s="291"/>
      <c r="O110" s="291"/>
      <c r="P110" s="587"/>
      <c r="R110" s="563"/>
    </row>
    <row r="111" spans="1:30" x14ac:dyDescent="0.25">
      <c r="A111" s="229">
        <v>111</v>
      </c>
      <c r="B111" s="586" t="s">
        <v>382</v>
      </c>
      <c r="C111" s="264">
        <v>512</v>
      </c>
      <c r="D111" s="291" t="s">
        <v>366</v>
      </c>
      <c r="E111" s="291"/>
      <c r="F111" s="294"/>
      <c r="G111" s="291"/>
      <c r="H111" s="291"/>
      <c r="I111" s="291"/>
      <c r="J111" s="291"/>
      <c r="L111" s="291"/>
      <c r="M111" s="291"/>
      <c r="N111" s="291"/>
      <c r="O111" s="291"/>
      <c r="P111" s="587"/>
      <c r="R111" s="563"/>
    </row>
    <row r="112" spans="1:30" x14ac:dyDescent="0.25">
      <c r="A112" s="229">
        <v>112</v>
      </c>
      <c r="B112" s="572" t="s">
        <v>365</v>
      </c>
      <c r="C112" s="229" t="s">
        <v>548</v>
      </c>
      <c r="D112" s="291">
        <v>0</v>
      </c>
      <c r="E112" s="291">
        <v>0</v>
      </c>
      <c r="F112" s="291">
        <v>0</v>
      </c>
      <c r="G112" s="291">
        <v>0</v>
      </c>
      <c r="H112" s="291">
        <v>0</v>
      </c>
      <c r="I112" s="291">
        <v>0</v>
      </c>
      <c r="J112" s="291">
        <v>0</v>
      </c>
      <c r="K112" s="291">
        <v>0</v>
      </c>
      <c r="L112" s="291">
        <v>0</v>
      </c>
      <c r="M112" s="291">
        <v>0</v>
      </c>
      <c r="N112" s="291"/>
      <c r="O112" s="291">
        <v>0</v>
      </c>
      <c r="P112" s="587">
        <v>0</v>
      </c>
      <c r="Q112" s="584"/>
      <c r="R112" s="585"/>
      <c r="V112" s="291"/>
      <c r="X112" s="291"/>
    </row>
    <row r="113" spans="1:30" x14ac:dyDescent="0.25">
      <c r="A113" s="229">
        <v>113</v>
      </c>
      <c r="B113" s="572" t="s">
        <v>362</v>
      </c>
      <c r="C113" s="229" t="s">
        <v>381</v>
      </c>
      <c r="D113" s="574">
        <v>0</v>
      </c>
      <c r="E113" s="574">
        <v>0</v>
      </c>
      <c r="F113" s="574">
        <v>0</v>
      </c>
      <c r="G113" s="574">
        <v>0</v>
      </c>
      <c r="H113" s="574">
        <v>0</v>
      </c>
      <c r="I113" s="574">
        <v>0</v>
      </c>
      <c r="J113" s="574">
        <v>0</v>
      </c>
      <c r="K113" s="574">
        <v>0</v>
      </c>
      <c r="L113" s="574">
        <v>0</v>
      </c>
      <c r="M113" s="574">
        <v>0</v>
      </c>
      <c r="N113" s="574"/>
      <c r="O113" s="574">
        <v>0</v>
      </c>
      <c r="P113" s="575">
        <v>0</v>
      </c>
      <c r="Q113" s="591"/>
      <c r="R113" s="578"/>
      <c r="T113" s="196"/>
      <c r="U113" s="294"/>
      <c r="V113" s="576"/>
      <c r="X113" s="576"/>
      <c r="AB113" s="576"/>
    </row>
    <row r="114" spans="1:30" x14ac:dyDescent="0.25">
      <c r="A114" s="229">
        <v>114</v>
      </c>
      <c r="B114" s="572"/>
      <c r="C114" s="196" t="s">
        <v>355</v>
      </c>
      <c r="D114" s="294">
        <f t="shared" ref="D114:M114" si="52">D113</f>
        <v>0</v>
      </c>
      <c r="E114" s="294">
        <f t="shared" si="52"/>
        <v>0</v>
      </c>
      <c r="F114" s="294">
        <f t="shared" si="52"/>
        <v>0</v>
      </c>
      <c r="G114" s="294">
        <f t="shared" si="52"/>
        <v>0</v>
      </c>
      <c r="H114" s="294">
        <f t="shared" si="52"/>
        <v>0</v>
      </c>
      <c r="I114" s="294">
        <f t="shared" si="52"/>
        <v>0</v>
      </c>
      <c r="J114" s="294">
        <f t="shared" si="52"/>
        <v>0</v>
      </c>
      <c r="K114" s="294">
        <f t="shared" si="52"/>
        <v>0</v>
      </c>
      <c r="L114" s="294">
        <f t="shared" si="52"/>
        <v>0</v>
      </c>
      <c r="M114" s="294">
        <f t="shared" si="52"/>
        <v>0</v>
      </c>
      <c r="N114" s="294"/>
      <c r="O114" s="294">
        <f>O113</f>
        <v>0</v>
      </c>
      <c r="P114" s="573">
        <f>P113</f>
        <v>0</v>
      </c>
      <c r="R114" s="563"/>
      <c r="T114" s="196"/>
      <c r="U114" s="294"/>
      <c r="V114" s="576"/>
      <c r="X114" s="576"/>
      <c r="AB114" s="576"/>
    </row>
    <row r="115" spans="1:30" x14ac:dyDescent="0.25">
      <c r="A115" s="229">
        <v>115</v>
      </c>
      <c r="B115" s="572"/>
      <c r="C115" s="196" t="s">
        <v>354</v>
      </c>
      <c r="D115" s="574">
        <v>0</v>
      </c>
      <c r="E115" s="574">
        <v>0</v>
      </c>
      <c r="F115" s="574">
        <v>0</v>
      </c>
      <c r="G115" s="574">
        <v>0</v>
      </c>
      <c r="H115" s="574">
        <v>0</v>
      </c>
      <c r="I115" s="574">
        <v>0</v>
      </c>
      <c r="J115" s="574">
        <v>0</v>
      </c>
      <c r="K115" s="574">
        <v>0</v>
      </c>
      <c r="L115" s="574">
        <v>0</v>
      </c>
      <c r="M115" s="574">
        <v>0</v>
      </c>
      <c r="N115" s="574"/>
      <c r="O115" s="574">
        <v>0</v>
      </c>
      <c r="P115" s="575">
        <v>0</v>
      </c>
      <c r="R115" s="563"/>
    </row>
    <row r="116" spans="1:30" x14ac:dyDescent="0.25">
      <c r="A116" s="229">
        <v>116</v>
      </c>
      <c r="B116" s="572"/>
      <c r="C116" s="196" t="s">
        <v>353</v>
      </c>
      <c r="D116" s="294">
        <f t="shared" ref="D116:M116" si="53">SUM(D114:D115)</f>
        <v>0</v>
      </c>
      <c r="E116" s="294">
        <f t="shared" si="53"/>
        <v>0</v>
      </c>
      <c r="F116" s="294">
        <f t="shared" si="53"/>
        <v>0</v>
      </c>
      <c r="G116" s="294">
        <f t="shared" si="53"/>
        <v>0</v>
      </c>
      <c r="H116" s="294">
        <f t="shared" si="53"/>
        <v>0</v>
      </c>
      <c r="I116" s="294">
        <f t="shared" si="53"/>
        <v>0</v>
      </c>
      <c r="J116" s="294">
        <f t="shared" si="53"/>
        <v>0</v>
      </c>
      <c r="K116" s="294">
        <f t="shared" si="53"/>
        <v>0</v>
      </c>
      <c r="L116" s="294">
        <f t="shared" si="53"/>
        <v>0</v>
      </c>
      <c r="M116" s="294">
        <f t="shared" si="53"/>
        <v>0</v>
      </c>
      <c r="N116" s="294">
        <f>-'[3]WACAP 2018'!Q101</f>
        <v>-496.46</v>
      </c>
      <c r="O116" s="294">
        <f>SUM(O114:O115)</f>
        <v>0</v>
      </c>
      <c r="P116" s="573">
        <f>SUM(P114:P115)</f>
        <v>0</v>
      </c>
      <c r="R116" s="578">
        <f>SUM(D116:Q116)-N116</f>
        <v>0</v>
      </c>
    </row>
    <row r="117" spans="1:30" x14ac:dyDescent="0.25">
      <c r="A117" s="229">
        <v>117</v>
      </c>
      <c r="B117" s="572"/>
      <c r="C117" s="196" t="s">
        <v>352</v>
      </c>
      <c r="D117" s="294">
        <f>ROUND(ROUND('[3]WACAP 2018'!O102*D$6,2)/365*D$7,2)</f>
        <v>2.1800000000000002</v>
      </c>
      <c r="E117" s="294">
        <f t="shared" ref="E117:M117" si="54">ROUND(ROUND(D119*E$6,2)/365*E$7,2)</f>
        <v>1.98</v>
      </c>
      <c r="F117" s="294">
        <f t="shared" si="54"/>
        <v>2.2000000000000002</v>
      </c>
      <c r="G117" s="294">
        <f t="shared" si="54"/>
        <v>2.25</v>
      </c>
      <c r="H117" s="294">
        <f t="shared" si="54"/>
        <v>2.34</v>
      </c>
      <c r="I117" s="294">
        <f t="shared" si="54"/>
        <v>2.27</v>
      </c>
      <c r="J117" s="294">
        <f t="shared" si="54"/>
        <v>2.38</v>
      </c>
      <c r="K117" s="294">
        <f t="shared" si="54"/>
        <v>2.39</v>
      </c>
      <c r="L117" s="294">
        <f t="shared" si="54"/>
        <v>2.33</v>
      </c>
      <c r="M117" s="294">
        <f t="shared" si="54"/>
        <v>2.38</v>
      </c>
      <c r="N117" s="294">
        <f>'[3]Ammort Split 2019'!N100</f>
        <v>-22.7</v>
      </c>
      <c r="O117" s="294">
        <f>ROUND(ROUND(N119*O$6,2)/365*O$7,2)</f>
        <v>0</v>
      </c>
      <c r="P117" s="573">
        <f>ROUND(ROUND(O119*P$6,2)/365*P$7,2)</f>
        <v>0</v>
      </c>
      <c r="R117" s="579">
        <f>SUM(D117:Q117)</f>
        <v>0</v>
      </c>
    </row>
    <row r="118" spans="1:30" x14ac:dyDescent="0.25">
      <c r="A118" s="229">
        <v>118</v>
      </c>
      <c r="B118" s="572"/>
      <c r="C118" s="196" t="s">
        <v>351</v>
      </c>
      <c r="D118" s="574">
        <f t="shared" ref="D118:P118" si="55">SUM(D116:D117)</f>
        <v>2.1800000000000002</v>
      </c>
      <c r="E118" s="574">
        <f t="shared" si="55"/>
        <v>1.98</v>
      </c>
      <c r="F118" s="574">
        <f t="shared" si="55"/>
        <v>2.2000000000000002</v>
      </c>
      <c r="G118" s="574">
        <f t="shared" si="55"/>
        <v>2.25</v>
      </c>
      <c r="H118" s="574">
        <f t="shared" si="55"/>
        <v>2.34</v>
      </c>
      <c r="I118" s="574">
        <f t="shared" si="55"/>
        <v>2.27</v>
      </c>
      <c r="J118" s="574">
        <f t="shared" si="55"/>
        <v>2.38</v>
      </c>
      <c r="K118" s="574">
        <f t="shared" si="55"/>
        <v>2.39</v>
      </c>
      <c r="L118" s="574">
        <f t="shared" si="55"/>
        <v>2.33</v>
      </c>
      <c r="M118" s="574">
        <f t="shared" si="55"/>
        <v>2.38</v>
      </c>
      <c r="N118" s="574">
        <f t="shared" si="55"/>
        <v>-519.16</v>
      </c>
      <c r="O118" s="574">
        <f t="shared" si="55"/>
        <v>0</v>
      </c>
      <c r="P118" s="575">
        <f t="shared" si="55"/>
        <v>0</v>
      </c>
      <c r="R118" s="580">
        <f>SUM(R116:R117)</f>
        <v>0</v>
      </c>
    </row>
    <row r="119" spans="1:30" ht="15.75" thickBot="1" x14ac:dyDescent="0.3">
      <c r="A119" s="229">
        <v>119</v>
      </c>
      <c r="B119" s="606"/>
      <c r="C119" s="593" t="s">
        <v>349</v>
      </c>
      <c r="D119" s="594">
        <f>'[3]WACAP 2018'!O102+'WACAP 2019'!D118</f>
        <v>498.64000000000004</v>
      </c>
      <c r="E119" s="594">
        <f t="shared" ref="E119:P119" si="56">D119+E118</f>
        <v>500.62000000000006</v>
      </c>
      <c r="F119" s="594">
        <f t="shared" si="56"/>
        <v>502.82000000000005</v>
      </c>
      <c r="G119" s="594">
        <f t="shared" si="56"/>
        <v>505.07000000000005</v>
      </c>
      <c r="H119" s="594">
        <f t="shared" si="56"/>
        <v>507.41</v>
      </c>
      <c r="I119" s="594">
        <f t="shared" si="56"/>
        <v>509.68</v>
      </c>
      <c r="J119" s="594">
        <f t="shared" si="56"/>
        <v>512.06000000000006</v>
      </c>
      <c r="K119" s="595">
        <f t="shared" si="56"/>
        <v>514.45000000000005</v>
      </c>
      <c r="L119" s="294">
        <f t="shared" si="56"/>
        <v>516.78000000000009</v>
      </c>
      <c r="M119" s="294">
        <f t="shared" si="56"/>
        <v>519.16000000000008</v>
      </c>
      <c r="N119" s="294">
        <f t="shared" si="56"/>
        <v>0</v>
      </c>
      <c r="O119" s="294">
        <f t="shared" si="56"/>
        <v>0</v>
      </c>
      <c r="P119" s="581">
        <f t="shared" si="56"/>
        <v>0</v>
      </c>
      <c r="R119" s="563"/>
      <c r="V119" s="591">
        <f>ROUND(U124/Z124,0)</f>
        <v>0</v>
      </c>
    </row>
    <row r="120" spans="1:30" ht="15.75" thickBot="1" x14ac:dyDescent="0.3">
      <c r="A120" s="229">
        <v>120</v>
      </c>
      <c r="B120" s="596"/>
      <c r="C120" s="607"/>
      <c r="D120" s="291"/>
      <c r="E120" s="291"/>
      <c r="F120" s="294"/>
      <c r="G120" s="291"/>
      <c r="H120" s="291"/>
      <c r="I120" s="291"/>
      <c r="J120" s="291"/>
      <c r="K120" s="597"/>
      <c r="L120" s="597"/>
      <c r="M120" s="597"/>
      <c r="N120" s="597"/>
      <c r="O120" s="597"/>
      <c r="P120" s="608"/>
      <c r="Q120" s="599"/>
      <c r="R120" s="599"/>
      <c r="T120" s="196"/>
      <c r="U120" s="294"/>
      <c r="V120" s="591">
        <f>ROUND(U125/Z125,0)</f>
        <v>0</v>
      </c>
    </row>
    <row r="121" spans="1:30" x14ac:dyDescent="0.25">
      <c r="A121" s="229">
        <v>121</v>
      </c>
      <c r="B121" s="599" t="s">
        <v>380</v>
      </c>
      <c r="C121" s="596" t="s">
        <v>549</v>
      </c>
      <c r="D121" s="597"/>
      <c r="E121" s="597"/>
      <c r="F121" s="601"/>
      <c r="G121" s="597"/>
      <c r="H121" s="597"/>
      <c r="I121" s="597"/>
      <c r="J121" s="597"/>
      <c r="K121" s="597"/>
      <c r="L121" s="597"/>
      <c r="M121" s="597"/>
      <c r="N121" s="597"/>
      <c r="O121" s="597"/>
      <c r="P121" s="602"/>
      <c r="Q121" s="599"/>
      <c r="R121" s="603"/>
      <c r="U121" s="229">
        <v>505</v>
      </c>
      <c r="V121" s="591">
        <f>ROUND(U126/Z126,0)</f>
        <v>0</v>
      </c>
      <c r="W121" s="591">
        <f>SUM(V117:V121)</f>
        <v>0</v>
      </c>
    </row>
    <row r="122" spans="1:30" ht="15.75" x14ac:dyDescent="0.25">
      <c r="A122" s="229">
        <v>122</v>
      </c>
      <c r="B122" s="572" t="s">
        <v>365</v>
      </c>
      <c r="C122" s="229" t="s">
        <v>548</v>
      </c>
      <c r="D122" s="291">
        <v>1</v>
      </c>
      <c r="E122" s="291">
        <v>1</v>
      </c>
      <c r="F122" s="291">
        <v>1</v>
      </c>
      <c r="G122" s="291">
        <v>1</v>
      </c>
      <c r="H122" s="291">
        <v>1</v>
      </c>
      <c r="I122" s="291">
        <v>1</v>
      </c>
      <c r="J122" s="291">
        <v>1</v>
      </c>
      <c r="K122" s="291">
        <v>1</v>
      </c>
      <c r="L122" s="291">
        <v>1</v>
      </c>
      <c r="M122" s="291">
        <v>1</v>
      </c>
      <c r="N122" s="291"/>
      <c r="O122" s="291">
        <v>1</v>
      </c>
      <c r="P122" s="587">
        <v>1</v>
      </c>
      <c r="Q122" s="584"/>
      <c r="R122" s="585"/>
      <c r="V122" s="588">
        <v>0</v>
      </c>
      <c r="W122" s="229" t="s">
        <v>31</v>
      </c>
      <c r="X122" s="291">
        <f>V122</f>
        <v>0</v>
      </c>
    </row>
    <row r="123" spans="1:30" x14ac:dyDescent="0.25">
      <c r="A123" s="229">
        <v>123</v>
      </c>
      <c r="B123" s="572" t="s">
        <v>362</v>
      </c>
      <c r="C123" s="229" t="s">
        <v>379</v>
      </c>
      <c r="D123" s="294">
        <v>14.1</v>
      </c>
      <c r="E123" s="294">
        <v>1.25</v>
      </c>
      <c r="F123" s="294">
        <v>0</v>
      </c>
      <c r="G123" s="294">
        <v>0</v>
      </c>
      <c r="H123" s="294">
        <v>22.85</v>
      </c>
      <c r="I123" s="294">
        <v>26.96</v>
      </c>
      <c r="J123" s="294">
        <v>0</v>
      </c>
      <c r="K123" s="294">
        <v>29.1</v>
      </c>
      <c r="L123" s="294">
        <v>0</v>
      </c>
      <c r="M123" s="294">
        <v>0</v>
      </c>
      <c r="N123" s="294"/>
      <c r="O123" s="294">
        <v>56.59</v>
      </c>
      <c r="P123" s="573">
        <v>87.65</v>
      </c>
      <c r="Q123" s="591"/>
      <c r="R123" s="578"/>
      <c r="T123" s="196" t="s">
        <v>28</v>
      </c>
      <c r="U123" s="294"/>
      <c r="V123" s="576"/>
      <c r="X123" s="576"/>
      <c r="AB123" s="576">
        <f>Z123-X123</f>
        <v>0</v>
      </c>
    </row>
    <row r="124" spans="1:30" ht="15.75" x14ac:dyDescent="0.25">
      <c r="A124" s="229">
        <v>124</v>
      </c>
      <c r="B124" s="572" t="s">
        <v>362</v>
      </c>
      <c r="C124" s="229" t="s">
        <v>378</v>
      </c>
      <c r="D124" s="294">
        <v>0</v>
      </c>
      <c r="E124" s="294">
        <v>0</v>
      </c>
      <c r="F124" s="294">
        <v>0</v>
      </c>
      <c r="G124" s="294">
        <v>0</v>
      </c>
      <c r="H124" s="294">
        <v>0</v>
      </c>
      <c r="I124" s="294">
        <v>0</v>
      </c>
      <c r="J124" s="294">
        <v>0</v>
      </c>
      <c r="K124" s="294"/>
      <c r="L124" s="294"/>
      <c r="M124" s="294"/>
      <c r="N124" s="294"/>
      <c r="O124" s="294"/>
      <c r="P124" s="573"/>
      <c r="Q124" s="591"/>
      <c r="R124" s="578"/>
      <c r="T124" s="196" t="s">
        <v>28</v>
      </c>
      <c r="U124" s="590">
        <v>0</v>
      </c>
      <c r="V124" s="576" t="e">
        <f>U124/V119</f>
        <v>#DIV/0!</v>
      </c>
      <c r="X124" s="576" t="e">
        <f>U124/V119</f>
        <v>#DIV/0!</v>
      </c>
      <c r="Z124" s="229">
        <v>0.17851</v>
      </c>
      <c r="AB124" s="576" t="e">
        <f>Z124-X124</f>
        <v>#DIV/0!</v>
      </c>
    </row>
    <row r="125" spans="1:30" ht="15.75" x14ac:dyDescent="0.25">
      <c r="A125" s="229">
        <v>125</v>
      </c>
      <c r="B125" s="572" t="s">
        <v>357</v>
      </c>
      <c r="C125" s="605" t="s">
        <v>377</v>
      </c>
      <c r="D125" s="294">
        <v>1.25</v>
      </c>
      <c r="E125" s="294">
        <v>0</v>
      </c>
      <c r="F125" s="294">
        <v>0</v>
      </c>
      <c r="G125" s="294">
        <v>22.85</v>
      </c>
      <c r="H125" s="294">
        <v>26.96</v>
      </c>
      <c r="I125" s="294">
        <v>0</v>
      </c>
      <c r="J125" s="294">
        <v>29.1</v>
      </c>
      <c r="K125" s="294">
        <v>0</v>
      </c>
      <c r="L125" s="294">
        <v>73.37</v>
      </c>
      <c r="M125" s="294">
        <v>56.59</v>
      </c>
      <c r="N125" s="294"/>
      <c r="O125" s="294">
        <v>87.65</v>
      </c>
      <c r="P125" s="573">
        <v>46.59</v>
      </c>
      <c r="Q125" s="591"/>
      <c r="R125" s="578"/>
      <c r="T125" s="196" t="s">
        <v>28</v>
      </c>
      <c r="U125" s="590">
        <v>0</v>
      </c>
      <c r="V125" s="576" t="e">
        <f>U125/V120</f>
        <v>#DIV/0!</v>
      </c>
      <c r="X125" s="576" t="e">
        <f>U125/V120</f>
        <v>#DIV/0!</v>
      </c>
      <c r="Z125" s="229">
        <v>0.14457</v>
      </c>
      <c r="AB125" s="576" t="e">
        <f>Z125-X125</f>
        <v>#DIV/0!</v>
      </c>
      <c r="AD125" s="591">
        <f>P125</f>
        <v>46.59</v>
      </c>
    </row>
    <row r="126" spans="1:30" ht="15.75" x14ac:dyDescent="0.25">
      <c r="A126" s="229">
        <v>126</v>
      </c>
      <c r="B126" s="572" t="s">
        <v>357</v>
      </c>
      <c r="C126" s="605" t="s">
        <v>376</v>
      </c>
      <c r="D126" s="294">
        <v>0</v>
      </c>
      <c r="E126" s="294">
        <v>0</v>
      </c>
      <c r="F126" s="294">
        <v>0</v>
      </c>
      <c r="G126" s="294">
        <v>0</v>
      </c>
      <c r="H126" s="294">
        <v>0</v>
      </c>
      <c r="I126" s="294">
        <v>0</v>
      </c>
      <c r="J126" s="294">
        <v>0</v>
      </c>
      <c r="K126" s="294"/>
      <c r="L126" s="294"/>
      <c r="M126" s="294"/>
      <c r="N126" s="294"/>
      <c r="O126" s="294"/>
      <c r="P126" s="573"/>
      <c r="Q126" s="591"/>
      <c r="R126" s="578"/>
      <c r="T126" s="196" t="s">
        <v>28</v>
      </c>
      <c r="U126" s="590">
        <v>0</v>
      </c>
      <c r="V126" s="576" t="e">
        <f>U126/V121</f>
        <v>#DIV/0!</v>
      </c>
      <c r="X126" s="576" t="e">
        <f>U126/V121</f>
        <v>#DIV/0!</v>
      </c>
      <c r="Z126" s="229">
        <v>0.13944000000000001</v>
      </c>
      <c r="AB126" s="576" t="e">
        <f>Z126-X126</f>
        <v>#DIV/0!</v>
      </c>
      <c r="AD126" s="591">
        <f>P126</f>
        <v>0</v>
      </c>
    </row>
    <row r="127" spans="1:30" ht="15.75" x14ac:dyDescent="0.25">
      <c r="A127" s="229">
        <v>127</v>
      </c>
      <c r="B127" s="572" t="s">
        <v>357</v>
      </c>
      <c r="C127" s="229" t="s">
        <v>375</v>
      </c>
      <c r="D127" s="294">
        <f>-'[3]WACAP 2018'!O108</f>
        <v>-14.1</v>
      </c>
      <c r="E127" s="294">
        <f t="shared" ref="E127:M127" si="57">-D125</f>
        <v>-1.25</v>
      </c>
      <c r="F127" s="294">
        <f t="shared" si="57"/>
        <v>0</v>
      </c>
      <c r="G127" s="294">
        <f t="shared" si="57"/>
        <v>0</v>
      </c>
      <c r="H127" s="294">
        <f t="shared" si="57"/>
        <v>-22.85</v>
      </c>
      <c r="I127" s="294">
        <f t="shared" si="57"/>
        <v>-26.96</v>
      </c>
      <c r="J127" s="294">
        <f t="shared" si="57"/>
        <v>0</v>
      </c>
      <c r="K127" s="294">
        <f t="shared" si="57"/>
        <v>-29.1</v>
      </c>
      <c r="L127" s="294">
        <f t="shared" si="57"/>
        <v>0</v>
      </c>
      <c r="M127" s="294">
        <f t="shared" si="57"/>
        <v>-73.37</v>
      </c>
      <c r="N127" s="294"/>
      <c r="O127" s="294">
        <f>-M125</f>
        <v>-56.59</v>
      </c>
      <c r="P127" s="573">
        <f>-O125</f>
        <v>-87.65</v>
      </c>
      <c r="Q127" s="591"/>
      <c r="R127" s="578"/>
      <c r="T127" s="196" t="s">
        <v>11</v>
      </c>
      <c r="U127" s="590">
        <v>0</v>
      </c>
      <c r="V127" s="576" t="e">
        <f>U127/V122</f>
        <v>#DIV/0!</v>
      </c>
      <c r="X127" s="576" t="e">
        <f>U127/X122</f>
        <v>#DIV/0!</v>
      </c>
      <c r="Z127" s="592">
        <f>+Z36</f>
        <v>0.42197000000000001</v>
      </c>
      <c r="AB127" s="576" t="e">
        <f>Z127-X127</f>
        <v>#DIV/0!</v>
      </c>
      <c r="AD127" s="591">
        <f>D127</f>
        <v>-14.1</v>
      </c>
    </row>
    <row r="128" spans="1:30" x14ac:dyDescent="0.25">
      <c r="A128" s="229">
        <v>128</v>
      </c>
      <c r="B128" s="572" t="s">
        <v>357</v>
      </c>
      <c r="C128" s="229" t="s">
        <v>374</v>
      </c>
      <c r="D128" s="574">
        <f>-'[3]WACAP 2018'!O109</f>
        <v>0</v>
      </c>
      <c r="E128" s="574">
        <f t="shared" ref="E128:M128" si="58">-D126</f>
        <v>0</v>
      </c>
      <c r="F128" s="574">
        <f t="shared" si="58"/>
        <v>0</v>
      </c>
      <c r="G128" s="574">
        <f t="shared" si="58"/>
        <v>0</v>
      </c>
      <c r="H128" s="574">
        <f t="shared" si="58"/>
        <v>0</v>
      </c>
      <c r="I128" s="574">
        <f t="shared" si="58"/>
        <v>0</v>
      </c>
      <c r="J128" s="574">
        <f t="shared" si="58"/>
        <v>0</v>
      </c>
      <c r="K128" s="574">
        <f t="shared" si="58"/>
        <v>0</v>
      </c>
      <c r="L128" s="574">
        <f t="shared" si="58"/>
        <v>0</v>
      </c>
      <c r="M128" s="574">
        <f t="shared" si="58"/>
        <v>0</v>
      </c>
      <c r="N128" s="574"/>
      <c r="O128" s="574">
        <f>-M126</f>
        <v>0</v>
      </c>
      <c r="P128" s="575">
        <f>-O126</f>
        <v>0</v>
      </c>
      <c r="Q128" s="591"/>
      <c r="R128" s="578"/>
      <c r="AD128" s="591">
        <f>D128</f>
        <v>0</v>
      </c>
    </row>
    <row r="129" spans="1:30" x14ac:dyDescent="0.25">
      <c r="A129" s="229">
        <v>129</v>
      </c>
      <c r="B129" s="572"/>
      <c r="C129" s="196" t="s">
        <v>355</v>
      </c>
      <c r="D129" s="294">
        <f t="shared" ref="D129:M129" si="59">SUM(D123:D128)</f>
        <v>1.25</v>
      </c>
      <c r="E129" s="294">
        <f t="shared" si="59"/>
        <v>0</v>
      </c>
      <c r="F129" s="294">
        <f t="shared" si="59"/>
        <v>0</v>
      </c>
      <c r="G129" s="294">
        <f t="shared" si="59"/>
        <v>22.85</v>
      </c>
      <c r="H129" s="294">
        <f t="shared" si="59"/>
        <v>26.96</v>
      </c>
      <c r="I129" s="294">
        <f t="shared" si="59"/>
        <v>0</v>
      </c>
      <c r="J129" s="294">
        <f t="shared" si="59"/>
        <v>29.1</v>
      </c>
      <c r="K129" s="294">
        <f t="shared" si="59"/>
        <v>0</v>
      </c>
      <c r="L129" s="294">
        <f t="shared" si="59"/>
        <v>73.37</v>
      </c>
      <c r="M129" s="294">
        <f t="shared" si="59"/>
        <v>-16.78</v>
      </c>
      <c r="N129" s="294"/>
      <c r="O129" s="294">
        <f>SUM(O123:O128)</f>
        <v>87.65</v>
      </c>
      <c r="P129" s="573">
        <f>SUM(P123:P128)</f>
        <v>46.59</v>
      </c>
      <c r="R129" s="563"/>
    </row>
    <row r="130" spans="1:30" x14ac:dyDescent="0.25">
      <c r="A130" s="229">
        <v>130</v>
      </c>
      <c r="B130" s="572"/>
      <c r="C130" s="196" t="s">
        <v>354</v>
      </c>
      <c r="D130" s="574">
        <f>ROUND(-'[3]Authorized Margins 2018'!J14*'WACAP 2019'!D122,2)</f>
        <v>-498.23</v>
      </c>
      <c r="E130" s="574">
        <f>ROUND(-'[3]Authorized Margins 2018'!K14*'WACAP 2019'!E122,2)</f>
        <v>-423.12</v>
      </c>
      <c r="F130" s="574">
        <f>ROUND(-'[3]Authorized Margins 2018'!L14*'WACAP 2019'!F122,2)</f>
        <v>-397.9</v>
      </c>
      <c r="G130" s="574">
        <f>ROUND(-'[3]Authorized Margins 2018'!M14*'WACAP 2019'!G122,2)</f>
        <v>-289.11</v>
      </c>
      <c r="H130" s="574">
        <f>ROUND(-'[3]Authorized Margins 2018'!N14*'WACAP 2019'!H122,2)</f>
        <v>-210.22</v>
      </c>
      <c r="I130" s="574">
        <f>ROUND(-'[3]Authorized Margins 2018'!O14*'WACAP 2019'!I122,2)</f>
        <v>-189.53</v>
      </c>
      <c r="J130" s="574">
        <f>ROUND(-'[3]Authorized Margins 2018'!D14*'WACAP 2019'!J122,2)</f>
        <v>-152.5</v>
      </c>
      <c r="K130" s="574">
        <f>ROUND(-'[3]Authorized Margins 2018'!E14*'WACAP 2019'!K122,2)</f>
        <v>-161.43</v>
      </c>
      <c r="L130" s="574">
        <f>ROUND(-'[3]Authorized Margins 2018'!F14*'WACAP 2019'!L122,2)</f>
        <v>-209.7</v>
      </c>
      <c r="M130" s="574">
        <f>ROUND(-'[3]Authorized Margins 2018'!G14*'WACAP 2019'!M122,2)</f>
        <v>-357.27</v>
      </c>
      <c r="N130" s="574"/>
      <c r="O130" s="574">
        <f>ROUND(-'[3]Authorized Margins 2018'!H14*'WACAP 2019'!O122,2)</f>
        <v>-308.02999999999997</v>
      </c>
      <c r="P130" s="575">
        <f>ROUND(-'[3]Authorized Margins 2018'!I14*'WACAP 2019'!P122,2)</f>
        <v>-430.43</v>
      </c>
      <c r="R130" s="563"/>
    </row>
    <row r="131" spans="1:30" x14ac:dyDescent="0.25">
      <c r="A131" s="229">
        <v>131</v>
      </c>
      <c r="B131" s="572"/>
      <c r="C131" s="196" t="s">
        <v>353</v>
      </c>
      <c r="D131" s="294">
        <f t="shared" ref="D131:M131" si="60">SUM(D129:D130)</f>
        <v>-496.98</v>
      </c>
      <c r="E131" s="294">
        <f t="shared" si="60"/>
        <v>-423.12</v>
      </c>
      <c r="F131" s="294">
        <f t="shared" si="60"/>
        <v>-397.9</v>
      </c>
      <c r="G131" s="294">
        <f t="shared" si="60"/>
        <v>-266.26</v>
      </c>
      <c r="H131" s="294">
        <f t="shared" si="60"/>
        <v>-183.26</v>
      </c>
      <c r="I131" s="294">
        <f t="shared" si="60"/>
        <v>-189.53</v>
      </c>
      <c r="J131" s="294">
        <f t="shared" si="60"/>
        <v>-123.4</v>
      </c>
      <c r="K131" s="294">
        <f t="shared" si="60"/>
        <v>-161.43</v>
      </c>
      <c r="L131" s="294">
        <f t="shared" si="60"/>
        <v>-136.32999999999998</v>
      </c>
      <c r="M131" s="294">
        <f t="shared" si="60"/>
        <v>-374.04999999999995</v>
      </c>
      <c r="N131" s="294">
        <f>-'[3]WACAP 2018'!Q116</f>
        <v>3548.04</v>
      </c>
      <c r="O131" s="294">
        <f>SUM(O129:O130)</f>
        <v>-220.37999999999997</v>
      </c>
      <c r="P131" s="573">
        <f>SUM(P129:P130)</f>
        <v>-383.84000000000003</v>
      </c>
      <c r="R131" s="578">
        <f>SUM(D131:Q131)-N131</f>
        <v>-3356.4799999999996</v>
      </c>
    </row>
    <row r="132" spans="1:30" x14ac:dyDescent="0.25">
      <c r="A132" s="229">
        <v>132</v>
      </c>
      <c r="B132" s="572"/>
      <c r="C132" s="196" t="s">
        <v>352</v>
      </c>
      <c r="D132" s="294">
        <f>ROUND(ROUND('[3]WACAP 2018'!O117*D$6,2)/365*D$7,2)</f>
        <v>-15.61</v>
      </c>
      <c r="E132" s="294">
        <f t="shared" ref="E132:M132" si="61">ROUND(ROUND(D134*E$6,2)/365*E$7,2)</f>
        <v>-16.14</v>
      </c>
      <c r="F132" s="294">
        <f t="shared" si="61"/>
        <v>-19.8</v>
      </c>
      <c r="G132" s="294">
        <f t="shared" si="61"/>
        <v>-22.03</v>
      </c>
      <c r="H132" s="294">
        <f t="shared" si="61"/>
        <v>-24.1</v>
      </c>
      <c r="I132" s="294">
        <f t="shared" si="61"/>
        <v>-24.25</v>
      </c>
      <c r="J132" s="294">
        <f t="shared" si="61"/>
        <v>-26.29</v>
      </c>
      <c r="K132" s="294">
        <f t="shared" si="61"/>
        <v>-26.98</v>
      </c>
      <c r="L132" s="294">
        <f t="shared" si="61"/>
        <v>-26.97</v>
      </c>
      <c r="M132" s="294">
        <f t="shared" si="61"/>
        <v>-28.21</v>
      </c>
      <c r="N132" s="294">
        <f>'[3]Ammort Split 2019'!N115</f>
        <v>162.29999999999998</v>
      </c>
      <c r="O132" s="294">
        <f>ROUND(ROUND(N134*O$6,2)/365*O$7,2)</f>
        <v>-12.56</v>
      </c>
      <c r="P132" s="573">
        <f>ROUND(ROUND(O134*P$6,2)/365*P$7,2)</f>
        <v>-14.06</v>
      </c>
      <c r="R132" s="579">
        <f>SUM(D132:Q132)</f>
        <v>-94.700000000000017</v>
      </c>
    </row>
    <row r="133" spans="1:30" x14ac:dyDescent="0.25">
      <c r="A133" s="229">
        <v>133</v>
      </c>
      <c r="B133" s="572"/>
      <c r="C133" s="196" t="s">
        <v>351</v>
      </c>
      <c r="D133" s="574">
        <f t="shared" ref="D133:P133" si="62">SUM(D131:D132)</f>
        <v>-512.59</v>
      </c>
      <c r="E133" s="574">
        <f t="shared" si="62"/>
        <v>-439.26</v>
      </c>
      <c r="F133" s="574">
        <f t="shared" si="62"/>
        <v>-417.7</v>
      </c>
      <c r="G133" s="574">
        <f t="shared" si="62"/>
        <v>-288.28999999999996</v>
      </c>
      <c r="H133" s="574">
        <f t="shared" si="62"/>
        <v>-207.35999999999999</v>
      </c>
      <c r="I133" s="574">
        <f t="shared" si="62"/>
        <v>-213.78</v>
      </c>
      <c r="J133" s="574">
        <f t="shared" si="62"/>
        <v>-149.69</v>
      </c>
      <c r="K133" s="574">
        <f t="shared" si="62"/>
        <v>-188.41</v>
      </c>
      <c r="L133" s="574">
        <f t="shared" si="62"/>
        <v>-163.29999999999998</v>
      </c>
      <c r="M133" s="574">
        <f t="shared" si="62"/>
        <v>-402.25999999999993</v>
      </c>
      <c r="N133" s="574">
        <f t="shared" si="62"/>
        <v>3710.34</v>
      </c>
      <c r="O133" s="574">
        <f t="shared" si="62"/>
        <v>-232.93999999999997</v>
      </c>
      <c r="P133" s="575">
        <f t="shared" si="62"/>
        <v>-397.90000000000003</v>
      </c>
      <c r="R133" s="580">
        <f>SUM(R131:R132)</f>
        <v>-3451.1799999999994</v>
      </c>
    </row>
    <row r="134" spans="1:30" x14ac:dyDescent="0.25">
      <c r="A134" s="229">
        <v>134</v>
      </c>
      <c r="B134" s="572"/>
      <c r="C134" s="196" t="s">
        <v>349</v>
      </c>
      <c r="D134" s="294">
        <f>'[3]WACAP 2018'!O117+'WACAP 2019'!D133</f>
        <v>-4060.6299999999978</v>
      </c>
      <c r="E134" s="294">
        <f t="shared" ref="E134:P134" si="63">D134+E133</f>
        <v>-4499.8899999999976</v>
      </c>
      <c r="F134" s="294">
        <f t="shared" si="63"/>
        <v>-4917.5899999999974</v>
      </c>
      <c r="G134" s="294">
        <f t="shared" si="63"/>
        <v>-5205.8799999999974</v>
      </c>
      <c r="H134" s="294">
        <f t="shared" si="63"/>
        <v>-5413.2399999999971</v>
      </c>
      <c r="I134" s="294">
        <f t="shared" si="63"/>
        <v>-5627.0199999999968</v>
      </c>
      <c r="J134" s="294">
        <f t="shared" si="63"/>
        <v>-5776.7099999999964</v>
      </c>
      <c r="K134" s="294">
        <f t="shared" si="63"/>
        <v>-5965.1199999999963</v>
      </c>
      <c r="L134" s="294">
        <f t="shared" si="63"/>
        <v>-6128.4199999999964</v>
      </c>
      <c r="M134" s="294">
        <f t="shared" si="63"/>
        <v>-6530.6799999999967</v>
      </c>
      <c r="N134" s="294">
        <f t="shared" si="63"/>
        <v>-2820.3399999999965</v>
      </c>
      <c r="O134" s="294">
        <f t="shared" si="63"/>
        <v>-3053.2799999999966</v>
      </c>
      <c r="P134" s="581">
        <f t="shared" si="63"/>
        <v>-3451.1799999999967</v>
      </c>
      <c r="R134" s="563"/>
    </row>
    <row r="135" spans="1:30" x14ac:dyDescent="0.25">
      <c r="A135" s="229">
        <v>135</v>
      </c>
      <c r="B135" s="572"/>
      <c r="C135" s="196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573"/>
      <c r="R135" s="563"/>
      <c r="T135" s="196"/>
      <c r="U135" s="294"/>
      <c r="V135" s="591">
        <f>ROUND(U138/Z138,0)</f>
        <v>112879</v>
      </c>
    </row>
    <row r="136" spans="1:30" x14ac:dyDescent="0.25">
      <c r="A136" s="229">
        <v>136</v>
      </c>
      <c r="B136" s="586" t="s">
        <v>367</v>
      </c>
      <c r="C136" s="264">
        <v>570</v>
      </c>
      <c r="D136" s="291"/>
      <c r="E136" s="291"/>
      <c r="F136" s="294"/>
      <c r="G136" s="291"/>
      <c r="H136" s="291"/>
      <c r="I136" s="291"/>
      <c r="J136" s="291"/>
      <c r="K136" s="291"/>
      <c r="L136" s="291"/>
      <c r="M136" s="291"/>
      <c r="N136" s="291"/>
      <c r="O136" s="291"/>
      <c r="P136" s="587"/>
      <c r="R136" s="563"/>
      <c r="U136" s="229">
        <v>570</v>
      </c>
      <c r="V136" s="591">
        <f>ROUND(U139/Z139,0)</f>
        <v>117354</v>
      </c>
      <c r="W136" s="591">
        <f>SUM(V135:V136)</f>
        <v>230233</v>
      </c>
    </row>
    <row r="137" spans="1:30" ht="15.75" x14ac:dyDescent="0.25">
      <c r="A137" s="229">
        <v>137</v>
      </c>
      <c r="B137" s="572" t="s">
        <v>365</v>
      </c>
      <c r="C137" s="229" t="s">
        <v>548</v>
      </c>
      <c r="D137" s="291">
        <v>8</v>
      </c>
      <c r="E137" s="291">
        <v>8</v>
      </c>
      <c r="F137" s="291">
        <v>7</v>
      </c>
      <c r="G137" s="291">
        <v>7</v>
      </c>
      <c r="H137" s="291">
        <v>7</v>
      </c>
      <c r="I137" s="291">
        <v>7</v>
      </c>
      <c r="J137" s="291">
        <v>8</v>
      </c>
      <c r="K137" s="291">
        <v>8</v>
      </c>
      <c r="L137" s="291">
        <v>8</v>
      </c>
      <c r="M137" s="291">
        <v>8</v>
      </c>
      <c r="N137" s="291"/>
      <c r="O137" s="291">
        <v>8</v>
      </c>
      <c r="P137" s="587">
        <v>8</v>
      </c>
      <c r="Q137" s="584"/>
      <c r="R137" s="585"/>
      <c r="V137" s="588">
        <v>230233</v>
      </c>
      <c r="W137" s="229" t="s">
        <v>31</v>
      </c>
      <c r="X137" s="291">
        <f>V137</f>
        <v>230233</v>
      </c>
    </row>
    <row r="138" spans="1:30" ht="15.75" x14ac:dyDescent="0.25">
      <c r="A138" s="229">
        <v>138</v>
      </c>
      <c r="B138" s="572" t="s">
        <v>362</v>
      </c>
      <c r="C138" s="229" t="s">
        <v>373</v>
      </c>
      <c r="D138" s="294">
        <v>9622.91</v>
      </c>
      <c r="E138" s="294">
        <v>9606.64</v>
      </c>
      <c r="F138" s="294">
        <v>9743.14</v>
      </c>
      <c r="G138" s="294">
        <v>9318.4599999999991</v>
      </c>
      <c r="H138" s="294">
        <v>8122.21</v>
      </c>
      <c r="I138" s="294">
        <v>7127.76</v>
      </c>
      <c r="J138" s="294">
        <v>6345.37</v>
      </c>
      <c r="K138" s="294">
        <v>7848.97</v>
      </c>
      <c r="L138" s="294">
        <v>6023.96</v>
      </c>
      <c r="M138" s="294">
        <v>6363.13</v>
      </c>
      <c r="N138" s="294"/>
      <c r="O138" s="294">
        <v>10635.04</v>
      </c>
      <c r="P138" s="573">
        <v>8911.7900000000009</v>
      </c>
      <c r="Q138" s="591"/>
      <c r="R138" s="578"/>
      <c r="T138" s="196" t="s">
        <v>28</v>
      </c>
      <c r="U138" s="590">
        <v>8911.7900000000009</v>
      </c>
      <c r="V138" s="576">
        <f>U138/V135</f>
        <v>7.8949937543741536E-2</v>
      </c>
      <c r="X138" s="576">
        <f>U138/V135</f>
        <v>7.8949937543741536E-2</v>
      </c>
      <c r="Z138" s="229">
        <v>7.8950000000000006E-2</v>
      </c>
      <c r="AB138" s="576">
        <f>Z138-X138</f>
        <v>6.2456258470566794E-8</v>
      </c>
    </row>
    <row r="139" spans="1:30" ht="15.75" x14ac:dyDescent="0.25">
      <c r="A139" s="229">
        <v>139</v>
      </c>
      <c r="B139" s="572" t="s">
        <v>362</v>
      </c>
      <c r="C139" s="229" t="s">
        <v>372</v>
      </c>
      <c r="D139" s="294">
        <v>3115.63</v>
      </c>
      <c r="E139" s="294">
        <v>3082.7</v>
      </c>
      <c r="F139" s="294">
        <v>3299.5</v>
      </c>
      <c r="G139" s="294">
        <v>2924.98</v>
      </c>
      <c r="H139" s="294">
        <v>1991.48</v>
      </c>
      <c r="I139" s="294">
        <v>1168.3800000000001</v>
      </c>
      <c r="J139" s="294">
        <v>688.23</v>
      </c>
      <c r="K139" s="294">
        <v>463.34</v>
      </c>
      <c r="L139" s="294">
        <v>389.96</v>
      </c>
      <c r="M139" s="294">
        <v>693.4</v>
      </c>
      <c r="N139" s="294"/>
      <c r="O139" s="294">
        <v>2205.61</v>
      </c>
      <c r="P139" s="573">
        <v>2638.12</v>
      </c>
      <c r="Q139" s="591"/>
      <c r="R139" s="578"/>
      <c r="T139" s="196" t="s">
        <v>28</v>
      </c>
      <c r="U139" s="590">
        <v>2638.12</v>
      </c>
      <c r="V139" s="576">
        <f>U139/V136</f>
        <v>2.2480017724150859E-2</v>
      </c>
      <c r="X139" s="576">
        <f>U139/V136</f>
        <v>2.2480017724150859E-2</v>
      </c>
      <c r="Z139" s="229">
        <v>2.248E-2</v>
      </c>
      <c r="AB139" s="576">
        <f>Z139-X139</f>
        <v>-1.7724150858794419E-8</v>
      </c>
    </row>
    <row r="140" spans="1:30" ht="15.75" x14ac:dyDescent="0.25">
      <c r="A140" s="229">
        <v>140</v>
      </c>
      <c r="B140" s="572" t="s">
        <v>357</v>
      </c>
      <c r="C140" s="229" t="s">
        <v>371</v>
      </c>
      <c r="D140" s="294">
        <v>9606.64</v>
      </c>
      <c r="E140" s="294">
        <v>9743.14</v>
      </c>
      <c r="F140" s="294">
        <v>9318.4599999999991</v>
      </c>
      <c r="G140" s="294">
        <v>8122.21</v>
      </c>
      <c r="H140" s="294">
        <v>7127.76</v>
      </c>
      <c r="I140" s="294">
        <v>6345.37</v>
      </c>
      <c r="J140" s="294">
        <v>7848.97</v>
      </c>
      <c r="K140" s="294">
        <v>6023.96</v>
      </c>
      <c r="L140" s="294">
        <v>6363.13</v>
      </c>
      <c r="M140" s="294">
        <v>10635.04</v>
      </c>
      <c r="N140" s="294"/>
      <c r="O140" s="294">
        <v>8911.7900000000009</v>
      </c>
      <c r="P140" s="573">
        <v>9570.31</v>
      </c>
      <c r="Q140" s="591"/>
      <c r="R140" s="578"/>
      <c r="T140" s="196" t="s">
        <v>11</v>
      </c>
      <c r="U140" s="590">
        <v>94027.15</v>
      </c>
      <c r="V140" s="576">
        <f>U140/V137</f>
        <v>0.4083999687273327</v>
      </c>
      <c r="X140" s="576">
        <f>U140/X137</f>
        <v>0.4083999687273327</v>
      </c>
      <c r="Z140" s="592">
        <v>0.40839999999999999</v>
      </c>
      <c r="AB140" s="576">
        <f>Z140-X140</f>
        <v>3.1272667289083955E-8</v>
      </c>
      <c r="AD140" s="591">
        <f>P140</f>
        <v>9570.31</v>
      </c>
    </row>
    <row r="141" spans="1:30" x14ac:dyDescent="0.25">
      <c r="A141" s="229">
        <v>141</v>
      </c>
      <c r="B141" s="572" t="s">
        <v>357</v>
      </c>
      <c r="C141" s="229" t="s">
        <v>370</v>
      </c>
      <c r="D141" s="294">
        <v>3082.7</v>
      </c>
      <c r="E141" s="294">
        <v>3299.5</v>
      </c>
      <c r="F141" s="294">
        <v>2924.98</v>
      </c>
      <c r="G141" s="294">
        <v>1991.48</v>
      </c>
      <c r="H141" s="294">
        <v>1168.3800000000001</v>
      </c>
      <c r="I141" s="294">
        <v>688.23</v>
      </c>
      <c r="J141" s="294">
        <v>463.34</v>
      </c>
      <c r="K141" s="294">
        <v>389.47</v>
      </c>
      <c r="L141" s="294">
        <v>693.4</v>
      </c>
      <c r="M141" s="294">
        <v>2205.61</v>
      </c>
      <c r="N141" s="294"/>
      <c r="O141" s="294">
        <v>2638.12</v>
      </c>
      <c r="P141" s="573">
        <v>2985.23</v>
      </c>
      <c r="Q141" s="591"/>
      <c r="R141" s="578"/>
      <c r="U141" s="609"/>
      <c r="AB141" s="576"/>
      <c r="AD141" s="591">
        <f>P141</f>
        <v>2985.23</v>
      </c>
    </row>
    <row r="142" spans="1:30" x14ac:dyDescent="0.25">
      <c r="A142" s="229">
        <v>142</v>
      </c>
      <c r="B142" s="572" t="s">
        <v>357</v>
      </c>
      <c r="C142" s="229" t="s">
        <v>369</v>
      </c>
      <c r="D142" s="294">
        <f>-'[3]WACAP 2018'!O123</f>
        <v>-9622.91</v>
      </c>
      <c r="E142" s="294">
        <f t="shared" ref="E142:M142" si="64">-D140</f>
        <v>-9606.64</v>
      </c>
      <c r="F142" s="294">
        <f t="shared" si="64"/>
        <v>-9743.14</v>
      </c>
      <c r="G142" s="294">
        <f t="shared" si="64"/>
        <v>-9318.4599999999991</v>
      </c>
      <c r="H142" s="294">
        <f t="shared" si="64"/>
        <v>-8122.21</v>
      </c>
      <c r="I142" s="294">
        <f t="shared" si="64"/>
        <v>-7127.76</v>
      </c>
      <c r="J142" s="294">
        <f t="shared" si="64"/>
        <v>-6345.37</v>
      </c>
      <c r="K142" s="294">
        <f t="shared" si="64"/>
        <v>-7848.97</v>
      </c>
      <c r="L142" s="294">
        <f t="shared" si="64"/>
        <v>-6023.96</v>
      </c>
      <c r="M142" s="294">
        <f t="shared" si="64"/>
        <v>-6363.13</v>
      </c>
      <c r="N142" s="294"/>
      <c r="O142" s="294">
        <f>-M140</f>
        <v>-10635.04</v>
      </c>
      <c r="P142" s="573">
        <f>-O140</f>
        <v>-8911.7900000000009</v>
      </c>
      <c r="Q142" s="591"/>
      <c r="R142" s="578"/>
      <c r="AD142" s="591">
        <f>D142</f>
        <v>-9622.91</v>
      </c>
    </row>
    <row r="143" spans="1:30" x14ac:dyDescent="0.25">
      <c r="A143" s="229">
        <v>143</v>
      </c>
      <c r="B143" s="572" t="s">
        <v>357</v>
      </c>
      <c r="C143" s="229" t="s">
        <v>368</v>
      </c>
      <c r="D143" s="574">
        <f>-'[3]WACAP 2018'!O124</f>
        <v>-3115.63</v>
      </c>
      <c r="E143" s="574">
        <f t="shared" ref="E143:M143" si="65">-D141</f>
        <v>-3082.7</v>
      </c>
      <c r="F143" s="574">
        <f t="shared" si="65"/>
        <v>-3299.5</v>
      </c>
      <c r="G143" s="574">
        <f t="shared" si="65"/>
        <v>-2924.98</v>
      </c>
      <c r="H143" s="574">
        <f t="shared" si="65"/>
        <v>-1991.48</v>
      </c>
      <c r="I143" s="574">
        <f t="shared" si="65"/>
        <v>-1168.3800000000001</v>
      </c>
      <c r="J143" s="574">
        <f t="shared" si="65"/>
        <v>-688.23</v>
      </c>
      <c r="K143" s="574">
        <f t="shared" si="65"/>
        <v>-463.34</v>
      </c>
      <c r="L143" s="574">
        <f t="shared" si="65"/>
        <v>-389.47</v>
      </c>
      <c r="M143" s="574">
        <f t="shared" si="65"/>
        <v>-693.4</v>
      </c>
      <c r="N143" s="574"/>
      <c r="O143" s="574">
        <f>-M141</f>
        <v>-2205.61</v>
      </c>
      <c r="P143" s="575">
        <f>-O141</f>
        <v>-2638.12</v>
      </c>
      <c r="Q143" s="591"/>
      <c r="R143" s="578"/>
      <c r="AD143" s="591">
        <f>D143</f>
        <v>-3115.63</v>
      </c>
    </row>
    <row r="144" spans="1:30" x14ac:dyDescent="0.25">
      <c r="A144" s="229">
        <v>144</v>
      </c>
      <c r="B144" s="572"/>
      <c r="C144" s="196" t="s">
        <v>355</v>
      </c>
      <c r="D144" s="294">
        <f t="shared" ref="D144:M144" si="66">SUM(D138:D143)</f>
        <v>12689.34</v>
      </c>
      <c r="E144" s="294">
        <f t="shared" si="66"/>
        <v>13042.64</v>
      </c>
      <c r="F144" s="294">
        <f t="shared" si="66"/>
        <v>12243.439999999999</v>
      </c>
      <c r="G144" s="294">
        <f t="shared" si="66"/>
        <v>10113.689999999999</v>
      </c>
      <c r="H144" s="294">
        <f t="shared" si="66"/>
        <v>8296.1400000000031</v>
      </c>
      <c r="I144" s="294">
        <f t="shared" si="66"/>
        <v>7033.5999999999976</v>
      </c>
      <c r="J144" s="294">
        <f t="shared" si="66"/>
        <v>8312.3100000000013</v>
      </c>
      <c r="K144" s="294">
        <f t="shared" si="66"/>
        <v>6413.4299999999994</v>
      </c>
      <c r="L144" s="294">
        <f t="shared" si="66"/>
        <v>7057.0199999999986</v>
      </c>
      <c r="M144" s="294">
        <f t="shared" si="66"/>
        <v>12840.65</v>
      </c>
      <c r="N144" s="294"/>
      <c r="O144" s="294">
        <f>SUM(O138:O143)</f>
        <v>11549.91</v>
      </c>
      <c r="P144" s="573">
        <f>SUM(P138:P143)</f>
        <v>12555.54</v>
      </c>
      <c r="R144" s="563"/>
    </row>
    <row r="145" spans="1:28" x14ac:dyDescent="0.25">
      <c r="A145" s="229">
        <v>145</v>
      </c>
      <c r="B145" s="572"/>
      <c r="C145" s="196" t="s">
        <v>354</v>
      </c>
      <c r="D145" s="574">
        <f>ROUND(-'[3]Authorized Margins 2018'!J18*'WACAP 2019'!D137,2)</f>
        <v>-18824.16</v>
      </c>
      <c r="E145" s="574">
        <f>ROUND(-'[3]Authorized Margins 2018'!K18*'WACAP 2019'!E137,2)</f>
        <v>-18920.32</v>
      </c>
      <c r="F145" s="574">
        <f>ROUND(-'[3]Authorized Margins 2018'!L18*'WACAP 2019'!F137,2)</f>
        <v>-13555.43</v>
      </c>
      <c r="G145" s="574">
        <f>ROUND(-'[3]Authorized Margins 2018'!M18*'WACAP 2019'!G137,2)</f>
        <v>-13490.89</v>
      </c>
      <c r="H145" s="574">
        <f>ROUND(-'[3]Authorized Margins 2018'!N18*'WACAP 2019'!H137,2)</f>
        <v>-9723.49</v>
      </c>
      <c r="I145" s="574">
        <f>ROUND(-'[3]Authorized Margins 2018'!O18*'WACAP 2019'!I137,2)</f>
        <v>-8083.39</v>
      </c>
      <c r="J145" s="574">
        <f>ROUND(-'[3]Authorized Margins 2018'!D18*'WACAP 2019'!J137,2)</f>
        <v>-7533.76</v>
      </c>
      <c r="K145" s="574">
        <f>ROUND(-'[3]Authorized Margins 2018'!E18*'WACAP 2019'!K137,2)</f>
        <v>-8838.16</v>
      </c>
      <c r="L145" s="574">
        <f>ROUND(-'[3]Authorized Margins 2018'!F18*'WACAP 2019'!L137,2)</f>
        <v>-6932.32</v>
      </c>
      <c r="M145" s="574">
        <f>ROUND(-'[3]Authorized Margins 2018'!G18*'WACAP 2019'!M137,2)</f>
        <v>-8996.48</v>
      </c>
      <c r="N145" s="574"/>
      <c r="O145" s="574">
        <f>ROUND(-'[3]Authorized Margins 2018'!H18*'WACAP 2019'!O137,2)</f>
        <v>-12708</v>
      </c>
      <c r="P145" s="575">
        <f>ROUND(-'[3]Authorized Margins 2018'!I18*'WACAP 2019'!P137,2)</f>
        <v>-14600.88</v>
      </c>
      <c r="R145" s="563"/>
    </row>
    <row r="146" spans="1:28" x14ac:dyDescent="0.25">
      <c r="A146" s="229">
        <v>146</v>
      </c>
      <c r="B146" s="572"/>
      <c r="C146" s="196" t="s">
        <v>353</v>
      </c>
      <c r="D146" s="294">
        <f t="shared" ref="D146:M146" si="67">SUM(D144:D145)</f>
        <v>-6134.82</v>
      </c>
      <c r="E146" s="294">
        <f t="shared" si="67"/>
        <v>-5877.68</v>
      </c>
      <c r="F146" s="294">
        <f t="shared" si="67"/>
        <v>-1311.9900000000016</v>
      </c>
      <c r="G146" s="294">
        <f t="shared" si="67"/>
        <v>-3377.2000000000007</v>
      </c>
      <c r="H146" s="294">
        <f t="shared" si="67"/>
        <v>-1427.3499999999967</v>
      </c>
      <c r="I146" s="294">
        <f t="shared" si="67"/>
        <v>-1049.7900000000027</v>
      </c>
      <c r="J146" s="294">
        <f t="shared" si="67"/>
        <v>778.55000000000109</v>
      </c>
      <c r="K146" s="294">
        <f t="shared" si="67"/>
        <v>-2424.7300000000005</v>
      </c>
      <c r="L146" s="294">
        <f t="shared" si="67"/>
        <v>124.69999999999891</v>
      </c>
      <c r="M146" s="294">
        <f t="shared" si="67"/>
        <v>3844.17</v>
      </c>
      <c r="N146" s="294">
        <f>-'[3]WACAP 2018'!Q131</f>
        <v>34503.840000000004</v>
      </c>
      <c r="O146" s="294">
        <f>SUM(O144:O145)</f>
        <v>-1158.0900000000001</v>
      </c>
      <c r="P146" s="573">
        <f>SUM(P144:P145)</f>
        <v>-2045.3399999999983</v>
      </c>
      <c r="R146" s="578">
        <f>SUM(D146:Q146)-N146</f>
        <v>-20059.57</v>
      </c>
    </row>
    <row r="147" spans="1:28" x14ac:dyDescent="0.25">
      <c r="A147" s="229">
        <v>147</v>
      </c>
      <c r="B147" s="572"/>
      <c r="C147" s="196" t="s">
        <v>352</v>
      </c>
      <c r="D147" s="294">
        <f>ROUND(ROUND('[3]WACAP 2018'!O132*D$6,2)/365*D$7,2)</f>
        <v>-151.80000000000001</v>
      </c>
      <c r="E147" s="294">
        <f t="shared" ref="E147:M147" si="68">ROUND(ROUND(D149*E$6,2)/365*E$7,2)</f>
        <v>-162.09</v>
      </c>
      <c r="F147" s="294">
        <f t="shared" si="68"/>
        <v>-206.03</v>
      </c>
      <c r="G147" s="294">
        <f t="shared" si="68"/>
        <v>-216.57</v>
      </c>
      <c r="H147" s="294">
        <f t="shared" si="68"/>
        <v>-240.43</v>
      </c>
      <c r="I147" s="294">
        <f t="shared" si="68"/>
        <v>-240.14</v>
      </c>
      <c r="J147" s="294">
        <f t="shared" si="68"/>
        <v>-256.45</v>
      </c>
      <c r="K147" s="294">
        <f t="shared" si="68"/>
        <v>-254.01</v>
      </c>
      <c r="L147" s="294">
        <f t="shared" si="68"/>
        <v>-257.93</v>
      </c>
      <c r="M147" s="294">
        <f t="shared" si="68"/>
        <v>-263.26</v>
      </c>
      <c r="N147" s="294">
        <f>'[3]Ammort Split 2019'!N130</f>
        <v>1578.2499999999998</v>
      </c>
      <c r="O147" s="294">
        <f>ROUND(ROUND(N149*O$6,2)/365*O$7,2)</f>
        <v>-78.08</v>
      </c>
      <c r="P147" s="573">
        <f>ROUND(ROUND(O149*P$6,2)/365*P$7,2)</f>
        <v>-86.37</v>
      </c>
      <c r="R147" s="579">
        <f>SUM(D147:Q147)</f>
        <v>-834.91000000000031</v>
      </c>
    </row>
    <row r="148" spans="1:28" x14ac:dyDescent="0.25">
      <c r="A148" s="229">
        <v>148</v>
      </c>
      <c r="B148" s="572"/>
      <c r="C148" s="196" t="s">
        <v>351</v>
      </c>
      <c r="D148" s="574">
        <f t="shared" ref="D148:P148" si="69">SUM(D146:D147)</f>
        <v>-6286.62</v>
      </c>
      <c r="E148" s="574">
        <f t="shared" si="69"/>
        <v>-6039.77</v>
      </c>
      <c r="F148" s="574">
        <f t="shared" si="69"/>
        <v>-1518.0200000000016</v>
      </c>
      <c r="G148" s="574">
        <f t="shared" si="69"/>
        <v>-3593.7700000000009</v>
      </c>
      <c r="H148" s="574">
        <f t="shared" si="69"/>
        <v>-1667.7799999999968</v>
      </c>
      <c r="I148" s="574">
        <f t="shared" si="69"/>
        <v>-1289.9300000000026</v>
      </c>
      <c r="J148" s="574">
        <f t="shared" si="69"/>
        <v>522.10000000000105</v>
      </c>
      <c r="K148" s="574">
        <f t="shared" si="69"/>
        <v>-2678.7400000000007</v>
      </c>
      <c r="L148" s="574">
        <f t="shared" si="69"/>
        <v>-133.2300000000011</v>
      </c>
      <c r="M148" s="574">
        <f t="shared" si="69"/>
        <v>3580.91</v>
      </c>
      <c r="N148" s="574">
        <f t="shared" si="69"/>
        <v>36082.090000000004</v>
      </c>
      <c r="O148" s="574">
        <f t="shared" si="69"/>
        <v>-1236.17</v>
      </c>
      <c r="P148" s="575">
        <f t="shared" si="69"/>
        <v>-2131.7099999999982</v>
      </c>
      <c r="R148" s="580">
        <f>SUM(R146:R147)</f>
        <v>-20894.48</v>
      </c>
    </row>
    <row r="149" spans="1:28" x14ac:dyDescent="0.25">
      <c r="A149" s="229">
        <v>149</v>
      </c>
      <c r="B149" s="572"/>
      <c r="C149" s="196" t="s">
        <v>349</v>
      </c>
      <c r="D149" s="294">
        <f>'[3]WACAP 2018'!O132+'WACAP 2019'!D148</f>
        <v>-40790.459999999992</v>
      </c>
      <c r="E149" s="294">
        <f t="shared" ref="E149:P149" si="70">D149+E148</f>
        <v>-46830.229999999996</v>
      </c>
      <c r="F149" s="294">
        <f t="shared" si="70"/>
        <v>-48348.25</v>
      </c>
      <c r="G149" s="294">
        <f t="shared" si="70"/>
        <v>-51942.020000000004</v>
      </c>
      <c r="H149" s="294">
        <f t="shared" si="70"/>
        <v>-53609.8</v>
      </c>
      <c r="I149" s="294">
        <f t="shared" si="70"/>
        <v>-54899.73</v>
      </c>
      <c r="J149" s="294">
        <f t="shared" si="70"/>
        <v>-54377.630000000005</v>
      </c>
      <c r="K149" s="294">
        <f t="shared" si="70"/>
        <v>-57056.37</v>
      </c>
      <c r="L149" s="294">
        <f t="shared" si="70"/>
        <v>-57189.600000000006</v>
      </c>
      <c r="M149" s="294">
        <f t="shared" si="70"/>
        <v>-53608.69</v>
      </c>
      <c r="N149" s="294">
        <f t="shared" si="70"/>
        <v>-17526.599999999999</v>
      </c>
      <c r="O149" s="294">
        <f t="shared" si="70"/>
        <v>-18762.769999999997</v>
      </c>
      <c r="P149" s="581">
        <f t="shared" si="70"/>
        <v>-20894.479999999996</v>
      </c>
      <c r="R149" s="563"/>
    </row>
    <row r="150" spans="1:28" x14ac:dyDescent="0.25">
      <c r="A150" s="229">
        <v>150</v>
      </c>
      <c r="B150" s="572"/>
      <c r="D150" s="291"/>
      <c r="E150" s="291"/>
      <c r="F150" s="294"/>
      <c r="G150" s="291"/>
      <c r="H150" s="291"/>
      <c r="I150" s="291"/>
      <c r="J150" s="291"/>
      <c r="K150" s="291"/>
      <c r="L150" s="291"/>
      <c r="M150" s="291"/>
      <c r="N150" s="291"/>
      <c r="O150" s="291"/>
      <c r="P150" s="587"/>
      <c r="R150" s="563"/>
      <c r="T150" s="196"/>
      <c r="U150" s="294"/>
      <c r="V150" s="591"/>
    </row>
    <row r="151" spans="1:28" x14ac:dyDescent="0.25">
      <c r="A151" s="229">
        <v>151</v>
      </c>
      <c r="B151" s="229" t="s">
        <v>367</v>
      </c>
      <c r="C151" s="264">
        <v>577</v>
      </c>
      <c r="D151" s="291" t="s">
        <v>366</v>
      </c>
      <c r="F151" s="294"/>
      <c r="G151" s="291"/>
      <c r="H151" s="291"/>
      <c r="I151" s="291"/>
      <c r="J151" s="291"/>
      <c r="L151" s="291"/>
      <c r="M151" s="291"/>
      <c r="N151" s="291"/>
      <c r="O151" s="291"/>
      <c r="P151" s="587"/>
      <c r="R151" s="563"/>
      <c r="V151" s="591"/>
      <c r="W151" s="591"/>
    </row>
    <row r="152" spans="1:28" x14ac:dyDescent="0.25">
      <c r="A152" s="229">
        <v>152</v>
      </c>
      <c r="B152" s="572" t="s">
        <v>365</v>
      </c>
      <c r="C152" s="229" t="s">
        <v>548</v>
      </c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587"/>
      <c r="Q152" s="584"/>
      <c r="R152" s="585"/>
      <c r="V152" s="291"/>
      <c r="X152" s="291"/>
    </row>
    <row r="153" spans="1:28" x14ac:dyDescent="0.25">
      <c r="A153" s="229">
        <v>153</v>
      </c>
      <c r="B153" s="572" t="s">
        <v>362</v>
      </c>
      <c r="C153" s="229" t="s">
        <v>363</v>
      </c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573"/>
      <c r="Q153" s="591"/>
      <c r="R153" s="578"/>
      <c r="T153" s="196"/>
      <c r="U153" s="294"/>
      <c r="V153" s="576"/>
      <c r="X153" s="576"/>
      <c r="AB153" s="576"/>
    </row>
    <row r="154" spans="1:28" x14ac:dyDescent="0.25">
      <c r="A154" s="229">
        <v>154</v>
      </c>
      <c r="B154" s="572" t="s">
        <v>362</v>
      </c>
      <c r="C154" s="229" t="s">
        <v>361</v>
      </c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573"/>
      <c r="Q154" s="591"/>
      <c r="R154" s="578"/>
      <c r="T154" s="196"/>
      <c r="U154" s="294"/>
      <c r="V154" s="576"/>
      <c r="X154" s="576"/>
      <c r="AB154" s="576"/>
    </row>
    <row r="155" spans="1:28" x14ac:dyDescent="0.25">
      <c r="A155" s="229">
        <v>155</v>
      </c>
      <c r="B155" s="572" t="s">
        <v>357</v>
      </c>
      <c r="C155" s="229" t="s">
        <v>360</v>
      </c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573"/>
      <c r="Q155" s="591"/>
      <c r="R155" s="578"/>
      <c r="T155" s="196"/>
      <c r="U155" s="294"/>
      <c r="V155" s="576"/>
      <c r="X155" s="576"/>
      <c r="AB155" s="576"/>
    </row>
    <row r="156" spans="1:28" x14ac:dyDescent="0.25">
      <c r="A156" s="229">
        <v>156</v>
      </c>
      <c r="B156" s="572" t="s">
        <v>357</v>
      </c>
      <c r="C156" s="229" t="s">
        <v>359</v>
      </c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573"/>
      <c r="Q156" s="591"/>
      <c r="R156" s="578"/>
      <c r="AB156" s="576"/>
    </row>
    <row r="157" spans="1:28" x14ac:dyDescent="0.25">
      <c r="A157" s="229">
        <v>157</v>
      </c>
      <c r="B157" s="572" t="s">
        <v>357</v>
      </c>
      <c r="C157" s="229" t="s">
        <v>358</v>
      </c>
      <c r="D157" s="294">
        <f>-'[3]WACAP 2018'!O138</f>
        <v>0</v>
      </c>
      <c r="E157" s="294">
        <f t="shared" ref="E157:M157" si="71">-D155</f>
        <v>0</v>
      </c>
      <c r="F157" s="294">
        <f t="shared" si="71"/>
        <v>0</v>
      </c>
      <c r="G157" s="294">
        <f t="shared" si="71"/>
        <v>0</v>
      </c>
      <c r="H157" s="294">
        <f t="shared" si="71"/>
        <v>0</v>
      </c>
      <c r="I157" s="294">
        <f t="shared" si="71"/>
        <v>0</v>
      </c>
      <c r="J157" s="294">
        <f t="shared" si="71"/>
        <v>0</v>
      </c>
      <c r="K157" s="294">
        <f t="shared" si="71"/>
        <v>0</v>
      </c>
      <c r="L157" s="294">
        <f t="shared" si="71"/>
        <v>0</v>
      </c>
      <c r="M157" s="294">
        <f t="shared" si="71"/>
        <v>0</v>
      </c>
      <c r="N157" s="294"/>
      <c r="O157" s="294">
        <f>-M155</f>
        <v>0</v>
      </c>
      <c r="P157" s="573">
        <f>-O155</f>
        <v>0</v>
      </c>
      <c r="Q157" s="591"/>
      <c r="R157" s="578"/>
    </row>
    <row r="158" spans="1:28" x14ac:dyDescent="0.25">
      <c r="A158" s="229">
        <v>158</v>
      </c>
      <c r="B158" s="572" t="s">
        <v>357</v>
      </c>
      <c r="C158" s="229" t="s">
        <v>356</v>
      </c>
      <c r="D158" s="574">
        <f>-'[3]WACAP 2018'!O139</f>
        <v>0</v>
      </c>
      <c r="E158" s="574">
        <f t="shared" ref="E158:M158" si="72">-D156</f>
        <v>0</v>
      </c>
      <c r="F158" s="574">
        <f t="shared" si="72"/>
        <v>0</v>
      </c>
      <c r="G158" s="574">
        <f t="shared" si="72"/>
        <v>0</v>
      </c>
      <c r="H158" s="574">
        <f t="shared" si="72"/>
        <v>0</v>
      </c>
      <c r="I158" s="574">
        <f t="shared" si="72"/>
        <v>0</v>
      </c>
      <c r="J158" s="574">
        <f t="shared" si="72"/>
        <v>0</v>
      </c>
      <c r="K158" s="574">
        <f t="shared" si="72"/>
        <v>0</v>
      </c>
      <c r="L158" s="574">
        <f t="shared" si="72"/>
        <v>0</v>
      </c>
      <c r="M158" s="574">
        <f t="shared" si="72"/>
        <v>0</v>
      </c>
      <c r="N158" s="574"/>
      <c r="O158" s="574">
        <f>-M156</f>
        <v>0</v>
      </c>
      <c r="P158" s="575">
        <f>-O156</f>
        <v>0</v>
      </c>
      <c r="Q158" s="591"/>
      <c r="R158" s="578"/>
    </row>
    <row r="159" spans="1:28" x14ac:dyDescent="0.25">
      <c r="A159" s="229">
        <v>159</v>
      </c>
      <c r="B159" s="610"/>
      <c r="C159" s="196" t="s">
        <v>355</v>
      </c>
      <c r="D159" s="294">
        <f t="shared" ref="D159:M159" si="73">SUM(D153:D158)</f>
        <v>0</v>
      </c>
      <c r="E159" s="294">
        <f t="shared" si="73"/>
        <v>0</v>
      </c>
      <c r="F159" s="294">
        <f t="shared" si="73"/>
        <v>0</v>
      </c>
      <c r="G159" s="294">
        <f t="shared" si="73"/>
        <v>0</v>
      </c>
      <c r="H159" s="294">
        <f t="shared" si="73"/>
        <v>0</v>
      </c>
      <c r="I159" s="294">
        <f t="shared" si="73"/>
        <v>0</v>
      </c>
      <c r="J159" s="294">
        <f t="shared" si="73"/>
        <v>0</v>
      </c>
      <c r="K159" s="294">
        <f t="shared" si="73"/>
        <v>0</v>
      </c>
      <c r="L159" s="294">
        <f t="shared" si="73"/>
        <v>0</v>
      </c>
      <c r="M159" s="294">
        <f t="shared" si="73"/>
        <v>0</v>
      </c>
      <c r="N159" s="294"/>
      <c r="O159" s="294">
        <f>SUM(O153:O158)</f>
        <v>0</v>
      </c>
      <c r="P159" s="573">
        <f>SUM(P153:P158)</f>
        <v>0</v>
      </c>
      <c r="R159" s="563"/>
    </row>
    <row r="160" spans="1:28" x14ac:dyDescent="0.25">
      <c r="A160" s="229">
        <v>160</v>
      </c>
      <c r="B160" s="610"/>
      <c r="C160" s="196" t="s">
        <v>354</v>
      </c>
      <c r="D160" s="574">
        <v>0</v>
      </c>
      <c r="E160" s="574">
        <v>0</v>
      </c>
      <c r="F160" s="574">
        <v>0</v>
      </c>
      <c r="G160" s="574">
        <v>0</v>
      </c>
      <c r="H160" s="574">
        <v>0</v>
      </c>
      <c r="I160" s="574">
        <v>0</v>
      </c>
      <c r="J160" s="574">
        <v>0</v>
      </c>
      <c r="K160" s="574">
        <v>0</v>
      </c>
      <c r="L160" s="574">
        <v>0</v>
      </c>
      <c r="M160" s="574">
        <v>0</v>
      </c>
      <c r="N160" s="574"/>
      <c r="O160" s="574">
        <v>0</v>
      </c>
      <c r="P160" s="575">
        <v>0</v>
      </c>
      <c r="R160" s="563"/>
    </row>
    <row r="161" spans="1:31" x14ac:dyDescent="0.25">
      <c r="A161" s="229">
        <v>161</v>
      </c>
      <c r="B161" s="610"/>
      <c r="C161" s="196" t="s">
        <v>353</v>
      </c>
      <c r="D161" s="294">
        <f t="shared" ref="D161:M161" si="74">SUM(D159:D160)</f>
        <v>0</v>
      </c>
      <c r="E161" s="294">
        <f t="shared" si="74"/>
        <v>0</v>
      </c>
      <c r="F161" s="294">
        <f t="shared" si="74"/>
        <v>0</v>
      </c>
      <c r="G161" s="294">
        <f t="shared" si="74"/>
        <v>0</v>
      </c>
      <c r="H161" s="294">
        <f t="shared" si="74"/>
        <v>0</v>
      </c>
      <c r="I161" s="294">
        <f t="shared" si="74"/>
        <v>0</v>
      </c>
      <c r="J161" s="294">
        <f t="shared" si="74"/>
        <v>0</v>
      </c>
      <c r="K161" s="294">
        <f t="shared" si="74"/>
        <v>0</v>
      </c>
      <c r="L161" s="294">
        <f t="shared" si="74"/>
        <v>0</v>
      </c>
      <c r="M161" s="294">
        <f t="shared" si="74"/>
        <v>0</v>
      </c>
      <c r="N161" s="294">
        <f>-'[3]WACAP 2018'!Q146</f>
        <v>4415.5599999999995</v>
      </c>
      <c r="O161" s="294">
        <f>SUM(O159:O160)</f>
        <v>0</v>
      </c>
      <c r="P161" s="573">
        <f>SUM(P159:P160)</f>
        <v>0</v>
      </c>
      <c r="R161" s="578">
        <f>SUM(D161:Q161)-N161</f>
        <v>0</v>
      </c>
    </row>
    <row r="162" spans="1:31" x14ac:dyDescent="0.25">
      <c r="A162" s="229">
        <v>162</v>
      </c>
      <c r="B162" s="572"/>
      <c r="C162" s="196" t="s">
        <v>352</v>
      </c>
      <c r="D162" s="294">
        <f>ROUND(ROUND('[3]WACAP 2018'!O147*D$6,2)/365*D$7,2)</f>
        <v>-19.43</v>
      </c>
      <c r="E162" s="294">
        <f t="shared" ref="E162:M162" si="75">ROUND(ROUND(D164*E$6,2)/365*E$7,2)</f>
        <v>-17.62</v>
      </c>
      <c r="F162" s="294">
        <f t="shared" si="75"/>
        <v>-19.59</v>
      </c>
      <c r="G162" s="294">
        <f t="shared" si="75"/>
        <v>-20.03</v>
      </c>
      <c r="H162" s="294">
        <f t="shared" si="75"/>
        <v>-20.79</v>
      </c>
      <c r="I162" s="294">
        <f t="shared" si="75"/>
        <v>-20.22</v>
      </c>
      <c r="J162" s="294">
        <f t="shared" si="75"/>
        <v>-21.18</v>
      </c>
      <c r="K162" s="294">
        <f t="shared" si="75"/>
        <v>-21.27</v>
      </c>
      <c r="L162" s="294">
        <f t="shared" si="75"/>
        <v>-20.68</v>
      </c>
      <c r="M162" s="294">
        <f t="shared" si="75"/>
        <v>-21.16</v>
      </c>
      <c r="N162" s="294">
        <f>'[3]Ammort Split 2019'!N145</f>
        <v>201.97000000000003</v>
      </c>
      <c r="O162" s="294">
        <f>ROUND(ROUND(N164*O$6,2)/365*O$7,2)</f>
        <v>0</v>
      </c>
      <c r="P162" s="573">
        <f>ROUND(ROUND(O164*P$6,2)/365*P$7,2)</f>
        <v>0</v>
      </c>
      <c r="R162" s="579">
        <f>SUM(D162:Q162)</f>
        <v>0</v>
      </c>
    </row>
    <row r="163" spans="1:31" x14ac:dyDescent="0.25">
      <c r="A163" s="229">
        <v>163</v>
      </c>
      <c r="B163" s="572"/>
      <c r="C163" s="196" t="s">
        <v>351</v>
      </c>
      <c r="D163" s="574">
        <f t="shared" ref="D163:P163" si="76">SUM(D161:D162)</f>
        <v>-19.43</v>
      </c>
      <c r="E163" s="574">
        <f t="shared" si="76"/>
        <v>-17.62</v>
      </c>
      <c r="F163" s="574">
        <f t="shared" si="76"/>
        <v>-19.59</v>
      </c>
      <c r="G163" s="574">
        <f t="shared" si="76"/>
        <v>-20.03</v>
      </c>
      <c r="H163" s="574">
        <f t="shared" si="76"/>
        <v>-20.79</v>
      </c>
      <c r="I163" s="574">
        <f t="shared" si="76"/>
        <v>-20.22</v>
      </c>
      <c r="J163" s="574">
        <f t="shared" si="76"/>
        <v>-21.18</v>
      </c>
      <c r="K163" s="574">
        <f t="shared" si="76"/>
        <v>-21.27</v>
      </c>
      <c r="L163" s="574">
        <f t="shared" si="76"/>
        <v>-20.68</v>
      </c>
      <c r="M163" s="574">
        <f t="shared" si="76"/>
        <v>-21.16</v>
      </c>
      <c r="N163" s="574">
        <f t="shared" si="76"/>
        <v>4617.53</v>
      </c>
      <c r="O163" s="574">
        <f t="shared" si="76"/>
        <v>0</v>
      </c>
      <c r="P163" s="575">
        <f t="shared" si="76"/>
        <v>0</v>
      </c>
      <c r="R163" s="580">
        <f>SUM(R161:R162)</f>
        <v>0</v>
      </c>
    </row>
    <row r="164" spans="1:31" x14ac:dyDescent="0.25">
      <c r="A164" s="229">
        <v>164</v>
      </c>
      <c r="B164" s="572"/>
      <c r="C164" s="196" t="s">
        <v>349</v>
      </c>
      <c r="D164" s="294">
        <f>'[3]WACAP 2018'!O147+'WACAP 2019'!D163</f>
        <v>-4434.99</v>
      </c>
      <c r="E164" s="294">
        <f t="shared" ref="E164:P164" si="77">D164+E163</f>
        <v>-4452.6099999999997</v>
      </c>
      <c r="F164" s="294">
        <f t="shared" si="77"/>
        <v>-4472.2</v>
      </c>
      <c r="G164" s="294">
        <f t="shared" si="77"/>
        <v>-4492.2299999999996</v>
      </c>
      <c r="H164" s="294">
        <f t="shared" si="77"/>
        <v>-4513.0199999999995</v>
      </c>
      <c r="I164" s="294">
        <f t="shared" si="77"/>
        <v>-4533.24</v>
      </c>
      <c r="J164" s="294">
        <f t="shared" si="77"/>
        <v>-4554.42</v>
      </c>
      <c r="K164" s="294">
        <f t="shared" si="77"/>
        <v>-4575.6900000000005</v>
      </c>
      <c r="L164" s="294">
        <f t="shared" si="77"/>
        <v>-4596.3700000000008</v>
      </c>
      <c r="M164" s="294">
        <f t="shared" si="77"/>
        <v>-4617.5300000000007</v>
      </c>
      <c r="N164" s="294">
        <f t="shared" si="77"/>
        <v>0</v>
      </c>
      <c r="O164" s="294">
        <f t="shared" si="77"/>
        <v>0</v>
      </c>
      <c r="P164" s="581">
        <f t="shared" si="77"/>
        <v>0</v>
      </c>
      <c r="R164" s="563"/>
    </row>
    <row r="165" spans="1:31" ht="15.75" thickBot="1" x14ac:dyDescent="0.3">
      <c r="A165" s="229">
        <v>165</v>
      </c>
      <c r="B165" s="611"/>
      <c r="C165" s="554"/>
      <c r="D165" s="554"/>
      <c r="E165" s="554"/>
      <c r="F165" s="612"/>
      <c r="G165" s="554"/>
      <c r="H165" s="554"/>
      <c r="I165" s="554"/>
      <c r="J165" s="554"/>
      <c r="K165" s="554"/>
      <c r="L165" s="554"/>
      <c r="M165" s="554"/>
      <c r="N165" s="554"/>
      <c r="O165" s="554"/>
      <c r="P165" s="613"/>
      <c r="Q165" s="613"/>
      <c r="R165" s="614"/>
    </row>
    <row r="166" spans="1:31" x14ac:dyDescent="0.25">
      <c r="A166" s="229">
        <v>166</v>
      </c>
      <c r="F166" s="591"/>
    </row>
    <row r="167" spans="1:31" ht="30" x14ac:dyDescent="0.25">
      <c r="A167" s="229">
        <v>167</v>
      </c>
      <c r="C167" s="196" t="s">
        <v>350</v>
      </c>
      <c r="D167" s="294">
        <f t="shared" ref="D167:L167" si="78">D13+D25+D63+D75+D38+D131+D51+D106+D116+D146+D161</f>
        <v>-843959.23</v>
      </c>
      <c r="E167" s="294">
        <f t="shared" si="78"/>
        <v>3745264.0199999996</v>
      </c>
      <c r="F167" s="294">
        <f t="shared" si="78"/>
        <v>1400603.7000000011</v>
      </c>
      <c r="G167" s="294">
        <f t="shared" si="78"/>
        <v>-412427.72</v>
      </c>
      <c r="H167" s="294">
        <f t="shared" si="78"/>
        <v>54642.650000000052</v>
      </c>
      <c r="I167" s="294">
        <f t="shared" si="78"/>
        <v>-42807.880000000179</v>
      </c>
      <c r="J167" s="294">
        <f t="shared" si="78"/>
        <v>172084.5999999998</v>
      </c>
      <c r="K167" s="294">
        <f t="shared" si="78"/>
        <v>-273699.82999999996</v>
      </c>
      <c r="L167" s="294">
        <f t="shared" si="78"/>
        <v>344893.05</v>
      </c>
      <c r="M167" s="294">
        <f>M13+M25+M63+M75+M91+M38+M131+M51+M106+M116+M146+M161</f>
        <v>959061.61999999965</v>
      </c>
      <c r="N167" s="294">
        <f>N13+N25+N63+N75+N38+N131+N51+N106+N116+N146+N161</f>
        <v>1013703.1200000023</v>
      </c>
      <c r="O167" s="294">
        <f>O13+O25+O63+O75+O91+O38+O131+O51+O106+O116+O146+O161</f>
        <v>153107.62000000037</v>
      </c>
      <c r="P167" s="294">
        <f>P13+P25+P63+P75+P91+P38+P131+P51+P106+P116+P146+P161</f>
        <v>-1034787.4900000007</v>
      </c>
      <c r="R167" s="294">
        <f>R13+R25+R75+R91+R38+R131+R51+R106+R116+R146+R161+R63</f>
        <v>4221975.1099999994</v>
      </c>
      <c r="T167" s="591"/>
      <c r="AD167" s="294">
        <f>SUM(AD18:AD166)</f>
        <v>338287.40000000066</v>
      </c>
      <c r="AE167" s="615" t="s">
        <v>471</v>
      </c>
    </row>
    <row r="168" spans="1:31" x14ac:dyDescent="0.25">
      <c r="A168" s="229">
        <v>168</v>
      </c>
      <c r="C168" s="196" t="s">
        <v>598</v>
      </c>
      <c r="D168" s="294">
        <f t="shared" ref="D168:L168" si="79">D14+D26+D64+D76+D39+D132+D52+D107+D117+D147+D162</f>
        <v>-4459.76</v>
      </c>
      <c r="E168" s="294">
        <f t="shared" si="79"/>
        <v>-7399.5199999999995</v>
      </c>
      <c r="F168" s="294">
        <f t="shared" si="79"/>
        <v>8252.23</v>
      </c>
      <c r="G168" s="294">
        <f t="shared" si="79"/>
        <v>14713.219999999998</v>
      </c>
      <c r="H168" s="294">
        <f t="shared" si="79"/>
        <v>13362.699999999997</v>
      </c>
      <c r="I168" s="294">
        <f t="shared" si="79"/>
        <v>13236.270000000002</v>
      </c>
      <c r="J168" s="294">
        <f t="shared" si="79"/>
        <v>13664.819999999996</v>
      </c>
      <c r="K168" s="294">
        <f t="shared" si="79"/>
        <v>14532.529999999997</v>
      </c>
      <c r="L168" s="294">
        <f t="shared" si="79"/>
        <v>12892.16</v>
      </c>
      <c r="M168" s="294">
        <f>M14+M26+M64+M76+M92+M39+M132+M52+M107+M117+M147+M162</f>
        <v>14775.110000000002</v>
      </c>
      <c r="N168" s="294">
        <f>N14+N26+N64+N76+N39+N132+N52+N107+N117+N147+N162</f>
        <v>46368.350000000006</v>
      </c>
      <c r="O168" s="294">
        <f>O14+O26+O64+O76+O92+O39+O132+O52+O107+O117+O147+O162</f>
        <v>23359.139999999996</v>
      </c>
      <c r="P168" s="294">
        <f>P14+P26+P64+P76+P92+P39+P132+P52+P107+P117+P147+P162</f>
        <v>24950.11</v>
      </c>
      <c r="R168" s="574">
        <f>R14+R26+R76+R92+R39+R132+R52+R107+R117+R147+R162+R64</f>
        <v>188247.36</v>
      </c>
      <c r="T168" s="591"/>
    </row>
    <row r="169" spans="1:31" x14ac:dyDescent="0.25">
      <c r="A169" s="229">
        <v>169</v>
      </c>
      <c r="C169" s="196" t="s">
        <v>349</v>
      </c>
      <c r="D169" s="294">
        <f>SUM(D167:D168)+'[3]WACAP 2018'!O152</f>
        <v>-1862122.1600000039</v>
      </c>
      <c r="E169" s="294">
        <f t="shared" ref="E169:P169" si="80">SUM(E167:E168)+D169</f>
        <v>1875742.3399999957</v>
      </c>
      <c r="F169" s="294">
        <f t="shared" si="80"/>
        <v>3284598.2699999968</v>
      </c>
      <c r="G169" s="294">
        <f t="shared" si="80"/>
        <v>2886883.7699999968</v>
      </c>
      <c r="H169" s="294">
        <f t="shared" si="80"/>
        <v>2954889.1199999969</v>
      </c>
      <c r="I169" s="294">
        <f t="shared" si="80"/>
        <v>2925317.5099999965</v>
      </c>
      <c r="J169" s="294">
        <f t="shared" si="80"/>
        <v>3111066.9299999964</v>
      </c>
      <c r="K169" s="294">
        <f t="shared" si="80"/>
        <v>2851899.6299999966</v>
      </c>
      <c r="L169" s="294">
        <f t="shared" si="80"/>
        <v>3209684.8399999966</v>
      </c>
      <c r="M169" s="294">
        <f t="shared" si="80"/>
        <v>4183521.5699999961</v>
      </c>
      <c r="N169" s="294">
        <f t="shared" si="80"/>
        <v>5243593.0399999982</v>
      </c>
      <c r="O169" s="294">
        <f t="shared" si="80"/>
        <v>5420059.7999999989</v>
      </c>
      <c r="P169" s="294">
        <f t="shared" si="80"/>
        <v>4410222.4199999981</v>
      </c>
      <c r="R169" s="591">
        <f>SUM(R167:R168)</f>
        <v>4410222.47</v>
      </c>
      <c r="T169" s="591"/>
    </row>
    <row r="170" spans="1:31" x14ac:dyDescent="0.25">
      <c r="A170" s="229">
        <v>170</v>
      </c>
      <c r="C170" s="196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</row>
    <row r="171" spans="1:31" ht="15.75" thickBot="1" x14ac:dyDescent="0.3">
      <c r="A171" s="229">
        <v>171</v>
      </c>
      <c r="B171" s="426"/>
      <c r="F171" s="591"/>
      <c r="N171" s="229" t="s">
        <v>348</v>
      </c>
    </row>
    <row r="172" spans="1:31" ht="15.75" x14ac:dyDescent="0.25">
      <c r="A172" s="229">
        <v>172</v>
      </c>
      <c r="B172" s="426" t="s">
        <v>547</v>
      </c>
      <c r="C172" s="427"/>
      <c r="D172" s="616" t="s">
        <v>79</v>
      </c>
      <c r="E172" s="617" t="s">
        <v>80</v>
      </c>
      <c r="F172" s="617" t="s">
        <v>81</v>
      </c>
      <c r="G172" s="617" t="s">
        <v>82</v>
      </c>
      <c r="H172" s="617" t="s">
        <v>83</v>
      </c>
      <c r="I172" s="617" t="s">
        <v>84</v>
      </c>
      <c r="J172" s="617" t="s">
        <v>85</v>
      </c>
      <c r="K172" s="617" t="s">
        <v>546</v>
      </c>
      <c r="L172" s="617" t="s">
        <v>87</v>
      </c>
      <c r="M172" s="617" t="s">
        <v>88</v>
      </c>
      <c r="N172" s="618" t="s">
        <v>348</v>
      </c>
      <c r="O172" s="617" t="s">
        <v>89</v>
      </c>
      <c r="P172" s="617" t="s">
        <v>90</v>
      </c>
    </row>
    <row r="173" spans="1:31" ht="15.75" x14ac:dyDescent="0.25">
      <c r="A173" s="229">
        <v>173</v>
      </c>
      <c r="B173" s="428" t="s">
        <v>347</v>
      </c>
      <c r="C173" s="429" t="s">
        <v>346</v>
      </c>
      <c r="D173" s="619">
        <f t="shared" ref="D173:P173" si="81">-D167</f>
        <v>843959.23</v>
      </c>
      <c r="E173" s="619">
        <f t="shared" si="81"/>
        <v>-3745264.0199999996</v>
      </c>
      <c r="F173" s="619">
        <f t="shared" si="81"/>
        <v>-1400603.7000000011</v>
      </c>
      <c r="G173" s="619">
        <f t="shared" si="81"/>
        <v>412427.72</v>
      </c>
      <c r="H173" s="619">
        <f t="shared" si="81"/>
        <v>-54642.650000000052</v>
      </c>
      <c r="I173" s="619">
        <f t="shared" si="81"/>
        <v>42807.880000000179</v>
      </c>
      <c r="J173" s="619">
        <f t="shared" si="81"/>
        <v>-172084.5999999998</v>
      </c>
      <c r="K173" s="619">
        <f t="shared" si="81"/>
        <v>273699.82999999996</v>
      </c>
      <c r="L173" s="619">
        <f t="shared" si="81"/>
        <v>-344893.05</v>
      </c>
      <c r="M173" s="619">
        <f t="shared" si="81"/>
        <v>-959061.61999999965</v>
      </c>
      <c r="N173" s="619">
        <f t="shared" si="81"/>
        <v>-1013703.1200000023</v>
      </c>
      <c r="O173" s="619">
        <f t="shared" si="81"/>
        <v>-153107.62000000037</v>
      </c>
      <c r="P173" s="619">
        <f t="shared" si="81"/>
        <v>1034787.4900000007</v>
      </c>
      <c r="S173" s="591">
        <f t="shared" ref="S173:S178" si="82">SUM(D173:L173)</f>
        <v>-4144593.3599999994</v>
      </c>
    </row>
    <row r="174" spans="1:31" ht="15.75" x14ac:dyDescent="0.25">
      <c r="A174" s="229">
        <v>174</v>
      </c>
      <c r="B174" s="430" t="s">
        <v>345</v>
      </c>
      <c r="C174" s="431" t="s">
        <v>344</v>
      </c>
      <c r="D174" s="619">
        <f t="shared" ref="D174:P174" si="83">D13+D25</f>
        <v>-506033.05999999959</v>
      </c>
      <c r="E174" s="619">
        <f t="shared" si="83"/>
        <v>2341075.2800000003</v>
      </c>
      <c r="F174" s="619">
        <f t="shared" si="83"/>
        <v>534499.82000000076</v>
      </c>
      <c r="G174" s="619">
        <f t="shared" si="83"/>
        <v>-501222.68999999994</v>
      </c>
      <c r="H174" s="619">
        <f t="shared" si="83"/>
        <v>4168.8400000000838</v>
      </c>
      <c r="I174" s="619">
        <f t="shared" si="83"/>
        <v>-104941.75000000012</v>
      </c>
      <c r="J174" s="619">
        <f t="shared" si="83"/>
        <v>39684.14999999979</v>
      </c>
      <c r="K174" s="619">
        <f t="shared" si="83"/>
        <v>-172900.07999999996</v>
      </c>
      <c r="L174" s="619">
        <f t="shared" si="83"/>
        <v>177401.85000000009</v>
      </c>
      <c r="M174" s="619">
        <f t="shared" si="83"/>
        <v>522468.1799999997</v>
      </c>
      <c r="N174" s="619">
        <f t="shared" si="83"/>
        <v>1436041.1500000013</v>
      </c>
      <c r="O174" s="619">
        <f t="shared" si="83"/>
        <v>-323885.79999999981</v>
      </c>
      <c r="P174" s="619">
        <f t="shared" si="83"/>
        <v>-812396.77000000048</v>
      </c>
      <c r="S174" s="591">
        <f t="shared" si="82"/>
        <v>1811732.3600000013</v>
      </c>
    </row>
    <row r="175" spans="1:31" ht="15.75" x14ac:dyDescent="0.25">
      <c r="A175" s="229">
        <v>175</v>
      </c>
      <c r="B175" s="430" t="s">
        <v>343</v>
      </c>
      <c r="C175" s="431" t="s">
        <v>342</v>
      </c>
      <c r="D175" s="619">
        <f t="shared" ref="D175:P175" si="84">D38+D51</f>
        <v>-11142.349999999991</v>
      </c>
      <c r="E175" s="619">
        <f t="shared" si="84"/>
        <v>53282.219999999987</v>
      </c>
      <c r="F175" s="619">
        <f t="shared" si="84"/>
        <v>88538.790000000008</v>
      </c>
      <c r="G175" s="619">
        <f t="shared" si="84"/>
        <v>82505.339999999982</v>
      </c>
      <c r="H175" s="619">
        <f t="shared" si="84"/>
        <v>41064.989999999991</v>
      </c>
      <c r="I175" s="619">
        <f t="shared" si="84"/>
        <v>16856.650000000005</v>
      </c>
      <c r="J175" s="619">
        <f t="shared" si="84"/>
        <v>33887.660000000003</v>
      </c>
      <c r="K175" s="619">
        <f t="shared" si="84"/>
        <v>33010.820000000007</v>
      </c>
      <c r="L175" s="619">
        <f t="shared" si="84"/>
        <v>21230.270000000004</v>
      </c>
      <c r="M175" s="619">
        <f t="shared" si="84"/>
        <v>51035.53</v>
      </c>
      <c r="N175" s="619">
        <f t="shared" si="84"/>
        <v>-253139.8600000001</v>
      </c>
      <c r="O175" s="619">
        <f t="shared" si="84"/>
        <v>58956.209999999992</v>
      </c>
      <c r="P175" s="619">
        <f t="shared" si="84"/>
        <v>19971.32999999998</v>
      </c>
      <c r="S175" s="591">
        <f t="shared" si="82"/>
        <v>359234.39000000007</v>
      </c>
    </row>
    <row r="176" spans="1:31" ht="15.75" x14ac:dyDescent="0.25">
      <c r="A176" s="229">
        <v>176</v>
      </c>
      <c r="B176" s="430" t="s">
        <v>341</v>
      </c>
      <c r="C176" s="431" t="s">
        <v>340</v>
      </c>
      <c r="D176" s="619">
        <f t="shared" ref="D176:L176" si="85">D63+D75+D106+D116</f>
        <v>-320152.02000000048</v>
      </c>
      <c r="E176" s="619">
        <f t="shared" si="85"/>
        <v>1357207.3199999996</v>
      </c>
      <c r="F176" s="619">
        <f t="shared" si="85"/>
        <v>779274.98000000021</v>
      </c>
      <c r="G176" s="619">
        <f t="shared" si="85"/>
        <v>9933.0900000000274</v>
      </c>
      <c r="H176" s="619">
        <f t="shared" si="85"/>
        <v>11019.429999999968</v>
      </c>
      <c r="I176" s="619">
        <f t="shared" si="85"/>
        <v>46516.539999999928</v>
      </c>
      <c r="J176" s="619">
        <f t="shared" si="85"/>
        <v>97857.640000000014</v>
      </c>
      <c r="K176" s="619">
        <f t="shared" si="85"/>
        <v>-131224.41000000003</v>
      </c>
      <c r="L176" s="619">
        <f t="shared" si="85"/>
        <v>146272.55999999988</v>
      </c>
      <c r="M176" s="619">
        <f>M63+M75+M91+M106+M116</f>
        <v>382087.79</v>
      </c>
      <c r="N176" s="619">
        <f>N63+N75+N106+N116</f>
        <v>-211665.60999999897</v>
      </c>
      <c r="O176" s="619">
        <f>O63+O75+O91+O106+O116</f>
        <v>419415.68000000017</v>
      </c>
      <c r="P176" s="619">
        <f>P63+P75+P91+P106+P116</f>
        <v>-239932.87000000011</v>
      </c>
      <c r="S176" s="591">
        <f t="shared" si="82"/>
        <v>1996705.1299999992</v>
      </c>
    </row>
    <row r="177" spans="1:19" ht="15.75" x14ac:dyDescent="0.25">
      <c r="A177" s="229">
        <v>177</v>
      </c>
      <c r="B177" s="430" t="s">
        <v>339</v>
      </c>
      <c r="C177" s="431" t="s">
        <v>338</v>
      </c>
      <c r="D177" s="619">
        <f t="shared" ref="D177:P177" si="86">D131</f>
        <v>-496.98</v>
      </c>
      <c r="E177" s="619">
        <f t="shared" si="86"/>
        <v>-423.12</v>
      </c>
      <c r="F177" s="619">
        <f t="shared" si="86"/>
        <v>-397.9</v>
      </c>
      <c r="G177" s="619">
        <f t="shared" si="86"/>
        <v>-266.26</v>
      </c>
      <c r="H177" s="619">
        <f t="shared" si="86"/>
        <v>-183.26</v>
      </c>
      <c r="I177" s="619">
        <f t="shared" si="86"/>
        <v>-189.53</v>
      </c>
      <c r="J177" s="619">
        <f t="shared" si="86"/>
        <v>-123.4</v>
      </c>
      <c r="K177" s="619">
        <f t="shared" si="86"/>
        <v>-161.43</v>
      </c>
      <c r="L177" s="619">
        <f t="shared" si="86"/>
        <v>-136.32999999999998</v>
      </c>
      <c r="M177" s="619">
        <f t="shared" si="86"/>
        <v>-374.04999999999995</v>
      </c>
      <c r="N177" s="619">
        <f t="shared" si="86"/>
        <v>3548.04</v>
      </c>
      <c r="O177" s="619">
        <f t="shared" si="86"/>
        <v>-220.37999999999997</v>
      </c>
      <c r="P177" s="619">
        <f t="shared" si="86"/>
        <v>-383.84000000000003</v>
      </c>
      <c r="S177" s="591">
        <f t="shared" si="82"/>
        <v>-2378.2099999999996</v>
      </c>
    </row>
    <row r="178" spans="1:19" ht="15.75" x14ac:dyDescent="0.25">
      <c r="A178" s="229">
        <v>178</v>
      </c>
      <c r="B178" s="432" t="s">
        <v>337</v>
      </c>
      <c r="C178" s="433" t="s">
        <v>336</v>
      </c>
      <c r="D178" s="620">
        <f t="shared" ref="D178:P178" si="87">D146+D161</f>
        <v>-6134.82</v>
      </c>
      <c r="E178" s="620">
        <f t="shared" si="87"/>
        <v>-5877.68</v>
      </c>
      <c r="F178" s="620">
        <f t="shared" si="87"/>
        <v>-1311.9900000000016</v>
      </c>
      <c r="G178" s="620">
        <f t="shared" si="87"/>
        <v>-3377.2000000000007</v>
      </c>
      <c r="H178" s="620">
        <f t="shared" si="87"/>
        <v>-1427.3499999999967</v>
      </c>
      <c r="I178" s="620">
        <f t="shared" si="87"/>
        <v>-1049.7900000000027</v>
      </c>
      <c r="J178" s="620">
        <f t="shared" si="87"/>
        <v>778.55000000000109</v>
      </c>
      <c r="K178" s="620">
        <f t="shared" si="87"/>
        <v>-2424.7300000000005</v>
      </c>
      <c r="L178" s="620">
        <f t="shared" si="87"/>
        <v>124.69999999999891</v>
      </c>
      <c r="M178" s="620">
        <f t="shared" si="87"/>
        <v>3844.17</v>
      </c>
      <c r="N178" s="620">
        <f t="shared" si="87"/>
        <v>38919.4</v>
      </c>
      <c r="O178" s="620">
        <f t="shared" si="87"/>
        <v>-1158.0900000000001</v>
      </c>
      <c r="P178" s="620">
        <f t="shared" si="87"/>
        <v>-2045.3399999999983</v>
      </c>
      <c r="S178" s="591">
        <f t="shared" si="82"/>
        <v>-20700.309999999998</v>
      </c>
    </row>
    <row r="179" spans="1:19" ht="16.5" customHeight="1" thickBot="1" x14ac:dyDescent="0.3">
      <c r="A179" s="229">
        <v>179</v>
      </c>
      <c r="L179" s="201" t="s">
        <v>335</v>
      </c>
      <c r="M179" s="201" t="s">
        <v>335</v>
      </c>
      <c r="O179" s="201" t="s">
        <v>335</v>
      </c>
    </row>
    <row r="180" spans="1:19" ht="15.75" x14ac:dyDescent="0.25">
      <c r="A180" s="229">
        <v>180</v>
      </c>
      <c r="E180" s="294"/>
      <c r="F180" s="294"/>
      <c r="G180" s="294"/>
      <c r="H180" s="294"/>
      <c r="I180" s="294"/>
      <c r="J180" s="294"/>
      <c r="K180" s="294"/>
      <c r="L180" s="621">
        <v>43709</v>
      </c>
      <c r="M180" s="621">
        <v>43739</v>
      </c>
      <c r="O180" s="621">
        <v>43739</v>
      </c>
    </row>
    <row r="181" spans="1:19" x14ac:dyDescent="0.25">
      <c r="A181" s="229">
        <v>181</v>
      </c>
      <c r="D181" s="591"/>
      <c r="E181" s="591"/>
      <c r="F181" s="591"/>
      <c r="G181" s="591"/>
      <c r="H181" s="591"/>
      <c r="I181" s="591"/>
      <c r="J181" s="591"/>
      <c r="K181" s="591"/>
      <c r="L181" s="619">
        <v>-346148.82999999996</v>
      </c>
      <c r="M181" s="619">
        <v>-937908.65999999957</v>
      </c>
      <c r="O181" s="619">
        <v>-7744.9900000005691</v>
      </c>
    </row>
    <row r="182" spans="1:19" x14ac:dyDescent="0.25">
      <c r="A182" s="229">
        <v>182</v>
      </c>
      <c r="L182" s="619">
        <v>177401.85000000009</v>
      </c>
      <c r="M182" s="619">
        <v>522468.1799999997</v>
      </c>
      <c r="O182" s="619">
        <v>-323885.79999999981</v>
      </c>
    </row>
    <row r="183" spans="1:19" x14ac:dyDescent="0.25">
      <c r="A183" s="229">
        <v>183</v>
      </c>
      <c r="L183" s="619">
        <v>21230.270000000004</v>
      </c>
      <c r="M183" s="619">
        <v>51035.53</v>
      </c>
      <c r="O183" s="619">
        <v>58956.209999999992</v>
      </c>
    </row>
    <row r="184" spans="1:19" x14ac:dyDescent="0.25">
      <c r="A184" s="229">
        <v>184</v>
      </c>
      <c r="E184" s="591"/>
      <c r="F184" s="591"/>
      <c r="G184" s="591"/>
      <c r="H184" s="591"/>
      <c r="I184" s="591"/>
      <c r="J184" s="591"/>
      <c r="K184" s="591"/>
      <c r="L184" s="619">
        <v>146272.55999999988</v>
      </c>
      <c r="M184" s="619">
        <v>382087.79</v>
      </c>
      <c r="O184" s="619">
        <v>274053.0500000004</v>
      </c>
    </row>
    <row r="185" spans="1:19" x14ac:dyDescent="0.25">
      <c r="A185" s="229">
        <v>185</v>
      </c>
      <c r="L185" s="619">
        <v>-136.32999999999998</v>
      </c>
      <c r="M185" s="619">
        <v>-374.04999999999995</v>
      </c>
      <c r="O185" s="619">
        <v>-220.37999999999997</v>
      </c>
    </row>
    <row r="186" spans="1:19" x14ac:dyDescent="0.25">
      <c r="A186" s="229">
        <v>186</v>
      </c>
      <c r="L186" s="620">
        <v>1380.4800000000014</v>
      </c>
      <c r="M186" s="620">
        <v>-17308.79</v>
      </c>
      <c r="O186" s="620">
        <v>-1158.0900000000001</v>
      </c>
    </row>
    <row r="187" spans="1:19" x14ac:dyDescent="0.25">
      <c r="A187" s="229">
        <v>187</v>
      </c>
    </row>
    <row r="188" spans="1:19" ht="15.75" thickBot="1" x14ac:dyDescent="0.3">
      <c r="A188" s="229">
        <v>188</v>
      </c>
      <c r="L188" s="201" t="s">
        <v>334</v>
      </c>
      <c r="M188" s="201" t="s">
        <v>334</v>
      </c>
      <c r="O188" s="201" t="s">
        <v>334</v>
      </c>
    </row>
    <row r="189" spans="1:19" ht="15.75" x14ac:dyDescent="0.25">
      <c r="A189" s="229">
        <v>189</v>
      </c>
      <c r="L189" s="621">
        <v>43709</v>
      </c>
      <c r="M189" s="621">
        <v>43739</v>
      </c>
      <c r="O189" s="621">
        <v>43739</v>
      </c>
    </row>
    <row r="190" spans="1:19" ht="15.75" x14ac:dyDescent="0.25">
      <c r="A190" s="229">
        <v>190</v>
      </c>
      <c r="B190" s="428" t="s">
        <v>347</v>
      </c>
      <c r="C190" s="429" t="s">
        <v>346</v>
      </c>
      <c r="L190" s="619">
        <f t="shared" ref="L190:M195" si="88">L173-L181</f>
        <v>1255.7799999999697</v>
      </c>
      <c r="M190" s="619">
        <f t="shared" si="88"/>
        <v>-21152.960000000079</v>
      </c>
      <c r="O190" s="619">
        <f t="shared" ref="O190:O195" si="89">O173-O181</f>
        <v>-145362.6299999998</v>
      </c>
    </row>
    <row r="191" spans="1:19" ht="15.75" x14ac:dyDescent="0.25">
      <c r="A191" s="229">
        <v>191</v>
      </c>
      <c r="B191" s="430" t="s">
        <v>345</v>
      </c>
      <c r="C191" s="431" t="s">
        <v>344</v>
      </c>
      <c r="L191" s="619">
        <f t="shared" si="88"/>
        <v>0</v>
      </c>
      <c r="M191" s="619">
        <f t="shared" si="88"/>
        <v>0</v>
      </c>
      <c r="O191" s="619">
        <f t="shared" si="89"/>
        <v>0</v>
      </c>
    </row>
    <row r="192" spans="1:19" ht="15.75" x14ac:dyDescent="0.25">
      <c r="A192" s="229">
        <v>192</v>
      </c>
      <c r="B192" s="430" t="s">
        <v>343</v>
      </c>
      <c r="C192" s="431" t="s">
        <v>342</v>
      </c>
      <c r="L192" s="619">
        <f t="shared" si="88"/>
        <v>0</v>
      </c>
      <c r="M192" s="619">
        <f t="shared" si="88"/>
        <v>0</v>
      </c>
      <c r="O192" s="619">
        <f t="shared" si="89"/>
        <v>0</v>
      </c>
    </row>
    <row r="193" spans="1:15" ht="15.75" x14ac:dyDescent="0.25">
      <c r="A193" s="229">
        <v>193</v>
      </c>
      <c r="B193" s="430" t="s">
        <v>341</v>
      </c>
      <c r="C193" s="431" t="s">
        <v>340</v>
      </c>
      <c r="L193" s="619">
        <f t="shared" si="88"/>
        <v>0</v>
      </c>
      <c r="M193" s="619">
        <f t="shared" si="88"/>
        <v>0</v>
      </c>
      <c r="O193" s="619">
        <f t="shared" si="89"/>
        <v>145362.62999999977</v>
      </c>
    </row>
    <row r="194" spans="1:15" ht="15.75" x14ac:dyDescent="0.25">
      <c r="A194" s="229">
        <v>194</v>
      </c>
      <c r="B194" s="430" t="s">
        <v>339</v>
      </c>
      <c r="C194" s="431" t="s">
        <v>338</v>
      </c>
      <c r="L194" s="619">
        <f t="shared" si="88"/>
        <v>0</v>
      </c>
      <c r="M194" s="619">
        <f t="shared" si="88"/>
        <v>0</v>
      </c>
      <c r="O194" s="619">
        <f t="shared" si="89"/>
        <v>0</v>
      </c>
    </row>
    <row r="195" spans="1:15" ht="15.75" x14ac:dyDescent="0.25">
      <c r="A195" s="229">
        <v>195</v>
      </c>
      <c r="B195" s="432" t="s">
        <v>337</v>
      </c>
      <c r="C195" s="433" t="s">
        <v>336</v>
      </c>
      <c r="L195" s="620">
        <f t="shared" si="88"/>
        <v>-1255.7800000000025</v>
      </c>
      <c r="M195" s="620">
        <f t="shared" si="88"/>
        <v>21152.959999999999</v>
      </c>
      <c r="O195" s="620">
        <f t="shared" si="89"/>
        <v>0</v>
      </c>
    </row>
    <row r="196" spans="1:15" x14ac:dyDescent="0.25">
      <c r="A196" s="229">
        <v>196</v>
      </c>
    </row>
    <row r="197" spans="1:15" x14ac:dyDescent="0.25">
      <c r="A197" s="229">
        <v>197</v>
      </c>
    </row>
    <row r="198" spans="1:15" x14ac:dyDescent="0.25">
      <c r="A198" s="229">
        <v>198</v>
      </c>
      <c r="D198" s="294"/>
      <c r="E198" s="294"/>
      <c r="F198" s="294"/>
      <c r="G198" s="294"/>
    </row>
    <row r="199" spans="1:15" x14ac:dyDescent="0.25">
      <c r="A199" s="229">
        <v>199</v>
      </c>
      <c r="D199" s="294"/>
      <c r="E199" s="294"/>
      <c r="F199" s="294"/>
      <c r="G199" s="294"/>
    </row>
    <row r="200" spans="1:15" x14ac:dyDescent="0.25">
      <c r="A200" s="229">
        <v>200</v>
      </c>
      <c r="D200" s="294"/>
      <c r="E200" s="294"/>
      <c r="F200" s="294"/>
      <c r="G200" s="294"/>
    </row>
    <row r="201" spans="1:15" x14ac:dyDescent="0.25">
      <c r="D201" s="294"/>
      <c r="E201" s="294"/>
      <c r="F201" s="294"/>
      <c r="G201" s="294"/>
    </row>
  </sheetData>
  <mergeCells count="3">
    <mergeCell ref="B2:P2"/>
    <mergeCell ref="B3:P3"/>
    <mergeCell ref="B4:P4"/>
  </mergeCells>
  <hyperlinks>
    <hyperlink ref="T6" r:id="rId1" xr:uid="{183A89CB-4613-4765-A3A1-1C6361147347}"/>
  </hyperlinks>
  <pageMargins left="0.25" right="0.25" top="1" bottom="0.25" header="0.3" footer="0.3"/>
  <pageSetup scale="28" fitToHeight="3" orientation="landscape" r:id="rId2"/>
  <headerFooter scaleWithDoc="0">
    <oddHeader>&amp;CCascade Natural Gas Corporation
WACAP 2019
IDM WP-1.6&amp;RPage &amp;P of &amp;N</oddHeader>
    <oddFooter>&amp;L&amp;A</oddFooter>
  </headerFooter>
  <rowBreaks count="2" manualBreakCount="2">
    <brk id="78" max="31" man="1"/>
    <brk id="170" max="31" man="1"/>
  </rowBreak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DB4-9B9B-4EFF-B986-0A7B2FA19DAB}">
  <sheetPr>
    <tabColor rgb="FFFFFF00"/>
  </sheetPr>
  <dimension ref="A1:R20"/>
  <sheetViews>
    <sheetView workbookViewId="0"/>
  </sheetViews>
  <sheetFormatPr defaultRowHeight="15" x14ac:dyDescent="0.25"/>
  <cols>
    <col min="2" max="2" width="10.85546875" customWidth="1"/>
    <col min="3" max="3" width="13.28515625" customWidth="1"/>
    <col min="4" max="4" width="10.42578125" customWidth="1"/>
    <col min="5" max="5" width="7.5703125" customWidth="1"/>
    <col min="6" max="6" width="8.28515625" bestFit="1" customWidth="1"/>
    <col min="7" max="7" width="11.140625" bestFit="1" customWidth="1"/>
    <col min="8" max="8" width="9.28515625" customWidth="1"/>
    <col min="9" max="9" width="6.42578125" customWidth="1"/>
    <col min="10" max="10" width="5.140625" bestFit="1" customWidth="1"/>
  </cols>
  <sheetData>
    <row r="1" spans="1:18" s="418" customFormat="1" x14ac:dyDescent="0.25">
      <c r="A1" s="418" t="s">
        <v>217</v>
      </c>
      <c r="B1" s="418" t="s">
        <v>218</v>
      </c>
      <c r="C1" s="418" t="s">
        <v>34</v>
      </c>
      <c r="D1" s="418" t="s">
        <v>35</v>
      </c>
      <c r="E1" s="418" t="s">
        <v>37</v>
      </c>
      <c r="F1" s="418" t="s">
        <v>39</v>
      </c>
      <c r="G1" s="418" t="s">
        <v>50</v>
      </c>
      <c r="H1" s="418" t="s">
        <v>51</v>
      </c>
      <c r="I1" s="418" t="s">
        <v>77</v>
      </c>
      <c r="J1" s="418" t="s">
        <v>52</v>
      </c>
      <c r="K1" s="418" t="s">
        <v>41</v>
      </c>
      <c r="L1" s="418" t="s">
        <v>43</v>
      </c>
      <c r="M1" s="418" t="s">
        <v>44</v>
      </c>
      <c r="N1" s="418" t="s">
        <v>227</v>
      </c>
      <c r="O1" s="418" t="s">
        <v>229</v>
      </c>
      <c r="P1" s="418" t="s">
        <v>422</v>
      </c>
      <c r="Q1" s="418" t="s">
        <v>436</v>
      </c>
    </row>
    <row r="2" spans="1:18" s="550" customFormat="1" x14ac:dyDescent="0.25">
      <c r="B2" s="551" t="s">
        <v>595</v>
      </c>
    </row>
    <row r="3" spans="1:18" s="418" customFormat="1" x14ac:dyDescent="0.25">
      <c r="A3" s="137">
        <v>1</v>
      </c>
      <c r="B3" s="844" t="s">
        <v>584</v>
      </c>
      <c r="C3" s="844"/>
      <c r="D3" s="844"/>
      <c r="E3" s="844"/>
      <c r="F3" s="844"/>
      <c r="G3" s="844"/>
      <c r="H3" s="844"/>
      <c r="I3" s="844"/>
      <c r="L3" s="844" t="s">
        <v>585</v>
      </c>
      <c r="M3" s="844"/>
      <c r="N3" s="844"/>
      <c r="O3" s="844"/>
      <c r="P3" s="844"/>
      <c r="Q3" s="844"/>
    </row>
    <row r="4" spans="1:18" x14ac:dyDescent="0.25">
      <c r="A4">
        <v>2</v>
      </c>
      <c r="B4" s="844" t="s">
        <v>581</v>
      </c>
      <c r="C4" s="844"/>
      <c r="D4" s="844"/>
      <c r="E4" s="844"/>
      <c r="F4" s="844"/>
      <c r="G4" s="844"/>
      <c r="H4" s="844"/>
      <c r="I4" s="844"/>
      <c r="L4" s="844" t="s">
        <v>580</v>
      </c>
      <c r="M4" s="844"/>
      <c r="N4" s="844"/>
      <c r="O4" s="844"/>
      <c r="P4" s="844"/>
      <c r="Q4" s="844"/>
    </row>
    <row r="5" spans="1:18" x14ac:dyDescent="0.25">
      <c r="A5" s="137">
        <v>3</v>
      </c>
      <c r="C5" s="394">
        <v>503</v>
      </c>
      <c r="D5" s="394">
        <v>504</v>
      </c>
      <c r="E5" s="394">
        <v>505</v>
      </c>
      <c r="F5" s="394" t="s">
        <v>566</v>
      </c>
      <c r="G5" s="394" t="s">
        <v>573</v>
      </c>
      <c r="H5" s="394" t="s">
        <v>565</v>
      </c>
      <c r="I5" s="394">
        <v>570</v>
      </c>
      <c r="J5" s="394"/>
      <c r="M5" t="s">
        <v>572</v>
      </c>
      <c r="N5" t="s">
        <v>571</v>
      </c>
      <c r="O5" t="s">
        <v>570</v>
      </c>
      <c r="P5" t="s">
        <v>569</v>
      </c>
      <c r="Q5" t="s">
        <v>568</v>
      </c>
    </row>
    <row r="6" spans="1:18" x14ac:dyDescent="0.25">
      <c r="A6">
        <v>4</v>
      </c>
      <c r="B6" s="396">
        <v>43800</v>
      </c>
      <c r="C6" s="424">
        <f>'1501 Summary'!AB6</f>
        <v>195359</v>
      </c>
      <c r="D6" s="424">
        <f>'1501 Summary'!AB30+'1501 Summary'!AB49</f>
        <v>26843</v>
      </c>
      <c r="E6" s="424">
        <f>'1501 Summary'!AB101+'1501 Summary'!AB180</f>
        <v>488</v>
      </c>
      <c r="F6" s="229">
        <f>'1501 Summary'!AB128</f>
        <v>75</v>
      </c>
      <c r="G6" s="734">
        <v>0</v>
      </c>
      <c r="H6" s="287">
        <f>'1501 Summary'!AB154</f>
        <v>15</v>
      </c>
      <c r="I6" s="424">
        <f>'1501 Summary'!AB199</f>
        <v>8</v>
      </c>
      <c r="J6" s="10"/>
      <c r="L6" s="396">
        <v>43800</v>
      </c>
      <c r="M6" s="395">
        <v>191757.3749</v>
      </c>
      <c r="N6" s="395">
        <v>26553.109805</v>
      </c>
      <c r="O6" s="395">
        <v>456</v>
      </c>
      <c r="P6" s="395">
        <v>86</v>
      </c>
      <c r="Q6" s="395">
        <v>8</v>
      </c>
      <c r="R6" s="395"/>
    </row>
    <row r="7" spans="1:18" x14ac:dyDescent="0.25">
      <c r="A7" s="137">
        <v>5</v>
      </c>
      <c r="B7" s="55">
        <v>43831</v>
      </c>
      <c r="C7" s="9">
        <f t="shared" ref="C7:C18" si="0">(1+((M7-M6)/M6))*C6</f>
        <v>195970.5435855207</v>
      </c>
      <c r="D7" s="9">
        <f t="shared" ref="D7:D18" si="1">(1+((N7-N6)/N6))*D6</f>
        <v>26962.291398981393</v>
      </c>
      <c r="E7" s="9">
        <f>(1+((O7-O6)/O6))*E6</f>
        <v>490.14035087719293</v>
      </c>
      <c r="F7" s="473">
        <f>(1+((P7-P6)/P6))*F6</f>
        <v>75.872093023255815</v>
      </c>
      <c r="G7" s="755">
        <f>(1+((P7-P6)/P6))*G6</f>
        <v>0</v>
      </c>
      <c r="H7" s="473">
        <f>(1+((P7-P6)/P6))*H6</f>
        <v>15.174418604651162</v>
      </c>
      <c r="I7" s="9">
        <f t="shared" ref="I7:I18" si="2">(1+((Q7-Q6)/Q6))*I6</f>
        <v>9</v>
      </c>
      <c r="J7" s="9"/>
      <c r="L7" s="396">
        <v>43831</v>
      </c>
      <c r="M7" s="395">
        <v>192357.64410999999</v>
      </c>
      <c r="N7" s="395">
        <v>26671.11292</v>
      </c>
      <c r="O7" s="395">
        <v>458</v>
      </c>
      <c r="P7" s="395">
        <v>87</v>
      </c>
      <c r="Q7" s="395">
        <v>9</v>
      </c>
      <c r="R7" s="395"/>
    </row>
    <row r="8" spans="1:18" x14ac:dyDescent="0.25">
      <c r="A8">
        <v>6</v>
      </c>
      <c r="B8" s="55">
        <v>43862</v>
      </c>
      <c r="C8" s="9">
        <f t="shared" si="0"/>
        <v>196225.25569038355</v>
      </c>
      <c r="D8" s="9">
        <f t="shared" si="1"/>
        <v>27016.882838640562</v>
      </c>
      <c r="E8" s="9">
        <f t="shared" ref="E8:E18" si="3">(1+((O8-O7)/O7))*E7</f>
        <v>490.14035087719293</v>
      </c>
      <c r="F8" s="473">
        <f t="shared" ref="F8:F17" si="4">(1+((P8-P7)/P7))*F7</f>
        <v>74.127906976744185</v>
      </c>
      <c r="G8" s="755">
        <f t="shared" ref="G8:G13" si="5">(1+((P8-P7)/P7))*G7</f>
        <v>0</v>
      </c>
      <c r="H8" s="473">
        <f t="shared" ref="H8:H18" si="6">(1+((P8-P7)/P7))*H7</f>
        <v>14.825581395348838</v>
      </c>
      <c r="I8" s="9">
        <f t="shared" si="2"/>
        <v>9</v>
      </c>
      <c r="J8" s="9"/>
      <c r="L8" s="396">
        <v>43862</v>
      </c>
      <c r="M8" s="395">
        <v>192607.66036000001</v>
      </c>
      <c r="N8" s="395">
        <v>26725.114801</v>
      </c>
      <c r="O8" s="395">
        <v>458</v>
      </c>
      <c r="P8" s="395">
        <v>85</v>
      </c>
      <c r="Q8" s="395">
        <v>9</v>
      </c>
      <c r="R8" s="395"/>
    </row>
    <row r="9" spans="1:18" x14ac:dyDescent="0.25">
      <c r="A9" s="137">
        <v>7</v>
      </c>
      <c r="B9" s="55">
        <v>43891</v>
      </c>
      <c r="C9" s="9">
        <f t="shared" si="0"/>
        <v>196406.62333175735</v>
      </c>
      <c r="D9" s="9">
        <f t="shared" si="1"/>
        <v>27022.949131392066</v>
      </c>
      <c r="E9" s="9">
        <f t="shared" si="3"/>
        <v>489.07017543859644</v>
      </c>
      <c r="F9" s="473">
        <f t="shared" si="4"/>
        <v>75.8720930232558</v>
      </c>
      <c r="G9" s="755">
        <f t="shared" si="5"/>
        <v>0</v>
      </c>
      <c r="H9" s="473">
        <f t="shared" si="6"/>
        <v>15.174418604651162</v>
      </c>
      <c r="I9" s="9">
        <f t="shared" si="2"/>
        <v>9</v>
      </c>
      <c r="J9" s="9"/>
      <c r="L9" s="396">
        <v>43891</v>
      </c>
      <c r="M9" s="395">
        <v>192785.68432</v>
      </c>
      <c r="N9" s="395">
        <v>26731.115580999998</v>
      </c>
      <c r="O9" s="395">
        <v>457</v>
      </c>
      <c r="P9" s="395">
        <v>87</v>
      </c>
      <c r="Q9" s="395">
        <v>9</v>
      </c>
      <c r="R9" s="395"/>
    </row>
    <row r="10" spans="1:18" x14ac:dyDescent="0.25">
      <c r="A10">
        <v>8</v>
      </c>
      <c r="B10" s="55">
        <v>43922</v>
      </c>
      <c r="C10" s="9">
        <f t="shared" si="0"/>
        <v>196227.30660082758</v>
      </c>
      <c r="D10" s="9">
        <f t="shared" si="1"/>
        <v>26977.458241858345</v>
      </c>
      <c r="E10" s="9">
        <f t="shared" si="3"/>
        <v>491.21052631578937</v>
      </c>
      <c r="F10" s="473">
        <f t="shared" si="4"/>
        <v>76.744186046511615</v>
      </c>
      <c r="G10" s="755">
        <f t="shared" si="5"/>
        <v>0</v>
      </c>
      <c r="H10" s="473">
        <f t="shared" si="6"/>
        <v>15.348837209302326</v>
      </c>
      <c r="I10" s="9">
        <f t="shared" si="2"/>
        <v>8</v>
      </c>
      <c r="J10" s="9"/>
      <c r="L10" s="396">
        <v>43922</v>
      </c>
      <c r="M10" s="395">
        <v>192609.67345999999</v>
      </c>
      <c r="N10" s="395">
        <v>26686.115968999999</v>
      </c>
      <c r="O10" s="395">
        <v>459</v>
      </c>
      <c r="P10" s="395">
        <v>88</v>
      </c>
      <c r="Q10" s="395">
        <v>8</v>
      </c>
      <c r="R10" s="395"/>
    </row>
    <row r="11" spans="1:18" x14ac:dyDescent="0.25">
      <c r="A11" s="137">
        <v>9</v>
      </c>
      <c r="B11" s="55">
        <v>43952</v>
      </c>
      <c r="C11" s="9">
        <f t="shared" si="0"/>
        <v>195964.43366341665</v>
      </c>
      <c r="D11" s="9">
        <f t="shared" si="1"/>
        <v>26926.91029680111</v>
      </c>
      <c r="E11" s="9">
        <f t="shared" si="3"/>
        <v>490.14035087719287</v>
      </c>
      <c r="F11" s="473">
        <f t="shared" si="4"/>
        <v>75.8720930232558</v>
      </c>
      <c r="G11" s="755">
        <f t="shared" si="5"/>
        <v>0</v>
      </c>
      <c r="H11" s="473">
        <f t="shared" si="6"/>
        <v>15.174418604651164</v>
      </c>
      <c r="I11" s="9">
        <f t="shared" si="2"/>
        <v>8</v>
      </c>
      <c r="J11" s="9"/>
      <c r="L11" s="396">
        <v>43952</v>
      </c>
      <c r="M11" s="395">
        <v>192351.64682999998</v>
      </c>
      <c r="N11" s="395">
        <v>26636.113915000002</v>
      </c>
      <c r="O11" s="395">
        <v>458</v>
      </c>
      <c r="P11" s="395">
        <v>87</v>
      </c>
      <c r="Q11" s="395">
        <v>8</v>
      </c>
      <c r="R11" s="395"/>
    </row>
    <row r="12" spans="1:18" x14ac:dyDescent="0.25">
      <c r="A12">
        <v>10</v>
      </c>
      <c r="B12" s="55">
        <v>43983</v>
      </c>
      <c r="C12" s="9">
        <f t="shared" si="0"/>
        <v>195707.66403621336</v>
      </c>
      <c r="D12" s="9">
        <f t="shared" si="1"/>
        <v>26856.145179987587</v>
      </c>
      <c r="E12" s="9">
        <f t="shared" si="3"/>
        <v>489.07017543859638</v>
      </c>
      <c r="F12" s="473">
        <f t="shared" si="4"/>
        <v>76.744186046511615</v>
      </c>
      <c r="G12" s="755">
        <f t="shared" si="5"/>
        <v>0</v>
      </c>
      <c r="H12" s="473">
        <f t="shared" si="6"/>
        <v>15.348837209302328</v>
      </c>
      <c r="I12" s="9">
        <f t="shared" si="2"/>
        <v>8</v>
      </c>
      <c r="J12" s="9"/>
      <c r="L12" s="396">
        <v>43983</v>
      </c>
      <c r="M12" s="395">
        <v>192099.61099000002</v>
      </c>
      <c r="N12" s="395">
        <v>26566.113023999998</v>
      </c>
      <c r="O12" s="395">
        <v>457</v>
      </c>
      <c r="P12" s="395">
        <v>88</v>
      </c>
      <c r="Q12" s="395">
        <v>8</v>
      </c>
      <c r="R12" s="395"/>
    </row>
    <row r="13" spans="1:18" x14ac:dyDescent="0.25">
      <c r="A13" s="137">
        <v>11</v>
      </c>
      <c r="B13" s="55">
        <v>44013</v>
      </c>
      <c r="C13" s="9">
        <f t="shared" si="0"/>
        <v>195314.35225728323</v>
      </c>
      <c r="D13" s="9">
        <f t="shared" si="1"/>
        <v>26777.293019380668</v>
      </c>
      <c r="E13" s="9">
        <f t="shared" si="3"/>
        <v>492.2807017543858</v>
      </c>
      <c r="F13" s="473">
        <f t="shared" si="4"/>
        <v>76.744186046511615</v>
      </c>
      <c r="G13" s="755">
        <f t="shared" si="5"/>
        <v>0</v>
      </c>
      <c r="H13" s="473">
        <f t="shared" si="6"/>
        <v>15.348837209302328</v>
      </c>
      <c r="I13" s="9">
        <f t="shared" si="2"/>
        <v>8</v>
      </c>
      <c r="J13" s="9"/>
      <c r="L13" s="396">
        <v>44013</v>
      </c>
      <c r="M13" s="395">
        <v>191713.55028</v>
      </c>
      <c r="N13" s="395">
        <v>26488.112424999999</v>
      </c>
      <c r="O13" s="395">
        <v>460</v>
      </c>
      <c r="P13" s="395">
        <v>88</v>
      </c>
      <c r="Q13" s="395">
        <v>8</v>
      </c>
      <c r="R13" s="395"/>
    </row>
    <row r="14" spans="1:18" x14ac:dyDescent="0.25">
      <c r="A14">
        <v>12</v>
      </c>
      <c r="B14" s="55">
        <v>44044</v>
      </c>
      <c r="C14" s="9">
        <f t="shared" si="0"/>
        <v>195197.12651148887</v>
      </c>
      <c r="D14" s="9">
        <f t="shared" si="1"/>
        <v>26721.69113444725</v>
      </c>
      <c r="E14" s="9">
        <f t="shared" si="3"/>
        <v>492.2807017543858</v>
      </c>
      <c r="F14" s="473">
        <f t="shared" si="4"/>
        <v>78.488372093023244</v>
      </c>
      <c r="G14" s="755">
        <f>(1+((P14-P13)/P13))*G13</f>
        <v>0</v>
      </c>
      <c r="H14" s="473">
        <f t="shared" si="6"/>
        <v>15.697674418604654</v>
      </c>
      <c r="I14" s="9">
        <f t="shared" si="2"/>
        <v>8</v>
      </c>
      <c r="J14" s="9"/>
      <c r="L14" s="396">
        <v>44044</v>
      </c>
      <c r="M14" s="395">
        <v>191598.48569999999</v>
      </c>
      <c r="N14" s="395">
        <v>26433.111011000001</v>
      </c>
      <c r="O14" s="395">
        <v>460</v>
      </c>
      <c r="P14" s="395">
        <v>90</v>
      </c>
      <c r="Q14" s="395">
        <v>8</v>
      </c>
      <c r="R14" s="395"/>
    </row>
    <row r="15" spans="1:18" x14ac:dyDescent="0.25">
      <c r="A15" s="137">
        <v>13</v>
      </c>
      <c r="B15" s="55">
        <v>44075</v>
      </c>
      <c r="C15" s="9">
        <f t="shared" si="0"/>
        <v>195248.01004685037</v>
      </c>
      <c r="D15" s="9">
        <f t="shared" si="1"/>
        <v>26696.414128155589</v>
      </c>
      <c r="E15" s="9">
        <f t="shared" si="3"/>
        <v>492.2807017543858</v>
      </c>
      <c r="F15" s="473">
        <f t="shared" si="4"/>
        <v>78.488372093023244</v>
      </c>
      <c r="G15" s="755">
        <f t="shared" ref="G15:G18" si="7">(1+((P15-P14)/P14))*G14</f>
        <v>0</v>
      </c>
      <c r="H15" s="473">
        <f t="shared" si="6"/>
        <v>15.697674418604654</v>
      </c>
      <c r="I15" s="9">
        <f t="shared" si="2"/>
        <v>8</v>
      </c>
      <c r="J15" s="9"/>
      <c r="L15" s="396">
        <v>44075</v>
      </c>
      <c r="M15" s="395">
        <v>191648.43114999999</v>
      </c>
      <c r="N15" s="395">
        <v>26408.106982999998</v>
      </c>
      <c r="O15" s="395">
        <v>460</v>
      </c>
      <c r="P15" s="395">
        <v>90</v>
      </c>
      <c r="Q15" s="395">
        <v>8</v>
      </c>
      <c r="R15" s="395"/>
    </row>
    <row r="16" spans="1:18" x14ac:dyDescent="0.25">
      <c r="A16">
        <v>14</v>
      </c>
      <c r="B16" s="55">
        <v>44105</v>
      </c>
      <c r="C16" s="9">
        <f t="shared" si="0"/>
        <v>196072.29066773699</v>
      </c>
      <c r="D16" s="9">
        <f t="shared" si="1"/>
        <v>26767.181624668599</v>
      </c>
      <c r="E16" s="9">
        <f t="shared" si="3"/>
        <v>493.35087719298235</v>
      </c>
      <c r="F16" s="473">
        <f t="shared" si="4"/>
        <v>78.488372093023244</v>
      </c>
      <c r="G16" s="755">
        <f t="shared" si="7"/>
        <v>0</v>
      </c>
      <c r="H16" s="473">
        <f t="shared" si="6"/>
        <v>15.697674418604654</v>
      </c>
      <c r="I16" s="9">
        <f t="shared" si="2"/>
        <v>8</v>
      </c>
      <c r="J16" s="9"/>
      <c r="L16" s="396">
        <v>44105</v>
      </c>
      <c r="M16" s="395">
        <v>192457.51539000002</v>
      </c>
      <c r="N16" s="395">
        <v>26478.110227999998</v>
      </c>
      <c r="O16" s="395">
        <v>461</v>
      </c>
      <c r="P16" s="395">
        <v>90</v>
      </c>
      <c r="Q16" s="395">
        <v>8</v>
      </c>
      <c r="R16" s="395"/>
    </row>
    <row r="17" spans="1:18" x14ac:dyDescent="0.25">
      <c r="A17" s="137">
        <v>15</v>
      </c>
      <c r="B17" s="55">
        <v>44136</v>
      </c>
      <c r="C17" s="9">
        <f t="shared" si="0"/>
        <v>197231.77497067247</v>
      </c>
      <c r="D17" s="9">
        <f t="shared" si="1"/>
        <v>26936.011933662725</v>
      </c>
      <c r="E17" s="9">
        <f t="shared" si="3"/>
        <v>493.35087719298235</v>
      </c>
      <c r="F17" s="473">
        <f t="shared" si="4"/>
        <v>78.488372093023244</v>
      </c>
      <c r="G17" s="755">
        <f t="shared" si="7"/>
        <v>0</v>
      </c>
      <c r="H17" s="473">
        <f t="shared" si="6"/>
        <v>15.697674418604654</v>
      </c>
      <c r="I17" s="9">
        <f t="shared" si="2"/>
        <v>8</v>
      </c>
      <c r="J17" s="9"/>
      <c r="L17" s="396">
        <v>44136</v>
      </c>
      <c r="M17" s="395">
        <v>193595.62351999999</v>
      </c>
      <c r="N17" s="395">
        <v>26645.117258999999</v>
      </c>
      <c r="O17" s="395">
        <v>461</v>
      </c>
      <c r="P17" s="395">
        <v>90</v>
      </c>
      <c r="Q17" s="395">
        <v>8</v>
      </c>
      <c r="R17" s="395"/>
    </row>
    <row r="18" spans="1:18" x14ac:dyDescent="0.25">
      <c r="A18">
        <v>16</v>
      </c>
      <c r="B18" s="55">
        <v>44166</v>
      </c>
      <c r="C18" s="9">
        <f t="shared" si="0"/>
        <v>198100.87649668616</v>
      </c>
      <c r="D18" s="9">
        <f t="shared" si="1"/>
        <v>27132.133613014437</v>
      </c>
      <c r="E18" s="9">
        <f t="shared" si="3"/>
        <v>491.21052631578937</v>
      </c>
      <c r="F18" s="473">
        <f>(1+((P18-P17)/P17))*F17</f>
        <v>75.8720930232558</v>
      </c>
      <c r="G18" s="755">
        <f t="shared" si="7"/>
        <v>0</v>
      </c>
      <c r="H18" s="473">
        <f t="shared" si="6"/>
        <v>15.174418604651166</v>
      </c>
      <c r="I18" s="9">
        <f t="shared" si="2"/>
        <v>8</v>
      </c>
      <c r="J18" s="9"/>
      <c r="L18" s="396">
        <v>44166</v>
      </c>
      <c r="M18" s="395">
        <v>194448.70235000001</v>
      </c>
      <c r="N18" s="395">
        <v>26839.120928</v>
      </c>
      <c r="O18" s="395">
        <v>459</v>
      </c>
      <c r="P18" s="395">
        <v>87</v>
      </c>
      <c r="Q18" s="395">
        <v>8</v>
      </c>
      <c r="R18" s="395"/>
    </row>
    <row r="19" spans="1:18" x14ac:dyDescent="0.25">
      <c r="G19" s="287"/>
    </row>
    <row r="20" spans="1:18" x14ac:dyDescent="0.25">
      <c r="G20" s="287"/>
    </row>
  </sheetData>
  <mergeCells count="4">
    <mergeCell ref="L4:Q4"/>
    <mergeCell ref="B4:I4"/>
    <mergeCell ref="B3:I3"/>
    <mergeCell ref="L3:Q3"/>
  </mergeCells>
  <pageMargins left="0.7" right="0.7" top="1" bottom="0.75" header="0.3" footer="0.3"/>
  <pageSetup scale="58" orientation="portrait" horizontalDpi="1200" verticalDpi="1200" r:id="rId1"/>
  <headerFooter scaleWithDoc="0">
    <oddHeader>&amp;CCascade Natural Gas Corporation
2020 New Customers
IDM WP-1.7&amp;RPage &amp;P of &amp;N</oddHeader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4042-0692-4B91-81DD-F2CE784E2577}">
  <sheetPr>
    <tabColor rgb="FFFFFF00"/>
  </sheetPr>
  <dimension ref="A1:P40"/>
  <sheetViews>
    <sheetView workbookViewId="0"/>
  </sheetViews>
  <sheetFormatPr defaultRowHeight="15" x14ac:dyDescent="0.25"/>
  <cols>
    <col min="1" max="1" width="8.140625" customWidth="1"/>
    <col min="2" max="2" width="25" customWidth="1"/>
    <col min="3" max="3" width="13.5703125" customWidth="1"/>
    <col min="4" max="4" width="15.28515625" customWidth="1"/>
    <col min="5" max="5" width="14" customWidth="1"/>
    <col min="13" max="13" width="25.28515625" customWidth="1"/>
    <col min="14" max="14" width="13.85546875" customWidth="1"/>
    <col min="15" max="15" width="14.28515625" style="639" bestFit="1" customWidth="1"/>
    <col min="16" max="16" width="12.140625" style="639" customWidth="1"/>
    <col min="17" max="17" width="11.42578125" customWidth="1"/>
    <col min="18" max="18" width="13" customWidth="1"/>
    <col min="19" max="19" width="10.85546875" customWidth="1"/>
    <col min="21" max="21" width="10.85546875" customWidth="1"/>
  </cols>
  <sheetData>
    <row r="1" spans="1:10" x14ac:dyDescent="0.25">
      <c r="A1" s="136">
        <v>1</v>
      </c>
      <c r="B1" s="658" t="s">
        <v>217</v>
      </c>
      <c r="C1" s="658" t="s">
        <v>218</v>
      </c>
      <c r="D1" s="658" t="s">
        <v>34</v>
      </c>
      <c r="E1" s="658" t="s">
        <v>35</v>
      </c>
      <c r="F1" s="658"/>
      <c r="G1" s="658"/>
      <c r="H1" s="658"/>
      <c r="I1" s="658"/>
      <c r="J1" s="658"/>
    </row>
    <row r="2" spans="1:10" x14ac:dyDescent="0.25">
      <c r="A2" s="136">
        <v>2</v>
      </c>
    </row>
    <row r="3" spans="1:10" x14ac:dyDescent="0.25">
      <c r="A3" s="136">
        <v>3</v>
      </c>
    </row>
    <row r="4" spans="1:10" x14ac:dyDescent="0.25">
      <c r="A4" s="136">
        <v>4</v>
      </c>
    </row>
    <row r="5" spans="1:10" x14ac:dyDescent="0.25">
      <c r="A5" s="136">
        <v>5</v>
      </c>
    </row>
    <row r="6" spans="1:10" x14ac:dyDescent="0.25">
      <c r="A6" s="136">
        <v>6</v>
      </c>
    </row>
    <row r="7" spans="1:10" x14ac:dyDescent="0.25">
      <c r="A7" s="136">
        <v>7</v>
      </c>
    </row>
    <row r="8" spans="1:10" x14ac:dyDescent="0.25">
      <c r="A8" s="136">
        <v>8</v>
      </c>
    </row>
    <row r="9" spans="1:10" x14ac:dyDescent="0.25">
      <c r="A9" s="136">
        <v>9</v>
      </c>
    </row>
    <row r="10" spans="1:10" x14ac:dyDescent="0.25">
      <c r="A10" s="136">
        <v>10</v>
      </c>
    </row>
    <row r="11" spans="1:10" x14ac:dyDescent="0.25">
      <c r="A11" s="136">
        <v>11</v>
      </c>
    </row>
    <row r="12" spans="1:10" x14ac:dyDescent="0.25">
      <c r="A12" s="136">
        <v>12</v>
      </c>
    </row>
    <row r="13" spans="1:10" x14ac:dyDescent="0.25">
      <c r="A13" s="136">
        <v>13</v>
      </c>
    </row>
    <row r="14" spans="1:10" x14ac:dyDescent="0.25">
      <c r="A14" s="136">
        <v>14</v>
      </c>
    </row>
    <row r="15" spans="1:10" x14ac:dyDescent="0.25">
      <c r="A15" s="136">
        <v>15</v>
      </c>
    </row>
    <row r="16" spans="1:10" x14ac:dyDescent="0.25">
      <c r="A16" s="136">
        <v>16</v>
      </c>
    </row>
    <row r="17" spans="1:5" x14ac:dyDescent="0.25">
      <c r="A17" s="136">
        <v>17</v>
      </c>
    </row>
    <row r="18" spans="1:5" x14ac:dyDescent="0.25">
      <c r="A18" s="136">
        <v>18</v>
      </c>
    </row>
    <row r="19" spans="1:5" x14ac:dyDescent="0.25">
      <c r="A19" s="136">
        <v>19</v>
      </c>
    </row>
    <row r="20" spans="1:5" x14ac:dyDescent="0.25">
      <c r="A20" s="136">
        <v>20</v>
      </c>
    </row>
    <row r="21" spans="1:5" x14ac:dyDescent="0.25">
      <c r="A21" s="136">
        <v>21</v>
      </c>
    </row>
    <row r="22" spans="1:5" x14ac:dyDescent="0.25">
      <c r="A22" s="136">
        <v>22</v>
      </c>
    </row>
    <row r="23" spans="1:5" x14ac:dyDescent="0.25">
      <c r="A23" s="136">
        <v>23</v>
      </c>
    </row>
    <row r="24" spans="1:5" x14ac:dyDescent="0.25">
      <c r="A24" s="136">
        <v>24</v>
      </c>
    </row>
    <row r="25" spans="1:5" x14ac:dyDescent="0.25">
      <c r="A25" s="136">
        <v>25</v>
      </c>
      <c r="B25" s="803" t="s">
        <v>605</v>
      </c>
      <c r="C25" s="804" t="s">
        <v>603</v>
      </c>
    </row>
    <row r="26" spans="1:5" x14ac:dyDescent="0.25">
      <c r="A26" s="136">
        <v>26</v>
      </c>
      <c r="B26" s="805" t="s">
        <v>604</v>
      </c>
      <c r="C26" s="806">
        <v>1496916</v>
      </c>
      <c r="D26" s="678"/>
    </row>
    <row r="27" spans="1:5" x14ac:dyDescent="0.25">
      <c r="A27" s="136">
        <v>27</v>
      </c>
    </row>
    <row r="28" spans="1:5" x14ac:dyDescent="0.25">
      <c r="A28" s="136">
        <v>28</v>
      </c>
      <c r="E28" s="669"/>
    </row>
    <row r="29" spans="1:5" x14ac:dyDescent="0.25">
      <c r="A29" s="136">
        <v>29</v>
      </c>
      <c r="E29" s="669"/>
    </row>
    <row r="30" spans="1:5" x14ac:dyDescent="0.25">
      <c r="A30" s="136">
        <v>30</v>
      </c>
      <c r="B30" s="666"/>
      <c r="C30" s="666" t="s">
        <v>613</v>
      </c>
      <c r="E30" s="669"/>
    </row>
    <row r="31" spans="1:5" x14ac:dyDescent="0.25">
      <c r="A31" s="136">
        <v>31</v>
      </c>
      <c r="B31" s="666"/>
      <c r="C31" s="666" t="s">
        <v>606</v>
      </c>
    </row>
    <row r="32" spans="1:5" x14ac:dyDescent="0.25">
      <c r="A32" s="136">
        <v>32</v>
      </c>
      <c r="B32" s="705">
        <v>43831</v>
      </c>
      <c r="C32" s="783">
        <v>98669</v>
      </c>
    </row>
    <row r="33" spans="1:5" x14ac:dyDescent="0.25">
      <c r="A33" s="136">
        <v>33</v>
      </c>
      <c r="B33" s="705">
        <v>43862</v>
      </c>
      <c r="C33" s="783">
        <v>90013</v>
      </c>
    </row>
    <row r="34" spans="1:5" x14ac:dyDescent="0.25">
      <c r="A34" s="136">
        <v>34</v>
      </c>
      <c r="B34" s="705">
        <v>43891</v>
      </c>
      <c r="C34" s="783">
        <v>95580</v>
      </c>
    </row>
    <row r="35" spans="1:5" x14ac:dyDescent="0.25">
      <c r="A35" s="136">
        <v>35</v>
      </c>
      <c r="B35" s="705">
        <v>43922</v>
      </c>
      <c r="C35" s="783">
        <v>91321</v>
      </c>
    </row>
    <row r="36" spans="1:5" x14ac:dyDescent="0.25">
      <c r="A36" s="136">
        <v>36</v>
      </c>
      <c r="B36" s="705">
        <v>43952</v>
      </c>
      <c r="C36" s="807">
        <v>90965</v>
      </c>
    </row>
    <row r="37" spans="1:5" x14ac:dyDescent="0.25">
      <c r="A37" s="136">
        <v>37</v>
      </c>
      <c r="B37" s="747" t="s">
        <v>607</v>
      </c>
      <c r="C37" s="808">
        <f>SUM(C32:C36)</f>
        <v>466548</v>
      </c>
    </row>
    <row r="38" spans="1:5" x14ac:dyDescent="0.25">
      <c r="A38" s="136">
        <v>38</v>
      </c>
      <c r="B38" s="747" t="s">
        <v>608</v>
      </c>
      <c r="C38" s="808">
        <f>C26-C37</f>
        <v>1030368</v>
      </c>
    </row>
    <row r="39" spans="1:5" x14ac:dyDescent="0.25">
      <c r="E39" s="669"/>
    </row>
    <row r="40" spans="1:5" x14ac:dyDescent="0.25">
      <c r="C40" s="637"/>
    </row>
  </sheetData>
  <pageMargins left="0.7" right="0.7" top="1.25" bottom="0.75" header="0.3" footer="0.3"/>
  <pageSetup scale="74" orientation="portrait" horizontalDpi="1200" verticalDpi="1200" r:id="rId1"/>
  <headerFooter scaleWithDoc="0">
    <oddHeader>&amp;CCascade Natural Gas Corporation
2020 New Customers
IDM WP-1.8&amp;RPage &amp;P of &amp;N</oddHead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AL605"/>
  <sheetViews>
    <sheetView tabSelected="1" topLeftCell="E1" zoomScale="70" zoomScaleNormal="70" workbookViewId="0"/>
  </sheetViews>
  <sheetFormatPr defaultColWidth="8.7109375" defaultRowHeight="15" x14ac:dyDescent="0.25"/>
  <cols>
    <col min="1" max="1" width="11.85546875" style="14" customWidth="1"/>
    <col min="2" max="2" width="63.28515625" style="12" customWidth="1"/>
    <col min="3" max="3" width="19" style="196" customWidth="1"/>
    <col min="4" max="4" width="14.5703125" style="196" customWidth="1"/>
    <col min="5" max="5" width="20.85546875" style="196" bestFit="1" customWidth="1"/>
    <col min="6" max="6" width="2.140625" style="111" customWidth="1"/>
    <col min="7" max="7" width="15.85546875" style="196" customWidth="1"/>
    <col min="8" max="8" width="13" style="196" bestFit="1" customWidth="1"/>
    <col min="9" max="9" width="17.140625" style="196" customWidth="1"/>
    <col min="10" max="10" width="2.140625" style="111" customWidth="1"/>
    <col min="11" max="11" width="17.5703125" style="196" customWidth="1"/>
    <col min="12" max="12" width="19.42578125" style="196" customWidth="1"/>
    <col min="13" max="13" width="20" style="196" customWidth="1"/>
    <col min="14" max="14" width="2.140625" style="111" customWidth="1"/>
    <col min="15" max="15" width="16.85546875" style="196" customWidth="1"/>
    <col min="16" max="16" width="15.85546875" style="196" customWidth="1"/>
    <col min="17" max="17" width="17.7109375" style="196" bestFit="1" customWidth="1"/>
    <col min="18" max="18" width="2.140625" style="111" customWidth="1"/>
    <col min="19" max="19" width="16.85546875" style="196" customWidth="1"/>
    <col min="20" max="20" width="15.85546875" style="196" customWidth="1"/>
    <col min="21" max="21" width="17.7109375" style="196" bestFit="1" customWidth="1"/>
    <col min="22" max="22" width="2.140625" style="111" customWidth="1"/>
    <col min="23" max="23" width="15.7109375" style="196" customWidth="1"/>
    <col min="24" max="24" width="15.42578125" style="196" customWidth="1"/>
    <col min="25" max="25" width="20.7109375" style="196" customWidth="1"/>
    <col min="26" max="26" width="2.140625" style="111" customWidth="1"/>
    <col min="27" max="27" width="16.42578125" style="196" customWidth="1"/>
    <col min="28" max="28" width="13.85546875" style="196" customWidth="1"/>
    <col min="29" max="29" width="20.140625" style="196" customWidth="1"/>
    <col min="30" max="30" width="2.140625" style="111" customWidth="1"/>
    <col min="31" max="31" width="19.140625" style="202" customWidth="1"/>
    <col min="32" max="32" width="18.140625" style="196" customWidth="1"/>
    <col min="33" max="33" width="18.28515625" style="196" customWidth="1"/>
    <col min="34" max="34" width="2.140625" style="111" customWidth="1"/>
    <col min="35" max="35" width="19.7109375" style="15" customWidth="1"/>
    <col min="36" max="36" width="19.140625" style="15" customWidth="1"/>
    <col min="37" max="37" width="19.85546875" style="15" customWidth="1"/>
    <col min="38" max="38" width="17.7109375" style="12" customWidth="1"/>
    <col min="39" max="16384" width="8.7109375" style="12"/>
  </cols>
  <sheetData>
    <row r="1" spans="1:38" x14ac:dyDescent="0.25">
      <c r="A1" s="93"/>
      <c r="B1" s="16" t="s">
        <v>329</v>
      </c>
      <c r="C1" s="195"/>
      <c r="D1" s="195"/>
      <c r="E1" s="195"/>
      <c r="F1" s="107"/>
      <c r="G1" s="195"/>
      <c r="H1" s="195"/>
      <c r="I1" s="195"/>
      <c r="J1" s="107"/>
      <c r="K1" s="195"/>
      <c r="L1" s="195"/>
      <c r="M1" s="195"/>
      <c r="N1" s="107"/>
      <c r="O1" s="195"/>
      <c r="P1" s="195"/>
      <c r="Q1" s="195"/>
      <c r="R1" s="107"/>
      <c r="S1" s="195"/>
      <c r="T1" s="195"/>
      <c r="U1" s="195"/>
      <c r="V1" s="107"/>
      <c r="W1" s="195"/>
      <c r="X1" s="195"/>
      <c r="Y1" s="195"/>
      <c r="Z1" s="107"/>
      <c r="AA1" s="195"/>
      <c r="AB1" s="195"/>
      <c r="AC1" s="195"/>
      <c r="AD1" s="107"/>
      <c r="AE1" s="400"/>
      <c r="AF1" s="195"/>
      <c r="AG1" s="195"/>
      <c r="AH1" s="107"/>
      <c r="AI1" s="21"/>
      <c r="AJ1" s="21"/>
      <c r="AK1" s="21"/>
    </row>
    <row r="2" spans="1:38" x14ac:dyDescent="0.25">
      <c r="B2" s="93" t="s">
        <v>433</v>
      </c>
    </row>
    <row r="3" spans="1:38" x14ac:dyDescent="0.25">
      <c r="C3" s="197" t="s">
        <v>7</v>
      </c>
      <c r="D3" s="198"/>
      <c r="E3" s="199"/>
      <c r="F3" s="108"/>
      <c r="G3" s="816" t="s">
        <v>233</v>
      </c>
      <c r="H3" s="816"/>
      <c r="I3" s="816"/>
      <c r="J3" s="108"/>
      <c r="K3" s="820" t="s">
        <v>232</v>
      </c>
      <c r="L3" s="820"/>
      <c r="M3" s="820"/>
      <c r="N3" s="108"/>
      <c r="O3" s="816" t="s">
        <v>636</v>
      </c>
      <c r="P3" s="816"/>
      <c r="Q3" s="816"/>
      <c r="R3" s="108"/>
      <c r="S3" s="816" t="s">
        <v>578</v>
      </c>
      <c r="T3" s="816"/>
      <c r="U3" s="816"/>
      <c r="V3" s="108"/>
      <c r="W3" s="816" t="s">
        <v>632</v>
      </c>
      <c r="X3" s="816"/>
      <c r="Y3" s="816"/>
      <c r="Z3" s="108"/>
      <c r="AA3" s="816" t="s">
        <v>274</v>
      </c>
      <c r="AB3" s="816"/>
      <c r="AC3" s="816"/>
      <c r="AD3" s="108"/>
      <c r="AE3" s="816" t="s">
        <v>576</v>
      </c>
      <c r="AF3" s="816"/>
      <c r="AG3" s="816"/>
      <c r="AH3" s="108"/>
      <c r="AI3" s="817" t="s">
        <v>8</v>
      </c>
      <c r="AJ3" s="818"/>
      <c r="AK3" s="819"/>
    </row>
    <row r="4" spans="1:38" ht="52.5" customHeight="1" x14ac:dyDescent="0.25">
      <c r="A4" s="13"/>
      <c r="B4" s="13" t="s">
        <v>0</v>
      </c>
      <c r="C4" s="200" t="s">
        <v>6</v>
      </c>
      <c r="D4" s="200" t="s">
        <v>1</v>
      </c>
      <c r="E4" s="200" t="s">
        <v>562</v>
      </c>
      <c r="F4" s="109"/>
      <c r="G4" s="261" t="s">
        <v>208</v>
      </c>
      <c r="H4" s="262" t="s">
        <v>209</v>
      </c>
      <c r="I4" s="263" t="s">
        <v>210</v>
      </c>
      <c r="J4" s="109"/>
      <c r="K4" s="200" t="s">
        <v>231</v>
      </c>
      <c r="L4" s="200" t="s">
        <v>209</v>
      </c>
      <c r="M4" s="200" t="s">
        <v>230</v>
      </c>
      <c r="N4" s="109"/>
      <c r="O4" s="200" t="s">
        <v>231</v>
      </c>
      <c r="P4" s="200" t="s">
        <v>209</v>
      </c>
      <c r="Q4" s="200" t="s">
        <v>230</v>
      </c>
      <c r="R4" s="109"/>
      <c r="S4" s="200" t="s">
        <v>208</v>
      </c>
      <c r="T4" s="200" t="s">
        <v>281</v>
      </c>
      <c r="U4" s="200" t="s">
        <v>282</v>
      </c>
      <c r="V4" s="109"/>
      <c r="W4" s="200" t="s">
        <v>208</v>
      </c>
      <c r="X4" s="200" t="s">
        <v>281</v>
      </c>
      <c r="Y4" s="200" t="s">
        <v>282</v>
      </c>
      <c r="Z4" s="109"/>
      <c r="AA4" s="411" t="s">
        <v>275</v>
      </c>
      <c r="AB4" s="412" t="s">
        <v>209</v>
      </c>
      <c r="AC4" s="262" t="s">
        <v>432</v>
      </c>
      <c r="AD4" s="109"/>
      <c r="AE4" s="401" t="s">
        <v>275</v>
      </c>
      <c r="AF4" s="42" t="s">
        <v>575</v>
      </c>
      <c r="AG4" s="42" t="s">
        <v>577</v>
      </c>
      <c r="AH4" s="109"/>
      <c r="AI4" s="42" t="s">
        <v>2</v>
      </c>
      <c r="AJ4" s="42" t="s">
        <v>234</v>
      </c>
      <c r="AK4" s="42" t="s">
        <v>211</v>
      </c>
    </row>
    <row r="5" spans="1:38" x14ac:dyDescent="0.25">
      <c r="B5" s="14" t="s">
        <v>3</v>
      </c>
      <c r="C5" s="201" t="s">
        <v>245</v>
      </c>
      <c r="D5" s="201" t="s">
        <v>4</v>
      </c>
      <c r="E5" s="201" t="s">
        <v>431</v>
      </c>
      <c r="F5" s="110"/>
      <c r="G5" s="201" t="s">
        <v>239</v>
      </c>
      <c r="H5" s="201" t="s">
        <v>240</v>
      </c>
      <c r="I5" s="201" t="s">
        <v>241</v>
      </c>
      <c r="J5" s="110"/>
      <c r="K5" s="201" t="s">
        <v>272</v>
      </c>
      <c r="L5" s="201" t="s">
        <v>5</v>
      </c>
      <c r="M5" s="201" t="s">
        <v>242</v>
      </c>
      <c r="N5" s="110"/>
      <c r="O5" s="683" t="s">
        <v>243</v>
      </c>
      <c r="P5" s="683" t="s">
        <v>614</v>
      </c>
      <c r="Q5" s="683" t="s">
        <v>615</v>
      </c>
      <c r="R5" s="683"/>
      <c r="S5" s="683" t="s">
        <v>332</v>
      </c>
      <c r="T5" s="683" t="s">
        <v>619</v>
      </c>
      <c r="U5" s="683" t="s">
        <v>620</v>
      </c>
      <c r="V5" s="683"/>
      <c r="W5" s="683" t="s">
        <v>244</v>
      </c>
      <c r="X5" s="683" t="s">
        <v>621</v>
      </c>
      <c r="Y5" s="683" t="s">
        <v>622</v>
      </c>
      <c r="Z5" s="683"/>
      <c r="AA5" s="683" t="s">
        <v>623</v>
      </c>
      <c r="AB5" s="683" t="s">
        <v>616</v>
      </c>
      <c r="AC5" s="683" t="s">
        <v>624</v>
      </c>
      <c r="AD5" s="683"/>
      <c r="AE5" s="684" t="s">
        <v>617</v>
      </c>
      <c r="AF5" s="683" t="s">
        <v>628</v>
      </c>
      <c r="AG5" s="683" t="s">
        <v>625</v>
      </c>
      <c r="AH5" s="683"/>
      <c r="AI5" s="683" t="s">
        <v>618</v>
      </c>
      <c r="AJ5" s="683" t="s">
        <v>626</v>
      </c>
      <c r="AK5" s="683" t="s">
        <v>627</v>
      </c>
    </row>
    <row r="6" spans="1:38" x14ac:dyDescent="0.25">
      <c r="A6" s="14">
        <v>1</v>
      </c>
      <c r="B6" s="18" t="s">
        <v>92</v>
      </c>
      <c r="G6" s="264"/>
    </row>
    <row r="7" spans="1:38" x14ac:dyDescent="0.25">
      <c r="A7" s="14">
        <v>2</v>
      </c>
      <c r="B7" s="12" t="s">
        <v>9</v>
      </c>
      <c r="C7" s="202">
        <f>E7/D7</f>
        <v>2321731.12</v>
      </c>
      <c r="D7" s="203">
        <v>5</v>
      </c>
      <c r="E7" s="204">
        <f>'1501 Summary'!AD6</f>
        <v>11608655.6</v>
      </c>
      <c r="F7" s="112"/>
      <c r="G7" s="265"/>
      <c r="H7" s="203"/>
      <c r="I7" s="204"/>
      <c r="J7" s="112"/>
      <c r="K7" s="202">
        <f>C7+G7</f>
        <v>2321731.12</v>
      </c>
      <c r="L7" s="203">
        <f>D7</f>
        <v>5</v>
      </c>
      <c r="M7" s="204">
        <f>L7*K7</f>
        <v>11608655.600000001</v>
      </c>
      <c r="N7" s="112"/>
      <c r="O7" s="202"/>
      <c r="P7" s="204"/>
      <c r="Q7" s="204"/>
      <c r="R7" s="112"/>
      <c r="S7" s="202">
        <f>'End of Period Calculations'!AB99</f>
        <v>2344308</v>
      </c>
      <c r="T7" s="204">
        <f>S7*L7</f>
        <v>11721540</v>
      </c>
      <c r="U7" s="204">
        <f>T7-M7</f>
        <v>112884.39999999851</v>
      </c>
      <c r="V7" s="112"/>
      <c r="W7" s="203"/>
      <c r="X7" s="203"/>
      <c r="Y7" s="203"/>
      <c r="Z7" s="112"/>
      <c r="AA7" s="216"/>
      <c r="AB7" s="216"/>
      <c r="AC7" s="216"/>
      <c r="AD7" s="112"/>
      <c r="AE7" s="202">
        <f>'End of Period Calculations'!AD99</f>
        <v>2377210.5179602341</v>
      </c>
      <c r="AF7" s="203">
        <f>AE7*L7</f>
        <v>11886052.58980117</v>
      </c>
      <c r="AG7" s="203">
        <f>AF7-T7</f>
        <v>164512.58980116993</v>
      </c>
      <c r="AH7" s="112"/>
      <c r="AI7" s="762">
        <f>L7</f>
        <v>5</v>
      </c>
      <c r="AJ7" s="689">
        <f>AI7*AE7</f>
        <v>11886052.58980117</v>
      </c>
      <c r="AK7" s="689">
        <f>AJ7-AF7</f>
        <v>0</v>
      </c>
      <c r="AL7" s="404"/>
    </row>
    <row r="8" spans="1:38" x14ac:dyDescent="0.25">
      <c r="A8" s="14">
        <v>3</v>
      </c>
      <c r="B8" s="12" t="s">
        <v>505</v>
      </c>
      <c r="C8" s="202">
        <f t="shared" ref="C8" si="0">E8/D8</f>
        <v>130707634.73626167</v>
      </c>
      <c r="D8" s="205">
        <v>0.27205000000000001</v>
      </c>
      <c r="E8" s="204">
        <f>'1501 Summary'!AD7</f>
        <v>35559012.029999986</v>
      </c>
      <c r="F8" s="112"/>
      <c r="G8" s="265"/>
      <c r="H8" s="266"/>
      <c r="I8" s="203"/>
      <c r="J8" s="112"/>
      <c r="K8" s="202">
        <f t="shared" ref="K8" si="1">C8+G8</f>
        <v>130707634.73626167</v>
      </c>
      <c r="L8" s="266">
        <v>0.31073000000000001</v>
      </c>
      <c r="M8" s="204">
        <f>L8*K8</f>
        <v>40614783.341598585</v>
      </c>
      <c r="N8" s="112"/>
      <c r="O8" s="202"/>
      <c r="P8" s="202"/>
      <c r="Q8" s="204"/>
      <c r="R8" s="112"/>
      <c r="S8" s="202"/>
      <c r="T8" s="202"/>
      <c r="U8" s="204"/>
      <c r="V8" s="112"/>
      <c r="W8" s="203"/>
      <c r="X8" s="203"/>
      <c r="Y8" s="203"/>
      <c r="Z8" s="112"/>
      <c r="AA8" s="202">
        <f>AE13</f>
        <v>133590690.53149468</v>
      </c>
      <c r="AB8" s="413">
        <v>3.47E-3</v>
      </c>
      <c r="AC8" s="216">
        <f>AB8*AA8</f>
        <v>463559.69614428654</v>
      </c>
      <c r="AD8" s="112"/>
      <c r="AF8" s="203"/>
      <c r="AG8" s="203"/>
      <c r="AH8" s="112"/>
      <c r="AI8" s="26"/>
      <c r="AJ8" s="32"/>
      <c r="AK8" s="39"/>
      <c r="AL8" s="404"/>
    </row>
    <row r="9" spans="1:38" x14ac:dyDescent="0.25">
      <c r="A9" s="194">
        <v>4</v>
      </c>
      <c r="B9" s="12" t="s">
        <v>10</v>
      </c>
      <c r="E9" s="206">
        <f>SUM(E7:E8)</f>
        <v>47167667.629999988</v>
      </c>
      <c r="F9" s="112"/>
      <c r="G9" s="203"/>
      <c r="H9" s="203"/>
      <c r="I9" s="203"/>
      <c r="J9" s="112"/>
      <c r="K9" s="202"/>
      <c r="L9" s="266"/>
      <c r="M9" s="204"/>
      <c r="N9" s="112"/>
      <c r="O9" s="204"/>
      <c r="P9" s="204"/>
      <c r="Q9" s="204"/>
      <c r="R9" s="112"/>
      <c r="S9" s="204"/>
      <c r="T9" s="204"/>
      <c r="U9" s="204"/>
      <c r="V9" s="112"/>
      <c r="W9" s="203"/>
      <c r="X9" s="203"/>
      <c r="Y9" s="203"/>
      <c r="Z9" s="112"/>
      <c r="AA9" s="216"/>
      <c r="AB9" s="216"/>
      <c r="AC9" s="216"/>
      <c r="AD9" s="112"/>
      <c r="AF9" s="203"/>
      <c r="AG9" s="203"/>
      <c r="AH9" s="112"/>
      <c r="AI9" s="74"/>
      <c r="AJ9" s="32"/>
      <c r="AK9" s="39"/>
      <c r="AL9" s="404"/>
    </row>
    <row r="10" spans="1:38" ht="15.75" x14ac:dyDescent="0.25">
      <c r="A10" s="194">
        <v>5</v>
      </c>
      <c r="E10" s="204"/>
      <c r="L10" s="266"/>
      <c r="O10" s="204"/>
      <c r="P10" s="204"/>
      <c r="Q10" s="204"/>
      <c r="S10" s="204"/>
      <c r="T10" s="204"/>
      <c r="U10" s="204"/>
      <c r="AA10" s="216"/>
      <c r="AB10" s="216"/>
      <c r="AC10" s="216"/>
      <c r="AI10" s="406"/>
      <c r="AJ10" s="32"/>
      <c r="AK10" s="39"/>
      <c r="AL10" s="404"/>
    </row>
    <row r="11" spans="1:38" ht="15.75" x14ac:dyDescent="0.25">
      <c r="A11" s="194">
        <v>6</v>
      </c>
      <c r="B11" s="12" t="s">
        <v>278</v>
      </c>
      <c r="E11" s="204"/>
      <c r="K11" s="240">
        <f>'Weather Normalization'!E16-SUM('Exh IDM-7 - Revenue Summary'!K8:K8)</f>
        <v>-179086.38636855781</v>
      </c>
      <c r="L11" s="266">
        <f>L8</f>
        <v>0.31073000000000001</v>
      </c>
      <c r="M11" s="247">
        <f>L11*K11</f>
        <v>-55647.512836301968</v>
      </c>
      <c r="O11" s="204"/>
      <c r="P11" s="204"/>
      <c r="Q11" s="204"/>
      <c r="S11" s="204"/>
      <c r="T11" s="204"/>
      <c r="U11" s="204"/>
      <c r="AA11" s="216"/>
      <c r="AB11" s="216"/>
      <c r="AC11" s="216"/>
      <c r="AI11" s="406"/>
      <c r="AJ11" s="32"/>
      <c r="AK11" s="39"/>
      <c r="AL11" s="404"/>
    </row>
    <row r="12" spans="1:38" ht="15.75" x14ac:dyDescent="0.25">
      <c r="A12" s="194">
        <v>7</v>
      </c>
      <c r="E12" s="204"/>
      <c r="L12" s="266"/>
      <c r="M12" s="247"/>
      <c r="O12" s="204"/>
      <c r="P12" s="204"/>
      <c r="Q12" s="204"/>
      <c r="S12" s="204"/>
      <c r="T12" s="204"/>
      <c r="U12" s="204"/>
      <c r="AA12" s="216"/>
      <c r="AB12" s="216"/>
      <c r="AC12" s="216"/>
      <c r="AI12" s="406"/>
      <c r="AJ12" s="32"/>
      <c r="AK12" s="39"/>
      <c r="AL12" s="404"/>
    </row>
    <row r="13" spans="1:38" x14ac:dyDescent="0.25">
      <c r="A13" s="194">
        <v>8</v>
      </c>
      <c r="B13" s="12" t="s">
        <v>11</v>
      </c>
      <c r="E13" s="204">
        <f>'1501 Summary'!AD8</f>
        <v>57026087.02000007</v>
      </c>
      <c r="F13" s="112"/>
      <c r="G13" s="203"/>
      <c r="H13" s="203"/>
      <c r="I13" s="203"/>
      <c r="J13" s="112"/>
      <c r="K13" s="202">
        <f>SUM(K8:K11)</f>
        <v>130528548.34989311</v>
      </c>
      <c r="L13" s="266">
        <f>L8</f>
        <v>0.31073000000000001</v>
      </c>
      <c r="M13" s="249">
        <f t="shared" ref="M13" si="2">L13*K13</f>
        <v>40559135.828762285</v>
      </c>
      <c r="N13" s="112"/>
      <c r="O13" s="202"/>
      <c r="P13" s="207"/>
      <c r="Q13" s="207"/>
      <c r="R13" s="112"/>
      <c r="S13" s="202">
        <f>'End of Period Calculations'!AA99</f>
        <v>131741687.23064102</v>
      </c>
      <c r="T13" s="207">
        <f>S13*L13</f>
        <v>40936094.473177083</v>
      </c>
      <c r="U13" s="207">
        <f>T13-M13</f>
        <v>376958.64441479743</v>
      </c>
      <c r="V13" s="112"/>
      <c r="W13" s="203"/>
      <c r="X13" s="203"/>
      <c r="Y13" s="203"/>
      <c r="Z13" s="112"/>
      <c r="AA13" s="216"/>
      <c r="AB13" s="216"/>
      <c r="AC13" s="216"/>
      <c r="AD13" s="112"/>
      <c r="AE13" s="202">
        <f>'End of Period Calculations'!AA126</f>
        <v>133590690.53149468</v>
      </c>
      <c r="AF13" s="208">
        <f>AE13*L13</f>
        <v>41510635.26885134</v>
      </c>
      <c r="AG13" s="208">
        <f>AF13-T13</f>
        <v>574540.79567425698</v>
      </c>
      <c r="AH13" s="112"/>
      <c r="AI13" s="763">
        <f>'Exh IDM-9 -Revenue Distribution'!F7</f>
        <v>0.36344290323328449</v>
      </c>
      <c r="AJ13" s="690">
        <f>AI13*AE13</f>
        <v>48552588.411705673</v>
      </c>
      <c r="AK13" s="689">
        <f>AJ13-AF13</f>
        <v>7041953.1428543329</v>
      </c>
      <c r="AL13" s="404"/>
    </row>
    <row r="14" spans="1:38" x14ac:dyDescent="0.25">
      <c r="A14" s="194">
        <v>9</v>
      </c>
      <c r="E14" s="204"/>
      <c r="L14" s="266"/>
      <c r="M14" s="247">
        <f>SUM(M13,M7)</f>
        <v>52167791.428762287</v>
      </c>
      <c r="O14" s="204"/>
      <c r="P14" s="204"/>
      <c r="Q14" s="204"/>
      <c r="S14" s="204"/>
      <c r="T14" s="204">
        <f>SUM(T7,T13)</f>
        <v>52657634.473177083</v>
      </c>
      <c r="U14" s="204">
        <f>T14-M14</f>
        <v>489843.04441479594</v>
      </c>
      <c r="AA14" s="216"/>
      <c r="AB14" s="216"/>
      <c r="AC14" s="216"/>
      <c r="AF14" s="203">
        <f>SUM(AF7:AF13)</f>
        <v>53396687.85865251</v>
      </c>
      <c r="AG14" s="203">
        <f>SUM(AG7:AG13)</f>
        <v>739053.38547542691</v>
      </c>
      <c r="AI14" s="74"/>
      <c r="AJ14" s="761">
        <f>SUM(AJ7:AJ13)</f>
        <v>60438641.001506843</v>
      </c>
      <c r="AK14" s="761">
        <f>SUM(AK7:AK13)</f>
        <v>7041953.1428543329</v>
      </c>
      <c r="AL14" s="404"/>
    </row>
    <row r="15" spans="1:38" x14ac:dyDescent="0.25">
      <c r="A15" s="194">
        <v>10</v>
      </c>
      <c r="B15" s="12" t="s">
        <v>12</v>
      </c>
      <c r="E15" s="204"/>
      <c r="L15" s="266"/>
      <c r="O15" s="204"/>
      <c r="P15" s="204"/>
      <c r="Q15" s="204"/>
      <c r="S15" s="204"/>
      <c r="T15" s="204"/>
      <c r="U15" s="204"/>
      <c r="AA15" s="216"/>
      <c r="AB15" s="216"/>
      <c r="AC15" s="216"/>
      <c r="AK15" s="39"/>
      <c r="AL15" s="404"/>
    </row>
    <row r="16" spans="1:38" x14ac:dyDescent="0.25">
      <c r="A16" s="194">
        <v>11</v>
      </c>
      <c r="B16" s="12" t="s">
        <v>484</v>
      </c>
      <c r="E16" s="204">
        <f>'1501 Summary'!AD9</f>
        <v>5759452.8200000022</v>
      </c>
      <c r="L16" s="266"/>
      <c r="O16" s="204"/>
      <c r="P16" s="204"/>
      <c r="Q16" s="204"/>
      <c r="S16" s="204"/>
      <c r="T16" s="204"/>
      <c r="U16" s="204"/>
      <c r="AA16" s="216"/>
      <c r="AB16" s="216"/>
      <c r="AC16" s="216"/>
      <c r="AK16" s="39"/>
      <c r="AL16" s="404"/>
    </row>
    <row r="17" spans="1:38" x14ac:dyDescent="0.25">
      <c r="A17" s="194">
        <v>12</v>
      </c>
      <c r="B17" s="12" t="s">
        <v>115</v>
      </c>
      <c r="E17" s="204">
        <f>'1501 Summary'!AD10</f>
        <v>441169.52000000025</v>
      </c>
      <c r="F17" s="112"/>
      <c r="G17" s="203"/>
      <c r="H17" s="203"/>
      <c r="I17" s="203"/>
      <c r="J17" s="112"/>
      <c r="K17" s="203"/>
      <c r="L17" s="266"/>
      <c r="M17" s="203"/>
      <c r="N17" s="112"/>
      <c r="O17" s="204"/>
      <c r="P17" s="204"/>
      <c r="Q17" s="204"/>
      <c r="R17" s="112"/>
      <c r="S17" s="204"/>
      <c r="T17" s="204"/>
      <c r="U17" s="204"/>
      <c r="V17" s="112"/>
      <c r="W17" s="203"/>
      <c r="X17" s="203"/>
      <c r="Y17" s="203"/>
      <c r="Z17" s="112"/>
      <c r="AD17" s="112"/>
      <c r="AF17" s="203"/>
      <c r="AG17" s="203"/>
      <c r="AH17" s="112"/>
      <c r="AK17" s="37"/>
      <c r="AL17" s="404"/>
    </row>
    <row r="18" spans="1:38" x14ac:dyDescent="0.25">
      <c r="A18" s="194">
        <v>13</v>
      </c>
      <c r="B18" s="12" t="s">
        <v>116</v>
      </c>
      <c r="E18" s="204">
        <f>'1501 Summary'!AD11</f>
        <v>1799420.8200000019</v>
      </c>
      <c r="F18" s="112"/>
      <c r="G18" s="203"/>
      <c r="H18" s="203"/>
      <c r="I18" s="203"/>
      <c r="J18" s="112"/>
      <c r="K18" s="203"/>
      <c r="L18" s="266"/>
      <c r="M18" s="203"/>
      <c r="N18" s="112"/>
      <c r="O18" s="204"/>
      <c r="P18" s="204"/>
      <c r="Q18" s="204"/>
      <c r="R18" s="112"/>
      <c r="S18" s="204"/>
      <c r="T18" s="204"/>
      <c r="U18" s="204"/>
      <c r="V18" s="112"/>
      <c r="W18" s="203"/>
      <c r="X18" s="203"/>
      <c r="Y18" s="203"/>
      <c r="Z18" s="112"/>
      <c r="AD18" s="112"/>
      <c r="AF18" s="203"/>
      <c r="AG18" s="203"/>
      <c r="AH18" s="112"/>
      <c r="AL18" s="404"/>
    </row>
    <row r="19" spans="1:38" x14ac:dyDescent="0.25">
      <c r="A19" s="194">
        <v>14</v>
      </c>
      <c r="B19" s="12" t="s">
        <v>117</v>
      </c>
      <c r="E19" s="204">
        <f>'1501 Summary'!AD12</f>
        <v>-2529025.379999999</v>
      </c>
      <c r="F19" s="112"/>
      <c r="G19" s="203"/>
      <c r="H19" s="203"/>
      <c r="I19" s="203"/>
      <c r="J19" s="112"/>
      <c r="K19" s="203"/>
      <c r="L19" s="266"/>
      <c r="M19" s="203"/>
      <c r="N19" s="112"/>
      <c r="O19" s="204"/>
      <c r="P19" s="204"/>
      <c r="Q19" s="204"/>
      <c r="R19" s="112"/>
      <c r="S19" s="204"/>
      <c r="T19" s="204"/>
      <c r="U19" s="204"/>
      <c r="V19" s="112"/>
      <c r="W19" s="203"/>
      <c r="X19" s="203"/>
      <c r="Y19" s="203"/>
      <c r="Z19" s="112"/>
      <c r="AD19" s="112"/>
      <c r="AF19" s="203"/>
      <c r="AG19" s="203"/>
      <c r="AH19" s="112"/>
      <c r="AL19" s="404"/>
    </row>
    <row r="20" spans="1:38" x14ac:dyDescent="0.25">
      <c r="A20" s="194">
        <v>15</v>
      </c>
      <c r="B20" s="12" t="s">
        <v>118</v>
      </c>
      <c r="E20" s="204">
        <f>'1501 Summary'!AD13</f>
        <v>846347.13</v>
      </c>
      <c r="F20" s="112"/>
      <c r="G20" s="203"/>
      <c r="H20" s="203"/>
      <c r="I20" s="203"/>
      <c r="J20" s="112"/>
      <c r="K20" s="203"/>
      <c r="L20" s="266"/>
      <c r="M20" s="203"/>
      <c r="N20" s="112"/>
      <c r="O20" s="204"/>
      <c r="P20" s="204"/>
      <c r="Q20" s="204"/>
      <c r="R20" s="112"/>
      <c r="S20" s="204"/>
      <c r="T20" s="204"/>
      <c r="U20" s="204"/>
      <c r="V20" s="112"/>
      <c r="W20" s="203"/>
      <c r="X20" s="203"/>
      <c r="Y20" s="203"/>
      <c r="Z20" s="112"/>
      <c r="AD20" s="112"/>
      <c r="AF20" s="203"/>
      <c r="AG20" s="203"/>
      <c r="AH20" s="112"/>
      <c r="AL20" s="404"/>
    </row>
    <row r="21" spans="1:38" x14ac:dyDescent="0.25">
      <c r="A21" s="194">
        <v>16</v>
      </c>
      <c r="B21" s="12" t="s">
        <v>119</v>
      </c>
      <c r="E21" s="204">
        <f>'1501 Summary'!AD14</f>
        <v>3574018.8199999989</v>
      </c>
      <c r="F21" s="112"/>
      <c r="G21" s="203"/>
      <c r="H21" s="203"/>
      <c r="I21" s="203"/>
      <c r="J21" s="112"/>
      <c r="K21" s="203"/>
      <c r="L21" s="266"/>
      <c r="M21" s="203"/>
      <c r="N21" s="112"/>
      <c r="O21" s="204"/>
      <c r="P21" s="204"/>
      <c r="Q21" s="204"/>
      <c r="R21" s="112"/>
      <c r="S21" s="204"/>
      <c r="T21" s="204"/>
      <c r="U21" s="204"/>
      <c r="V21" s="112"/>
      <c r="W21" s="203"/>
      <c r="X21" s="203"/>
      <c r="Y21" s="203"/>
      <c r="Z21" s="112"/>
      <c r="AD21" s="112"/>
      <c r="AF21" s="203"/>
      <c r="AG21" s="203"/>
      <c r="AH21" s="112"/>
      <c r="AL21" s="404"/>
    </row>
    <row r="22" spans="1:38" x14ac:dyDescent="0.25">
      <c r="A22" s="194">
        <v>17</v>
      </c>
      <c r="B22" s="20" t="s">
        <v>181</v>
      </c>
      <c r="E22" s="204">
        <f>'1501 Summary'!AD15</f>
        <v>-956022.1800000011</v>
      </c>
      <c r="F22" s="112"/>
      <c r="G22" s="203"/>
      <c r="H22" s="203"/>
      <c r="I22" s="203"/>
      <c r="J22" s="112"/>
      <c r="K22" s="203"/>
      <c r="L22" s="266"/>
      <c r="M22" s="203"/>
      <c r="N22" s="112"/>
      <c r="O22" s="204"/>
      <c r="P22" s="204"/>
      <c r="Q22" s="204"/>
      <c r="R22" s="112"/>
      <c r="S22" s="204"/>
      <c r="T22" s="204"/>
      <c r="U22" s="204"/>
      <c r="V22" s="112"/>
      <c r="W22" s="203"/>
      <c r="X22" s="203"/>
      <c r="Y22" s="203"/>
      <c r="Z22" s="112"/>
      <c r="AD22" s="112"/>
      <c r="AF22" s="203"/>
      <c r="AG22" s="203"/>
      <c r="AH22" s="112"/>
      <c r="AL22" s="404"/>
    </row>
    <row r="23" spans="1:38" x14ac:dyDescent="0.25">
      <c r="A23" s="194">
        <v>18</v>
      </c>
      <c r="B23" s="20" t="s">
        <v>182</v>
      </c>
      <c r="E23" s="204">
        <f>'1501 Summary'!AD16</f>
        <v>-428744.85000000044</v>
      </c>
      <c r="F23" s="112"/>
      <c r="G23" s="203"/>
      <c r="H23" s="203"/>
      <c r="I23" s="203"/>
      <c r="J23" s="112"/>
      <c r="K23" s="203"/>
      <c r="L23" s="266"/>
      <c r="M23" s="203"/>
      <c r="N23" s="112"/>
      <c r="O23" s="204"/>
      <c r="P23" s="204"/>
      <c r="Q23" s="204"/>
      <c r="R23" s="112"/>
      <c r="S23" s="204"/>
      <c r="T23" s="204"/>
      <c r="U23" s="204"/>
      <c r="V23" s="112"/>
      <c r="W23" s="203"/>
      <c r="X23" s="203"/>
      <c r="Y23" s="203"/>
      <c r="Z23" s="112"/>
      <c r="AD23" s="112"/>
      <c r="AF23" s="203"/>
      <c r="AG23" s="203"/>
      <c r="AH23" s="112"/>
      <c r="AL23" s="404"/>
    </row>
    <row r="24" spans="1:38" x14ac:dyDescent="0.25">
      <c r="A24" s="194">
        <v>19</v>
      </c>
      <c r="B24" s="20" t="s">
        <v>183</v>
      </c>
      <c r="E24" s="204">
        <f>'1501 Summary'!AD17</f>
        <v>-667501.94999999995</v>
      </c>
      <c r="F24" s="112"/>
      <c r="G24" s="203"/>
      <c r="H24" s="203"/>
      <c r="I24" s="203"/>
      <c r="J24" s="112"/>
      <c r="K24" s="203"/>
      <c r="L24" s="266"/>
      <c r="M24" s="203"/>
      <c r="N24" s="112"/>
      <c r="O24" s="204"/>
      <c r="P24" s="204"/>
      <c r="Q24" s="204"/>
      <c r="R24" s="112"/>
      <c r="S24" s="204"/>
      <c r="T24" s="204"/>
      <c r="U24" s="204"/>
      <c r="V24" s="112"/>
      <c r="W24" s="203"/>
      <c r="X24" s="203"/>
      <c r="Y24" s="203"/>
      <c r="Z24" s="112"/>
      <c r="AD24" s="112"/>
      <c r="AF24" s="203"/>
      <c r="AG24" s="203"/>
      <c r="AH24" s="112"/>
      <c r="AL24" s="404"/>
    </row>
    <row r="25" spans="1:38" x14ac:dyDescent="0.25">
      <c r="A25" s="194">
        <v>20</v>
      </c>
      <c r="B25" s="12" t="s">
        <v>120</v>
      </c>
      <c r="E25" s="204">
        <f>'1501 Summary'!AD18</f>
        <v>5506161.7299999967</v>
      </c>
      <c r="F25" s="112"/>
      <c r="G25" s="203"/>
      <c r="H25" s="203"/>
      <c r="I25" s="203"/>
      <c r="J25" s="112"/>
      <c r="K25" s="203"/>
      <c r="L25" s="266"/>
      <c r="M25" s="203"/>
      <c r="N25" s="112"/>
      <c r="O25" s="204"/>
      <c r="P25" s="204"/>
      <c r="Q25" s="204"/>
      <c r="R25" s="112"/>
      <c r="S25" s="204"/>
      <c r="T25" s="204"/>
      <c r="U25" s="204"/>
      <c r="V25" s="112"/>
      <c r="W25" s="203"/>
      <c r="X25" s="203"/>
      <c r="Y25" s="203"/>
      <c r="Z25" s="112"/>
      <c r="AA25" s="204"/>
      <c r="AB25" s="204"/>
      <c r="AC25" s="204"/>
      <c r="AD25" s="112"/>
      <c r="AF25" s="203"/>
      <c r="AG25" s="203"/>
      <c r="AH25" s="112"/>
      <c r="AK25" s="25"/>
      <c r="AL25" s="404"/>
    </row>
    <row r="26" spans="1:38" x14ac:dyDescent="0.25">
      <c r="A26" s="194">
        <v>21</v>
      </c>
      <c r="B26" s="12" t="s">
        <v>122</v>
      </c>
      <c r="E26" s="204">
        <f>'1501 Summary'!AD19</f>
        <v>13767.33</v>
      </c>
      <c r="F26" s="112"/>
      <c r="G26" s="203"/>
      <c r="H26" s="203"/>
      <c r="I26" s="203"/>
      <c r="J26" s="112"/>
      <c r="K26" s="203"/>
      <c r="L26" s="266"/>
      <c r="M26" s="203"/>
      <c r="N26" s="112"/>
      <c r="O26" s="204"/>
      <c r="P26" s="204"/>
      <c r="Q26" s="204"/>
      <c r="R26" s="112"/>
      <c r="S26" s="204"/>
      <c r="T26" s="204"/>
      <c r="U26" s="204"/>
      <c r="V26" s="112"/>
      <c r="W26" s="203"/>
      <c r="X26" s="203"/>
      <c r="Y26" s="203"/>
      <c r="Z26" s="112"/>
      <c r="AA26" s="204"/>
      <c r="AB26" s="204"/>
      <c r="AC26" s="204"/>
      <c r="AD26" s="112"/>
      <c r="AF26" s="203"/>
      <c r="AG26" s="203"/>
      <c r="AH26" s="112"/>
      <c r="AK26" s="25"/>
      <c r="AL26" s="404"/>
    </row>
    <row r="27" spans="1:38" x14ac:dyDescent="0.25">
      <c r="A27" s="194">
        <v>22</v>
      </c>
      <c r="B27" s="12" t="s">
        <v>121</v>
      </c>
      <c r="E27" s="204">
        <f>'1501 Summary'!AD20</f>
        <v>1289.7299999999998</v>
      </c>
      <c r="F27" s="112"/>
      <c r="G27" s="203"/>
      <c r="H27" s="203"/>
      <c r="I27" s="203"/>
      <c r="J27" s="112"/>
      <c r="K27" s="203"/>
      <c r="L27" s="266"/>
      <c r="M27" s="203"/>
      <c r="N27" s="112"/>
      <c r="O27" s="204"/>
      <c r="P27" s="204"/>
      <c r="Q27" s="204"/>
      <c r="R27" s="112"/>
      <c r="S27" s="204"/>
      <c r="T27" s="204"/>
      <c r="U27" s="204"/>
      <c r="V27" s="112"/>
      <c r="W27" s="203"/>
      <c r="X27" s="203"/>
      <c r="Y27" s="203"/>
      <c r="Z27" s="112"/>
      <c r="AA27" s="204"/>
      <c r="AB27" s="204"/>
      <c r="AC27" s="204"/>
      <c r="AD27" s="112"/>
      <c r="AF27" s="203"/>
      <c r="AG27" s="203"/>
      <c r="AH27" s="112"/>
      <c r="AK27" s="25"/>
      <c r="AL27" s="404"/>
    </row>
    <row r="28" spans="1:38" x14ac:dyDescent="0.25">
      <c r="A28" s="194">
        <v>23</v>
      </c>
      <c r="B28" s="12" t="s">
        <v>123</v>
      </c>
      <c r="E28" s="204">
        <f>'1501 Summary'!AD21</f>
        <v>-709.94</v>
      </c>
      <c r="F28" s="112"/>
      <c r="G28" s="203"/>
      <c r="H28" s="203"/>
      <c r="I28" s="203"/>
      <c r="J28" s="112"/>
      <c r="K28" s="203"/>
      <c r="L28" s="266"/>
      <c r="M28" s="203"/>
      <c r="N28" s="112"/>
      <c r="O28" s="204"/>
      <c r="P28" s="204"/>
      <c r="Q28" s="204"/>
      <c r="R28" s="112"/>
      <c r="S28" s="204"/>
      <c r="T28" s="204"/>
      <c r="U28" s="204"/>
      <c r="V28" s="112"/>
      <c r="W28" s="203"/>
      <c r="X28" s="203"/>
      <c r="Y28" s="203"/>
      <c r="Z28" s="112"/>
      <c r="AA28" s="204"/>
      <c r="AB28" s="204"/>
      <c r="AC28" s="204"/>
      <c r="AD28" s="112"/>
      <c r="AF28" s="203"/>
      <c r="AG28" s="203"/>
      <c r="AH28" s="112"/>
      <c r="AK28" s="25"/>
      <c r="AL28" s="404"/>
    </row>
    <row r="29" spans="1:38" x14ac:dyDescent="0.25">
      <c r="A29" s="194">
        <v>24</v>
      </c>
      <c r="B29" s="12" t="s">
        <v>124</v>
      </c>
      <c r="E29" s="204">
        <f>'1501 Summary'!AD22</f>
        <v>20656.729999999996</v>
      </c>
      <c r="F29" s="112"/>
      <c r="G29" s="203"/>
      <c r="H29" s="203"/>
      <c r="I29" s="203"/>
      <c r="J29" s="112"/>
      <c r="K29" s="203"/>
      <c r="L29" s="266"/>
      <c r="M29" s="203"/>
      <c r="N29" s="112"/>
      <c r="O29" s="204"/>
      <c r="P29" s="204"/>
      <c r="Q29" s="204"/>
      <c r="R29" s="112"/>
      <c r="S29" s="204"/>
      <c r="T29" s="204"/>
      <c r="U29" s="204"/>
      <c r="V29" s="112"/>
      <c r="W29" s="203"/>
      <c r="X29" s="203"/>
      <c r="Y29" s="203"/>
      <c r="Z29" s="112"/>
      <c r="AA29" s="204"/>
      <c r="AB29" s="204"/>
      <c r="AC29" s="204"/>
      <c r="AD29" s="112"/>
      <c r="AF29" s="203"/>
      <c r="AG29" s="203"/>
      <c r="AH29" s="112"/>
      <c r="AK29" s="25"/>
      <c r="AL29" s="404"/>
    </row>
    <row r="30" spans="1:38" x14ac:dyDescent="0.25">
      <c r="A30" s="194">
        <v>25</v>
      </c>
      <c r="B30" s="11" t="s">
        <v>24</v>
      </c>
      <c r="E30" s="204">
        <f>'1501 Summary'!AD23</f>
        <v>-381.85</v>
      </c>
      <c r="F30" s="112"/>
      <c r="G30" s="203"/>
      <c r="H30" s="203"/>
      <c r="I30" s="203"/>
      <c r="J30" s="112"/>
      <c r="K30" s="203"/>
      <c r="L30" s="266"/>
      <c r="M30" s="203"/>
      <c r="N30" s="112"/>
      <c r="O30" s="204"/>
      <c r="P30" s="204"/>
      <c r="Q30" s="204"/>
      <c r="R30" s="112"/>
      <c r="S30" s="204"/>
      <c r="T30" s="204"/>
      <c r="U30" s="204"/>
      <c r="V30" s="112"/>
      <c r="W30" s="203"/>
      <c r="X30" s="203"/>
      <c r="Y30" s="203"/>
      <c r="Z30" s="112"/>
      <c r="AA30" s="204"/>
      <c r="AB30" s="204"/>
      <c r="AC30" s="204"/>
      <c r="AD30" s="112"/>
      <c r="AF30" s="203"/>
      <c r="AG30" s="203"/>
      <c r="AH30" s="112"/>
      <c r="AK30" s="25"/>
      <c r="AL30" s="404"/>
    </row>
    <row r="31" spans="1:38" x14ac:dyDescent="0.25">
      <c r="A31" s="194">
        <v>26</v>
      </c>
      <c r="B31" s="11" t="s">
        <v>14</v>
      </c>
      <c r="E31" s="204">
        <f>'Revenue Reconcilliation'!Q14</f>
        <v>73352000.449999988</v>
      </c>
      <c r="F31" s="112"/>
      <c r="G31" s="203"/>
      <c r="H31" s="203"/>
      <c r="I31" s="203"/>
      <c r="J31" s="112"/>
      <c r="K31" s="203"/>
      <c r="L31" s="266"/>
      <c r="M31" s="203"/>
      <c r="N31" s="112"/>
      <c r="O31" s="204"/>
      <c r="P31" s="204"/>
      <c r="Q31" s="204"/>
      <c r="R31" s="112"/>
      <c r="S31" s="204"/>
      <c r="T31" s="204"/>
      <c r="U31" s="204"/>
      <c r="V31" s="112"/>
      <c r="W31" s="203"/>
      <c r="X31" s="203"/>
      <c r="Y31" s="203"/>
      <c r="Z31" s="112"/>
      <c r="AA31" s="204"/>
      <c r="AB31" s="204"/>
      <c r="AC31" s="204"/>
      <c r="AD31" s="112"/>
      <c r="AF31" s="203"/>
      <c r="AG31" s="203"/>
      <c r="AH31" s="112"/>
      <c r="AK31" s="25"/>
      <c r="AL31" s="404"/>
    </row>
    <row r="32" spans="1:38" x14ac:dyDescent="0.25">
      <c r="A32" s="194">
        <v>27</v>
      </c>
      <c r="B32" s="11" t="s">
        <v>15</v>
      </c>
      <c r="E32" s="204">
        <f>'Revenue Reconcilliation'!Q15</f>
        <v>-71347018.019999996</v>
      </c>
      <c r="F32" s="112"/>
      <c r="G32" s="203"/>
      <c r="H32" s="203"/>
      <c r="I32" s="203"/>
      <c r="J32" s="112"/>
      <c r="K32" s="203"/>
      <c r="L32" s="266"/>
      <c r="M32" s="203"/>
      <c r="N32" s="112"/>
      <c r="O32" s="204"/>
      <c r="P32" s="204"/>
      <c r="Q32" s="204"/>
      <c r="R32" s="112"/>
      <c r="S32" s="204"/>
      <c r="T32" s="204"/>
      <c r="U32" s="204"/>
      <c r="V32" s="112"/>
      <c r="W32" s="203"/>
      <c r="X32" s="203"/>
      <c r="Y32" s="203"/>
      <c r="Z32" s="112"/>
      <c r="AA32" s="204"/>
      <c r="AB32" s="204"/>
      <c r="AC32" s="204"/>
      <c r="AD32" s="112"/>
      <c r="AF32" s="203"/>
      <c r="AG32" s="203"/>
      <c r="AH32" s="112"/>
      <c r="AK32" s="25"/>
      <c r="AL32" s="404"/>
    </row>
    <row r="33" spans="1:38" x14ac:dyDescent="0.25">
      <c r="A33" s="194">
        <v>28</v>
      </c>
      <c r="B33" s="11" t="s">
        <v>16</v>
      </c>
      <c r="E33" s="204">
        <f>'Revenue Reconcilliation'!Q16</f>
        <v>-1197917.9699999995</v>
      </c>
      <c r="F33" s="112"/>
      <c r="G33" s="203"/>
      <c r="H33" s="203"/>
      <c r="I33" s="203"/>
      <c r="J33" s="112"/>
      <c r="K33" s="203"/>
      <c r="L33" s="266"/>
      <c r="M33" s="203"/>
      <c r="N33" s="112"/>
      <c r="O33" s="204"/>
      <c r="P33" s="204"/>
      <c r="Q33" s="204"/>
      <c r="R33" s="112"/>
      <c r="S33" s="204"/>
      <c r="T33" s="204"/>
      <c r="U33" s="204"/>
      <c r="V33" s="112"/>
      <c r="W33" s="203"/>
      <c r="X33" s="203"/>
      <c r="Y33" s="203"/>
      <c r="Z33" s="112"/>
      <c r="AA33" s="204"/>
      <c r="AB33" s="204"/>
      <c r="AC33" s="204"/>
      <c r="AD33" s="112"/>
      <c r="AF33" s="203"/>
      <c r="AG33" s="203"/>
      <c r="AH33" s="112"/>
      <c r="AK33" s="25"/>
      <c r="AL33" s="404"/>
    </row>
    <row r="34" spans="1:38" x14ac:dyDescent="0.25">
      <c r="A34" s="194">
        <v>29</v>
      </c>
      <c r="B34" s="11" t="s">
        <v>17</v>
      </c>
      <c r="E34" s="204">
        <f>'Revenue Reconcilliation'!Q17</f>
        <v>2095723.1499999994</v>
      </c>
      <c r="F34" s="112"/>
      <c r="G34" s="203"/>
      <c r="H34" s="203"/>
      <c r="I34" s="203"/>
      <c r="J34" s="112"/>
      <c r="K34" s="203"/>
      <c r="L34" s="266"/>
      <c r="M34" s="203"/>
      <c r="N34" s="112"/>
      <c r="O34" s="204"/>
      <c r="P34" s="204"/>
      <c r="Q34" s="204"/>
      <c r="R34" s="112"/>
      <c r="S34" s="204"/>
      <c r="T34" s="204"/>
      <c r="U34" s="204"/>
      <c r="V34" s="112"/>
      <c r="W34" s="203"/>
      <c r="X34" s="203"/>
      <c r="Y34" s="203"/>
      <c r="Z34" s="112"/>
      <c r="AA34" s="204"/>
      <c r="AB34" s="204"/>
      <c r="AC34" s="204"/>
      <c r="AD34" s="112"/>
      <c r="AF34" s="203"/>
      <c r="AG34" s="203"/>
      <c r="AH34" s="112"/>
      <c r="AK34" s="25"/>
      <c r="AL34" s="404"/>
    </row>
    <row r="35" spans="1:38" x14ac:dyDescent="0.25">
      <c r="A35" s="194">
        <v>30</v>
      </c>
      <c r="B35" s="11" t="s">
        <v>18</v>
      </c>
      <c r="E35" s="186">
        <f>'Revenue Reconcilliation'!Q18</f>
        <v>0</v>
      </c>
      <c r="F35" s="112"/>
      <c r="G35" s="203"/>
      <c r="H35" s="203"/>
      <c r="I35" s="203"/>
      <c r="J35" s="112"/>
      <c r="K35" s="203"/>
      <c r="L35" s="266"/>
      <c r="M35" s="203"/>
      <c r="N35" s="112"/>
      <c r="O35" s="204"/>
      <c r="P35" s="204"/>
      <c r="Q35" s="204"/>
      <c r="R35" s="112"/>
      <c r="S35" s="204"/>
      <c r="T35" s="204"/>
      <c r="U35" s="204"/>
      <c r="V35" s="112"/>
      <c r="W35" s="203"/>
      <c r="X35" s="203"/>
      <c r="Y35" s="203"/>
      <c r="Z35" s="112"/>
      <c r="AA35" s="204"/>
      <c r="AB35" s="204"/>
      <c r="AC35" s="204"/>
      <c r="AD35" s="112"/>
      <c r="AF35" s="203"/>
      <c r="AG35" s="203"/>
      <c r="AH35" s="112"/>
      <c r="AK35" s="25"/>
      <c r="AL35" s="404"/>
    </row>
    <row r="36" spans="1:38" x14ac:dyDescent="0.25">
      <c r="A36" s="194">
        <v>31</v>
      </c>
      <c r="B36" s="11" t="s">
        <v>512</v>
      </c>
      <c r="E36" s="207">
        <f>'Revenue Reconcilliation'!Q19</f>
        <v>-14.36</v>
      </c>
      <c r="F36" s="112"/>
      <c r="G36" s="203"/>
      <c r="H36" s="203"/>
      <c r="I36" s="203"/>
      <c r="J36" s="112"/>
      <c r="K36" s="203"/>
      <c r="L36" s="266"/>
      <c r="M36" s="203"/>
      <c r="N36" s="112"/>
      <c r="O36" s="204"/>
      <c r="P36" s="204"/>
      <c r="Q36" s="204"/>
      <c r="R36" s="112"/>
      <c r="S36" s="204"/>
      <c r="T36" s="204"/>
      <c r="U36" s="204"/>
      <c r="V36" s="112"/>
      <c r="W36" s="203"/>
      <c r="X36" s="203"/>
      <c r="Y36" s="203"/>
      <c r="Z36" s="112"/>
      <c r="AA36" s="204"/>
      <c r="AB36" s="204"/>
      <c r="AC36" s="204"/>
      <c r="AD36" s="112"/>
      <c r="AF36" s="203"/>
      <c r="AG36" s="203"/>
      <c r="AH36" s="112"/>
      <c r="AK36" s="25"/>
      <c r="AL36" s="404"/>
    </row>
    <row r="37" spans="1:38" x14ac:dyDescent="0.25">
      <c r="A37" s="194">
        <v>32</v>
      </c>
      <c r="B37" s="12" t="s">
        <v>19</v>
      </c>
      <c r="E37" s="204">
        <f>SUM(E16:E36)</f>
        <v>16282671.729999997</v>
      </c>
      <c r="F37" s="112"/>
      <c r="G37" s="203"/>
      <c r="H37" s="203"/>
      <c r="I37" s="203"/>
      <c r="J37" s="112"/>
      <c r="K37" s="203"/>
      <c r="L37" s="266"/>
      <c r="M37" s="203"/>
      <c r="N37" s="112"/>
      <c r="O37" s="204"/>
      <c r="P37" s="204"/>
      <c r="Q37" s="204"/>
      <c r="R37" s="112"/>
      <c r="S37" s="204"/>
      <c r="T37" s="204"/>
      <c r="U37" s="204"/>
      <c r="V37" s="112"/>
      <c r="W37" s="203"/>
      <c r="X37" s="203"/>
      <c r="Y37" s="203"/>
      <c r="Z37" s="112"/>
      <c r="AA37" s="204"/>
      <c r="AB37" s="204"/>
      <c r="AC37" s="204"/>
      <c r="AD37" s="112"/>
      <c r="AF37" s="203"/>
      <c r="AG37" s="203"/>
      <c r="AH37" s="112"/>
      <c r="AK37" s="25"/>
      <c r="AL37" s="404"/>
    </row>
    <row r="38" spans="1:38" x14ac:dyDescent="0.25">
      <c r="A38" s="194">
        <v>33</v>
      </c>
      <c r="E38" s="204"/>
      <c r="L38" s="266"/>
      <c r="O38" s="204"/>
      <c r="P38" s="204"/>
      <c r="Q38" s="204"/>
      <c r="S38" s="204"/>
      <c r="T38" s="204"/>
      <c r="U38" s="204"/>
      <c r="AL38" s="404"/>
    </row>
    <row r="39" spans="1:38" x14ac:dyDescent="0.25">
      <c r="A39" s="194">
        <v>34</v>
      </c>
      <c r="B39" s="51" t="str">
        <f>"Total "&amp;LEFT(B6,17)&amp;" Revenue"</f>
        <v>Total Rate Schedule 503 Revenue</v>
      </c>
      <c r="C39" s="208">
        <f>E39-'Revenue Reconcilliation'!Q22</f>
        <v>0</v>
      </c>
      <c r="D39" s="209" t="s">
        <v>45</v>
      </c>
      <c r="E39" s="208">
        <f>SUM(E9,E13,E37)</f>
        <v>120476426.38000005</v>
      </c>
      <c r="F39" s="115"/>
      <c r="G39" s="208"/>
      <c r="H39" s="208"/>
      <c r="I39" s="208"/>
      <c r="J39" s="115"/>
      <c r="K39" s="208"/>
      <c r="L39" s="283"/>
      <c r="M39" s="208"/>
      <c r="N39" s="115"/>
      <c r="O39" s="207"/>
      <c r="P39" s="207"/>
      <c r="Q39" s="207"/>
      <c r="R39" s="115"/>
      <c r="S39" s="207"/>
      <c r="T39" s="207"/>
      <c r="U39" s="207"/>
      <c r="V39" s="115"/>
      <c r="W39" s="208"/>
      <c r="X39" s="208"/>
      <c r="Y39" s="208"/>
      <c r="Z39" s="115"/>
      <c r="AA39" s="207"/>
      <c r="AB39" s="207"/>
      <c r="AC39" s="207"/>
      <c r="AD39" s="115"/>
      <c r="AE39" s="239"/>
      <c r="AF39" s="208"/>
      <c r="AG39" s="208"/>
      <c r="AH39" s="115"/>
      <c r="AI39" s="23"/>
      <c r="AJ39" s="23"/>
      <c r="AK39" s="30"/>
      <c r="AL39" s="404"/>
    </row>
    <row r="40" spans="1:38" x14ac:dyDescent="0.25">
      <c r="A40" s="194">
        <v>35</v>
      </c>
      <c r="B40" s="19"/>
      <c r="C40" s="210"/>
      <c r="D40" s="211"/>
      <c r="E40" s="212"/>
      <c r="F40" s="116"/>
      <c r="G40" s="212"/>
      <c r="H40" s="212"/>
      <c r="I40" s="212"/>
      <c r="J40" s="116"/>
      <c r="K40" s="212"/>
      <c r="L40" s="266"/>
      <c r="M40" s="212"/>
      <c r="N40" s="116"/>
      <c r="O40" s="204"/>
      <c r="P40" s="204"/>
      <c r="Q40" s="204"/>
      <c r="R40" s="116"/>
      <c r="S40" s="204"/>
      <c r="T40" s="204"/>
      <c r="U40" s="204"/>
      <c r="V40" s="116"/>
      <c r="W40" s="212"/>
      <c r="X40" s="212"/>
      <c r="Y40" s="212"/>
      <c r="Z40" s="116"/>
      <c r="AD40" s="116"/>
      <c r="AF40" s="212"/>
      <c r="AG40" s="212"/>
      <c r="AH40" s="116"/>
      <c r="AL40" s="404"/>
    </row>
    <row r="41" spans="1:38" x14ac:dyDescent="0.25">
      <c r="A41" s="194">
        <v>36</v>
      </c>
      <c r="C41" s="210"/>
      <c r="L41" s="266"/>
      <c r="O41" s="204"/>
      <c r="P41" s="204"/>
      <c r="Q41" s="204"/>
      <c r="S41" s="204"/>
      <c r="T41" s="204"/>
      <c r="U41" s="204"/>
      <c r="AL41" s="404"/>
    </row>
    <row r="42" spans="1:38" ht="30" x14ac:dyDescent="0.25">
      <c r="A42" s="194">
        <v>37</v>
      </c>
      <c r="B42" s="18" t="s">
        <v>93</v>
      </c>
      <c r="G42" s="267" t="s">
        <v>518</v>
      </c>
      <c r="L42" s="266"/>
      <c r="M42" s="204"/>
      <c r="O42" s="204"/>
      <c r="P42" s="204"/>
      <c r="Q42" s="204"/>
      <c r="S42" s="204"/>
      <c r="T42" s="204"/>
      <c r="U42" s="204"/>
      <c r="AL42" s="404"/>
    </row>
    <row r="43" spans="1:38" x14ac:dyDescent="0.25">
      <c r="A43" s="194">
        <v>38</v>
      </c>
      <c r="B43" s="12" t="s">
        <v>9</v>
      </c>
      <c r="C43" s="202">
        <f>E43/D43</f>
        <v>319323.51538461534</v>
      </c>
      <c r="D43" s="203">
        <v>13</v>
      </c>
      <c r="E43" s="204">
        <f>'1501 Summary'!AD49</f>
        <v>4151205.6999999997</v>
      </c>
      <c r="F43" s="117"/>
      <c r="G43" s="265">
        <f>-G185</f>
        <v>12</v>
      </c>
      <c r="H43" s="204">
        <f>D43</f>
        <v>13</v>
      </c>
      <c r="I43" s="204">
        <f>G43*H43</f>
        <v>156</v>
      </c>
      <c r="J43" s="117"/>
      <c r="K43" s="202">
        <f>C43+G43</f>
        <v>319335.51538461534</v>
      </c>
      <c r="L43" s="203">
        <f t="shared" ref="L43" si="3">D43</f>
        <v>13</v>
      </c>
      <c r="M43" s="204">
        <f>L43*K43</f>
        <v>4151361.6999999993</v>
      </c>
      <c r="N43" s="117"/>
      <c r="O43" s="202"/>
      <c r="P43" s="204"/>
      <c r="Q43" s="204"/>
      <c r="R43" s="117"/>
      <c r="S43" s="202">
        <f>'End of Period Calculations'!AB100</f>
        <v>322116</v>
      </c>
      <c r="T43" s="204">
        <f>S43*L43</f>
        <v>4187508</v>
      </c>
      <c r="U43" s="204">
        <f>T43-M43</f>
        <v>36146.300000000745</v>
      </c>
      <c r="V43" s="117"/>
      <c r="W43" s="204"/>
      <c r="X43" s="204"/>
      <c r="Y43" s="204"/>
      <c r="Z43" s="117"/>
      <c r="AA43" s="216"/>
      <c r="AB43" s="216"/>
      <c r="AC43" s="216"/>
      <c r="AD43" s="117"/>
      <c r="AE43" s="202">
        <f>'End of Period Calculations'!AD100</f>
        <v>325585.60335617326</v>
      </c>
      <c r="AF43" s="204">
        <f>AE43*L43</f>
        <v>4232612.8436302524</v>
      </c>
      <c r="AG43" s="203">
        <f>AF43-T43</f>
        <v>45104.843630252406</v>
      </c>
      <c r="AH43" s="117"/>
      <c r="AI43" s="702">
        <f>L43</f>
        <v>13</v>
      </c>
      <c r="AJ43" s="703">
        <f>AI43*AE43</f>
        <v>4232612.8436302524</v>
      </c>
      <c r="AK43" s="689">
        <f>AJ43-AF43</f>
        <v>0</v>
      </c>
      <c r="AL43" s="404"/>
    </row>
    <row r="44" spans="1:38" x14ac:dyDescent="0.25">
      <c r="A44" s="194">
        <v>39</v>
      </c>
      <c r="B44" s="54" t="s">
        <v>505</v>
      </c>
      <c r="C44" s="202">
        <f>E44/D44</f>
        <v>94501074.928701058</v>
      </c>
      <c r="D44" s="205">
        <v>0.23141999999999999</v>
      </c>
      <c r="E44" s="204">
        <f>'1501 Summary'!AD50</f>
        <v>21869438.759999998</v>
      </c>
      <c r="F44" s="117"/>
      <c r="G44" s="265">
        <f>-G186</f>
        <v>29649.079595540581</v>
      </c>
      <c r="H44" s="266">
        <f>D44</f>
        <v>0.23141999999999999</v>
      </c>
      <c r="I44" s="207">
        <f t="shared" ref="I44" si="4">G44*H44</f>
        <v>6861.3900000000012</v>
      </c>
      <c r="J44" s="117"/>
      <c r="K44" s="202">
        <f t="shared" ref="K44:K83" si="5">C44+G44</f>
        <v>94530724.008296594</v>
      </c>
      <c r="L44" s="266">
        <v>0.26179999999999998</v>
      </c>
      <c r="M44" s="204">
        <f>L44*K44</f>
        <v>24748143.545372047</v>
      </c>
      <c r="N44" s="117"/>
      <c r="Q44" s="204"/>
      <c r="R44" s="117"/>
      <c r="U44" s="204"/>
      <c r="V44" s="117"/>
      <c r="W44" s="204"/>
      <c r="X44" s="204"/>
      <c r="Y44" s="204"/>
      <c r="Z44" s="117"/>
      <c r="AA44" s="202">
        <f>AE49</f>
        <v>94300921.185979769</v>
      </c>
      <c r="AB44" s="413">
        <v>2.2599999999999999E-3</v>
      </c>
      <c r="AC44" s="216">
        <f>AB44*AA44</f>
        <v>213120.08188031428</v>
      </c>
      <c r="AD44" s="117"/>
      <c r="AF44" s="204"/>
      <c r="AG44" s="204"/>
      <c r="AH44" s="117"/>
      <c r="AJ44" s="39"/>
      <c r="AK44" s="39"/>
      <c r="AL44" s="404"/>
    </row>
    <row r="45" spans="1:38" x14ac:dyDescent="0.25">
      <c r="A45" s="194">
        <v>40</v>
      </c>
      <c r="B45" s="12" t="s">
        <v>10</v>
      </c>
      <c r="E45" s="206">
        <f>SUM(E43:E44)</f>
        <v>26020644.459999997</v>
      </c>
      <c r="F45" s="117"/>
      <c r="G45" s="204"/>
      <c r="H45" s="204"/>
      <c r="I45" s="204">
        <f>SUM(I43:I44)</f>
        <v>7017.3900000000012</v>
      </c>
      <c r="J45" s="117"/>
      <c r="K45" s="202"/>
      <c r="L45" s="266"/>
      <c r="M45" s="204"/>
      <c r="N45" s="117"/>
      <c r="Q45" s="204"/>
      <c r="R45" s="117"/>
      <c r="U45" s="204"/>
      <c r="V45" s="117"/>
      <c r="W45" s="204"/>
      <c r="X45" s="204"/>
      <c r="Y45" s="204"/>
      <c r="Z45" s="117"/>
      <c r="AA45" s="216"/>
      <c r="AB45" s="216"/>
      <c r="AC45" s="216"/>
      <c r="AD45" s="117"/>
      <c r="AF45" s="204"/>
      <c r="AG45" s="204"/>
      <c r="AH45" s="117"/>
      <c r="AJ45" s="39"/>
      <c r="AK45" s="39"/>
      <c r="AL45" s="404"/>
    </row>
    <row r="46" spans="1:38" ht="15.75" x14ac:dyDescent="0.25">
      <c r="A46" s="194">
        <v>41</v>
      </c>
      <c r="K46" s="202"/>
      <c r="L46" s="266"/>
      <c r="M46" s="204"/>
      <c r="O46" s="204"/>
      <c r="P46" s="204"/>
      <c r="Q46" s="204"/>
      <c r="S46" s="204"/>
      <c r="T46" s="204"/>
      <c r="U46" s="204"/>
      <c r="AA46" s="216"/>
      <c r="AB46" s="216"/>
      <c r="AC46" s="216"/>
      <c r="AI46" s="406"/>
      <c r="AJ46" s="39"/>
      <c r="AK46" s="39"/>
      <c r="AL46" s="404"/>
    </row>
    <row r="47" spans="1:38" ht="15.75" x14ac:dyDescent="0.25">
      <c r="A47" s="194">
        <v>42</v>
      </c>
      <c r="B47" s="12" t="s">
        <v>278</v>
      </c>
      <c r="K47" s="202">
        <f>'Weather Normalization'!J16-SUM(K44:K44)</f>
        <v>-1851008.9542511702</v>
      </c>
      <c r="L47" s="266">
        <f>L44</f>
        <v>0.26179999999999998</v>
      </c>
      <c r="M47" s="204">
        <f>K47*L47</f>
        <v>-484594.14422295633</v>
      </c>
      <c r="O47" s="204"/>
      <c r="P47" s="204"/>
      <c r="Q47" s="204"/>
      <c r="S47" s="204"/>
      <c r="T47" s="204"/>
      <c r="U47" s="204"/>
      <c r="AA47" s="216"/>
      <c r="AB47" s="216"/>
      <c r="AC47" s="216"/>
      <c r="AI47" s="406"/>
      <c r="AJ47" s="39"/>
      <c r="AK47" s="39"/>
      <c r="AL47" s="404"/>
    </row>
    <row r="48" spans="1:38" ht="15.75" x14ac:dyDescent="0.25">
      <c r="A48" s="194">
        <v>43</v>
      </c>
      <c r="K48" s="202"/>
      <c r="L48" s="266"/>
      <c r="M48" s="204"/>
      <c r="O48" s="204"/>
      <c r="P48" s="204"/>
      <c r="Q48" s="204"/>
      <c r="S48" s="204"/>
      <c r="T48" s="204"/>
      <c r="U48" s="204"/>
      <c r="AA48" s="216"/>
      <c r="AB48" s="216"/>
      <c r="AC48" s="216"/>
      <c r="AI48" s="406"/>
      <c r="AJ48" s="39"/>
      <c r="AK48" s="39"/>
      <c r="AL48" s="404"/>
    </row>
    <row r="49" spans="1:38" x14ac:dyDescent="0.25">
      <c r="A49" s="194">
        <v>44</v>
      </c>
      <c r="B49" s="12" t="s">
        <v>11</v>
      </c>
      <c r="E49" s="204">
        <f>'1501 Summary'!AD51</f>
        <v>40967038.829999998</v>
      </c>
      <c r="F49" s="117"/>
      <c r="G49" s="204"/>
      <c r="H49" s="204"/>
      <c r="I49" s="204"/>
      <c r="J49" s="117"/>
      <c r="K49" s="202">
        <f>SUM(K44:K48)</f>
        <v>92679715.054045424</v>
      </c>
      <c r="L49" s="266">
        <f>L44</f>
        <v>0.26179999999999998</v>
      </c>
      <c r="M49" s="207">
        <f t="shared" ref="M49" si="6">K49*L49</f>
        <v>24263549.40114909</v>
      </c>
      <c r="N49" s="117"/>
      <c r="O49" s="202"/>
      <c r="P49" s="207"/>
      <c r="Q49" s="207"/>
      <c r="R49" s="117"/>
      <c r="S49" s="202">
        <f>'End of Period Calculations'!AA100</f>
        <v>93296003.311035588</v>
      </c>
      <c r="T49" s="207">
        <f>S49*L49</f>
        <v>24424893.666829117</v>
      </c>
      <c r="U49" s="207">
        <f>T49-M49</f>
        <v>161344.26568002626</v>
      </c>
      <c r="V49" s="117"/>
      <c r="W49" s="204"/>
      <c r="X49" s="204"/>
      <c r="Y49" s="204"/>
      <c r="Z49" s="117"/>
      <c r="AA49" s="216"/>
      <c r="AB49" s="216"/>
      <c r="AC49" s="216"/>
      <c r="AD49" s="117"/>
      <c r="AE49" s="202">
        <f>'End of Period Calculations'!AA127</f>
        <v>94300921.185979769</v>
      </c>
      <c r="AF49" s="207">
        <f>AE49*L49</f>
        <v>24687981.166489501</v>
      </c>
      <c r="AG49" s="207">
        <f>AF49-T49</f>
        <v>263087.49966038391</v>
      </c>
      <c r="AH49" s="117"/>
      <c r="AI49" s="691">
        <f>'Exh IDM-9 -Revenue Distribution'!F11</f>
        <v>0.30621231315442304</v>
      </c>
      <c r="AJ49" s="690">
        <f>AI49*AE49</f>
        <v>28876103.208951805</v>
      </c>
      <c r="AK49" s="689">
        <f>AJ49-AF49</f>
        <v>4188122.0424623042</v>
      </c>
      <c r="AL49" s="404"/>
    </row>
    <row r="50" spans="1:38" x14ac:dyDescent="0.25">
      <c r="A50" s="194">
        <v>45</v>
      </c>
      <c r="K50" s="202"/>
      <c r="L50" s="266"/>
      <c r="M50" s="204">
        <f>SUM(M49,M43)</f>
        <v>28414911.10114909</v>
      </c>
      <c r="O50" s="204"/>
      <c r="P50" s="204"/>
      <c r="Q50" s="204"/>
      <c r="S50" s="204"/>
      <c r="T50" s="204">
        <f>SUM(T43:T49)</f>
        <v>28612401.666829117</v>
      </c>
      <c r="U50" s="204">
        <f>T50-M50</f>
        <v>197490.56568002701</v>
      </c>
      <c r="AA50" s="216"/>
      <c r="AB50" s="216"/>
      <c r="AC50" s="216"/>
      <c r="AF50" s="204">
        <f>SUM(AF43:AF49)</f>
        <v>28920594.010119751</v>
      </c>
      <c r="AG50" s="204">
        <f>SUM(AG43:AG49)</f>
        <v>308192.34329063632</v>
      </c>
      <c r="AI50" s="764"/>
      <c r="AJ50" s="761">
        <f>SUM(AJ43:AJ49)</f>
        <v>33108716.052582055</v>
      </c>
      <c r="AK50" s="761">
        <f>SUM(AK43:AK49)</f>
        <v>4188122.0424623042</v>
      </c>
      <c r="AL50" s="404"/>
    </row>
    <row r="51" spans="1:38" x14ac:dyDescent="0.25">
      <c r="A51" s="194">
        <v>46</v>
      </c>
      <c r="B51" s="12" t="s">
        <v>12</v>
      </c>
      <c r="K51" s="202"/>
      <c r="L51" s="266"/>
      <c r="M51" s="204"/>
      <c r="O51" s="204"/>
      <c r="P51" s="204"/>
      <c r="Q51" s="204"/>
      <c r="S51" s="204"/>
      <c r="T51" s="204"/>
      <c r="U51" s="204"/>
      <c r="AA51" s="216"/>
      <c r="AB51" s="216"/>
      <c r="AC51" s="216"/>
      <c r="AK51" s="39"/>
      <c r="AL51" s="404"/>
    </row>
    <row r="52" spans="1:38" x14ac:dyDescent="0.25">
      <c r="A52" s="194">
        <v>47</v>
      </c>
      <c r="B52" s="12" t="s">
        <v>484</v>
      </c>
      <c r="E52" s="213">
        <f>'1501 Summary'!AD52</f>
        <v>4218400.13</v>
      </c>
      <c r="K52" s="202"/>
      <c r="L52" s="266"/>
      <c r="M52" s="204"/>
      <c r="O52" s="204"/>
      <c r="P52" s="204"/>
      <c r="Q52" s="204"/>
      <c r="S52" s="204"/>
      <c r="T52" s="204"/>
      <c r="U52" s="204"/>
      <c r="AA52" s="216"/>
      <c r="AB52" s="216"/>
      <c r="AC52" s="216"/>
      <c r="AK52" s="39"/>
      <c r="AL52" s="404"/>
    </row>
    <row r="53" spans="1:38" x14ac:dyDescent="0.25">
      <c r="A53" s="194">
        <v>48</v>
      </c>
      <c r="B53" s="12" t="s">
        <v>115</v>
      </c>
      <c r="E53" s="204">
        <f>'1501 Summary'!AD53</f>
        <v>258124.72999999995</v>
      </c>
      <c r="F53" s="117"/>
      <c r="G53" s="204"/>
      <c r="H53" s="204"/>
      <c r="I53" s="204"/>
      <c r="J53" s="117"/>
      <c r="K53" s="202"/>
      <c r="L53" s="266"/>
      <c r="M53" s="204"/>
      <c r="N53" s="117"/>
      <c r="O53" s="204"/>
      <c r="P53" s="204"/>
      <c r="Q53" s="204"/>
      <c r="R53" s="117"/>
      <c r="S53" s="204"/>
      <c r="T53" s="204"/>
      <c r="U53" s="204"/>
      <c r="V53" s="117"/>
      <c r="W53" s="204"/>
      <c r="X53" s="204"/>
      <c r="Y53" s="204"/>
      <c r="Z53" s="117"/>
      <c r="AD53" s="117"/>
      <c r="AF53" s="204"/>
      <c r="AG53" s="204"/>
      <c r="AH53" s="117"/>
      <c r="AI53" s="1"/>
      <c r="AJ53" s="1"/>
      <c r="AL53" s="404"/>
    </row>
    <row r="54" spans="1:38" x14ac:dyDescent="0.25">
      <c r="A54" s="194">
        <v>49</v>
      </c>
      <c r="B54" s="12" t="s">
        <v>116</v>
      </c>
      <c r="E54" s="204">
        <f>'1501 Summary'!AD54</f>
        <v>874516.67999999993</v>
      </c>
      <c r="F54" s="117"/>
      <c r="G54" s="204"/>
      <c r="H54" s="204"/>
      <c r="I54" s="204"/>
      <c r="J54" s="117"/>
      <c r="K54" s="202"/>
      <c r="L54" s="266"/>
      <c r="M54" s="204"/>
      <c r="N54" s="117"/>
      <c r="O54" s="204"/>
      <c r="P54" s="204"/>
      <c r="Q54" s="204"/>
      <c r="R54" s="117"/>
      <c r="S54" s="204"/>
      <c r="T54" s="204"/>
      <c r="U54" s="204"/>
      <c r="V54" s="117"/>
      <c r="W54" s="204"/>
      <c r="X54" s="204"/>
      <c r="Y54" s="204"/>
      <c r="Z54" s="117"/>
      <c r="AD54" s="117"/>
      <c r="AF54" s="204"/>
      <c r="AG54" s="204"/>
      <c r="AH54" s="117"/>
      <c r="AI54" s="1"/>
      <c r="AJ54" s="1"/>
      <c r="AL54" s="404"/>
    </row>
    <row r="55" spans="1:38" x14ac:dyDescent="0.25">
      <c r="A55" s="194">
        <v>50</v>
      </c>
      <c r="B55" s="12" t="s">
        <v>117</v>
      </c>
      <c r="E55" s="204">
        <f>'1501 Summary'!AD55</f>
        <v>-2430207.4699999997</v>
      </c>
      <c r="F55" s="117"/>
      <c r="G55" s="204"/>
      <c r="H55" s="204"/>
      <c r="I55" s="204"/>
      <c r="J55" s="117"/>
      <c r="K55" s="202"/>
      <c r="L55" s="266"/>
      <c r="M55" s="204"/>
      <c r="N55" s="117"/>
      <c r="O55" s="204"/>
      <c r="P55" s="204"/>
      <c r="Q55" s="204"/>
      <c r="R55" s="117"/>
      <c r="S55" s="204"/>
      <c r="T55" s="204"/>
      <c r="U55" s="204"/>
      <c r="V55" s="117"/>
      <c r="W55" s="204"/>
      <c r="X55" s="204"/>
      <c r="Y55" s="204"/>
      <c r="Z55" s="117"/>
      <c r="AD55" s="117"/>
      <c r="AF55" s="204"/>
      <c r="AG55" s="204"/>
      <c r="AH55" s="117"/>
      <c r="AI55" s="1"/>
      <c r="AJ55" s="1"/>
      <c r="AL55" s="404"/>
    </row>
    <row r="56" spans="1:38" x14ac:dyDescent="0.25">
      <c r="A56" s="194">
        <v>51</v>
      </c>
      <c r="B56" s="12" t="s">
        <v>118</v>
      </c>
      <c r="E56" s="204">
        <f>'1501 Summary'!AD56</f>
        <v>620575.6</v>
      </c>
      <c r="F56" s="117"/>
      <c r="G56" s="204"/>
      <c r="H56" s="204"/>
      <c r="I56" s="204"/>
      <c r="J56" s="117"/>
      <c r="K56" s="202"/>
      <c r="L56" s="266"/>
      <c r="M56" s="204"/>
      <c r="N56" s="117"/>
      <c r="O56" s="204"/>
      <c r="P56" s="204"/>
      <c r="Q56" s="204"/>
      <c r="R56" s="117"/>
      <c r="S56" s="204"/>
      <c r="T56" s="204"/>
      <c r="U56" s="204"/>
      <c r="V56" s="117"/>
      <c r="W56" s="204"/>
      <c r="X56" s="204"/>
      <c r="Y56" s="204"/>
      <c r="Z56" s="117"/>
      <c r="AD56" s="117"/>
      <c r="AF56" s="204"/>
      <c r="AG56" s="204"/>
      <c r="AH56" s="117"/>
      <c r="AI56" s="1"/>
      <c r="AJ56" s="1"/>
      <c r="AL56" s="404"/>
    </row>
    <row r="57" spans="1:38" x14ac:dyDescent="0.25">
      <c r="A57" s="194">
        <v>52</v>
      </c>
      <c r="B57" s="12" t="s">
        <v>119</v>
      </c>
      <c r="E57" s="204">
        <f>'1501 Summary'!AD57</f>
        <v>2584956.7399999998</v>
      </c>
      <c r="F57" s="117"/>
      <c r="G57" s="204"/>
      <c r="H57" s="204"/>
      <c r="I57" s="204"/>
      <c r="J57" s="117"/>
      <c r="K57" s="202"/>
      <c r="L57" s="266"/>
      <c r="M57" s="204"/>
      <c r="N57" s="117"/>
      <c r="O57" s="204"/>
      <c r="P57" s="204"/>
      <c r="Q57" s="204"/>
      <c r="R57" s="117"/>
      <c r="S57" s="204"/>
      <c r="T57" s="204"/>
      <c r="U57" s="204"/>
      <c r="V57" s="117"/>
      <c r="W57" s="204"/>
      <c r="X57" s="204"/>
      <c r="Y57" s="204"/>
      <c r="Z57" s="117"/>
      <c r="AD57" s="117"/>
      <c r="AF57" s="204"/>
      <c r="AG57" s="204"/>
      <c r="AH57" s="117"/>
      <c r="AI57" s="1"/>
      <c r="AJ57" s="1"/>
      <c r="AL57" s="404"/>
    </row>
    <row r="58" spans="1:38" x14ac:dyDescent="0.25">
      <c r="A58" s="194">
        <v>53</v>
      </c>
      <c r="B58" s="20" t="s">
        <v>181</v>
      </c>
      <c r="E58" s="204">
        <f>'1501 Summary'!AD58</f>
        <v>-530494.32000000007</v>
      </c>
      <c r="F58" s="117"/>
      <c r="G58" s="204"/>
      <c r="H58" s="204"/>
      <c r="I58" s="204"/>
      <c r="J58" s="117"/>
      <c r="K58" s="202"/>
      <c r="L58" s="266"/>
      <c r="M58" s="204"/>
      <c r="N58" s="117"/>
      <c r="O58" s="204"/>
      <c r="P58" s="204"/>
      <c r="Q58" s="204"/>
      <c r="R58" s="117"/>
      <c r="S58" s="204"/>
      <c r="T58" s="204"/>
      <c r="U58" s="204"/>
      <c r="V58" s="117"/>
      <c r="W58" s="204"/>
      <c r="X58" s="204"/>
      <c r="Y58" s="204"/>
      <c r="Z58" s="117"/>
      <c r="AD58" s="117"/>
      <c r="AF58" s="204"/>
      <c r="AG58" s="204"/>
      <c r="AH58" s="117"/>
      <c r="AI58" s="407"/>
      <c r="AJ58" s="407"/>
      <c r="AL58" s="404"/>
    </row>
    <row r="59" spans="1:38" x14ac:dyDescent="0.25">
      <c r="A59" s="194">
        <v>54</v>
      </c>
      <c r="B59" s="20" t="s">
        <v>182</v>
      </c>
      <c r="E59" s="204">
        <f>'1501 Summary'!AD59</f>
        <v>-238281.65999999997</v>
      </c>
      <c r="F59" s="117"/>
      <c r="G59" s="204"/>
      <c r="H59" s="204"/>
      <c r="I59" s="204"/>
      <c r="J59" s="117"/>
      <c r="K59" s="202"/>
      <c r="L59" s="266"/>
      <c r="M59" s="204"/>
      <c r="N59" s="117"/>
      <c r="O59" s="204"/>
      <c r="P59" s="204"/>
      <c r="Q59" s="204"/>
      <c r="R59" s="117"/>
      <c r="S59" s="204"/>
      <c r="T59" s="204"/>
      <c r="U59" s="204"/>
      <c r="V59" s="117"/>
      <c r="W59" s="204"/>
      <c r="X59" s="204"/>
      <c r="Y59" s="204"/>
      <c r="Z59" s="117"/>
      <c r="AD59" s="117"/>
      <c r="AF59" s="204"/>
      <c r="AG59" s="204"/>
      <c r="AH59" s="117"/>
      <c r="AI59" s="407"/>
      <c r="AJ59" s="407"/>
      <c r="AL59" s="404"/>
    </row>
    <row r="60" spans="1:38" x14ac:dyDescent="0.25">
      <c r="A60" s="194">
        <v>55</v>
      </c>
      <c r="B60" s="20" t="s">
        <v>183</v>
      </c>
      <c r="E60" s="204">
        <f>'1501 Summary'!AD60</f>
        <v>-376044.91</v>
      </c>
      <c r="F60" s="117"/>
      <c r="G60" s="204"/>
      <c r="H60" s="204"/>
      <c r="I60" s="204"/>
      <c r="J60" s="117"/>
      <c r="K60" s="202"/>
      <c r="L60" s="266"/>
      <c r="M60" s="204"/>
      <c r="N60" s="117"/>
      <c r="O60" s="204"/>
      <c r="P60" s="204"/>
      <c r="Q60" s="204"/>
      <c r="R60" s="117"/>
      <c r="S60" s="204"/>
      <c r="T60" s="204"/>
      <c r="U60" s="204"/>
      <c r="V60" s="117"/>
      <c r="W60" s="204"/>
      <c r="X60" s="204"/>
      <c r="Y60" s="204"/>
      <c r="Z60" s="117"/>
      <c r="AD60" s="117"/>
      <c r="AF60" s="204"/>
      <c r="AG60" s="204"/>
      <c r="AH60" s="117"/>
      <c r="AI60" s="407"/>
      <c r="AJ60" s="407"/>
      <c r="AL60" s="404"/>
    </row>
    <row r="61" spans="1:38" x14ac:dyDescent="0.25">
      <c r="A61" s="194">
        <v>56</v>
      </c>
      <c r="B61" s="12" t="s">
        <v>120</v>
      </c>
      <c r="E61" s="204">
        <f>'1501 Summary'!AD61</f>
        <v>4016748.2</v>
      </c>
      <c r="F61" s="117"/>
      <c r="G61" s="204"/>
      <c r="H61" s="204"/>
      <c r="I61" s="204"/>
      <c r="J61" s="117"/>
      <c r="K61" s="202"/>
      <c r="L61" s="266"/>
      <c r="M61" s="204"/>
      <c r="N61" s="117"/>
      <c r="O61" s="204"/>
      <c r="P61" s="204"/>
      <c r="Q61" s="204"/>
      <c r="R61" s="117"/>
      <c r="S61" s="204"/>
      <c r="T61" s="204"/>
      <c r="U61" s="204"/>
      <c r="V61" s="117"/>
      <c r="W61" s="204"/>
      <c r="X61" s="204"/>
      <c r="Y61" s="204"/>
      <c r="Z61" s="117"/>
      <c r="AA61" s="204"/>
      <c r="AB61" s="204"/>
      <c r="AC61" s="204"/>
      <c r="AD61" s="117"/>
      <c r="AF61" s="204"/>
      <c r="AG61" s="204"/>
      <c r="AH61" s="117"/>
      <c r="AI61" s="1"/>
      <c r="AJ61" s="1"/>
      <c r="AK61" s="25"/>
      <c r="AL61" s="404"/>
    </row>
    <row r="62" spans="1:38" x14ac:dyDescent="0.25">
      <c r="A62" s="194">
        <v>57</v>
      </c>
      <c r="B62" s="12" t="s">
        <v>125</v>
      </c>
      <c r="E62" s="204">
        <f>'1501 Summary'!AD62</f>
        <v>2523.23</v>
      </c>
      <c r="F62" s="117"/>
      <c r="G62" s="204"/>
      <c r="H62" s="204"/>
      <c r="I62" s="204"/>
      <c r="J62" s="117"/>
      <c r="K62" s="202"/>
      <c r="L62" s="266"/>
      <c r="M62" s="204"/>
      <c r="N62" s="117"/>
      <c r="O62" s="204"/>
      <c r="P62" s="204"/>
      <c r="Q62" s="204"/>
      <c r="R62" s="117"/>
      <c r="S62" s="204"/>
      <c r="T62" s="204"/>
      <c r="U62" s="204"/>
      <c r="V62" s="117"/>
      <c r="W62" s="204"/>
      <c r="X62" s="204"/>
      <c r="Y62" s="204"/>
      <c r="Z62" s="117"/>
      <c r="AA62" s="204"/>
      <c r="AB62" s="204"/>
      <c r="AC62" s="204"/>
      <c r="AD62" s="117"/>
      <c r="AF62" s="204"/>
      <c r="AG62" s="204"/>
      <c r="AH62" s="117"/>
      <c r="AI62" s="1"/>
      <c r="AJ62" s="1"/>
      <c r="AK62" s="25"/>
      <c r="AL62" s="404"/>
    </row>
    <row r="63" spans="1:38" x14ac:dyDescent="0.25">
      <c r="A63" s="194">
        <v>58</v>
      </c>
      <c r="B63" s="12" t="s">
        <v>122</v>
      </c>
      <c r="E63" s="204">
        <f>'1501 Summary'!AD63</f>
        <v>54976.049999999996</v>
      </c>
      <c r="F63" s="117"/>
      <c r="G63" s="204"/>
      <c r="H63" s="204"/>
      <c r="I63" s="204"/>
      <c r="J63" s="117"/>
      <c r="K63" s="202"/>
      <c r="L63" s="266"/>
      <c r="M63" s="204"/>
      <c r="N63" s="117"/>
      <c r="O63" s="204"/>
      <c r="P63" s="204"/>
      <c r="Q63" s="204"/>
      <c r="R63" s="117"/>
      <c r="S63" s="204"/>
      <c r="T63" s="204"/>
      <c r="U63" s="204"/>
      <c r="V63" s="117"/>
      <c r="W63" s="204"/>
      <c r="X63" s="204"/>
      <c r="Y63" s="204"/>
      <c r="Z63" s="117"/>
      <c r="AA63" s="204"/>
      <c r="AB63" s="204"/>
      <c r="AC63" s="204"/>
      <c r="AD63" s="117"/>
      <c r="AF63" s="204"/>
      <c r="AG63" s="204"/>
      <c r="AH63" s="117"/>
      <c r="AI63" s="1"/>
      <c r="AJ63" s="1"/>
      <c r="AK63" s="25"/>
      <c r="AL63" s="404"/>
    </row>
    <row r="64" spans="1:38" x14ac:dyDescent="0.25">
      <c r="A64" s="194">
        <v>59</v>
      </c>
      <c r="B64" s="12" t="s">
        <v>121</v>
      </c>
      <c r="E64" s="204">
        <f>'1501 Summary'!AD64</f>
        <v>618.15000000000009</v>
      </c>
      <c r="F64" s="117"/>
      <c r="G64" s="204"/>
      <c r="H64" s="204"/>
      <c r="I64" s="204"/>
      <c r="J64" s="117"/>
      <c r="K64" s="202"/>
      <c r="L64" s="266"/>
      <c r="M64" s="204"/>
      <c r="N64" s="117"/>
      <c r="O64" s="204"/>
      <c r="P64" s="204"/>
      <c r="Q64" s="204"/>
      <c r="R64" s="117"/>
      <c r="S64" s="204"/>
      <c r="T64" s="204"/>
      <c r="U64" s="204"/>
      <c r="V64" s="117"/>
      <c r="W64" s="204"/>
      <c r="X64" s="204"/>
      <c r="Y64" s="204"/>
      <c r="Z64" s="117"/>
      <c r="AA64" s="204"/>
      <c r="AB64" s="204"/>
      <c r="AC64" s="204"/>
      <c r="AD64" s="117"/>
      <c r="AF64" s="204"/>
      <c r="AG64" s="204"/>
      <c r="AH64" s="117"/>
      <c r="AI64" s="1"/>
      <c r="AJ64" s="1"/>
      <c r="AK64" s="25"/>
      <c r="AL64" s="404"/>
    </row>
    <row r="65" spans="1:38" x14ac:dyDescent="0.25">
      <c r="A65" s="194">
        <v>60</v>
      </c>
      <c r="B65" s="12" t="s">
        <v>123</v>
      </c>
      <c r="E65" s="204">
        <f>'1501 Summary'!AD65</f>
        <v>-4995.1299999999992</v>
      </c>
      <c r="F65" s="117"/>
      <c r="G65" s="204"/>
      <c r="H65" s="204"/>
      <c r="I65" s="204"/>
      <c r="J65" s="117"/>
      <c r="K65" s="202"/>
      <c r="L65" s="266"/>
      <c r="M65" s="204"/>
      <c r="N65" s="117"/>
      <c r="O65" s="204"/>
      <c r="P65" s="204"/>
      <c r="Q65" s="204"/>
      <c r="R65" s="117"/>
      <c r="S65" s="204"/>
      <c r="T65" s="204"/>
      <c r="U65" s="204"/>
      <c r="V65" s="117"/>
      <c r="W65" s="204"/>
      <c r="X65" s="204"/>
      <c r="Y65" s="204"/>
      <c r="Z65" s="117"/>
      <c r="AA65" s="204"/>
      <c r="AB65" s="204"/>
      <c r="AC65" s="204"/>
      <c r="AD65" s="117"/>
      <c r="AF65" s="204"/>
      <c r="AG65" s="204"/>
      <c r="AH65" s="117"/>
      <c r="AI65" s="1"/>
      <c r="AJ65" s="1"/>
      <c r="AK65" s="25"/>
      <c r="AL65" s="404"/>
    </row>
    <row r="66" spans="1:38" x14ac:dyDescent="0.25">
      <c r="A66" s="194">
        <v>61</v>
      </c>
      <c r="B66" s="12" t="s">
        <v>124</v>
      </c>
      <c r="E66" s="204">
        <f>'1501 Summary'!AD66</f>
        <v>35637.360000000001</v>
      </c>
      <c r="F66" s="117"/>
      <c r="G66" s="204"/>
      <c r="H66" s="204"/>
      <c r="I66" s="204"/>
      <c r="J66" s="117"/>
      <c r="K66" s="202"/>
      <c r="L66" s="266"/>
      <c r="M66" s="204"/>
      <c r="N66" s="117"/>
      <c r="O66" s="204"/>
      <c r="P66" s="204"/>
      <c r="Q66" s="204"/>
      <c r="R66" s="117"/>
      <c r="S66" s="204"/>
      <c r="T66" s="204"/>
      <c r="U66" s="204"/>
      <c r="V66" s="117"/>
      <c r="W66" s="204"/>
      <c r="X66" s="204"/>
      <c r="Y66" s="204"/>
      <c r="Z66" s="117"/>
      <c r="AA66" s="204"/>
      <c r="AB66" s="204"/>
      <c r="AC66" s="204"/>
      <c r="AD66" s="117"/>
      <c r="AF66" s="204"/>
      <c r="AG66" s="204"/>
      <c r="AH66" s="117"/>
      <c r="AI66" s="1"/>
      <c r="AJ66" s="1"/>
      <c r="AK66" s="25"/>
      <c r="AL66" s="404"/>
    </row>
    <row r="67" spans="1:38" x14ac:dyDescent="0.25">
      <c r="A67" s="194">
        <v>62</v>
      </c>
      <c r="B67" s="11" t="s">
        <v>29</v>
      </c>
      <c r="E67" s="204">
        <f>'1501 Summary'!AD67</f>
        <v>-199293.31000000003</v>
      </c>
      <c r="F67" s="117"/>
      <c r="G67" s="204"/>
      <c r="H67" s="204"/>
      <c r="I67" s="204"/>
      <c r="J67" s="117"/>
      <c r="K67" s="202"/>
      <c r="L67" s="266"/>
      <c r="M67" s="204"/>
      <c r="N67" s="117"/>
      <c r="O67" s="204"/>
      <c r="P67" s="204"/>
      <c r="Q67" s="204"/>
      <c r="R67" s="117"/>
      <c r="S67" s="204"/>
      <c r="T67" s="204"/>
      <c r="U67" s="204"/>
      <c r="V67" s="117"/>
      <c r="W67" s="204"/>
      <c r="X67" s="204"/>
      <c r="Y67" s="204"/>
      <c r="Z67" s="117"/>
      <c r="AA67" s="204"/>
      <c r="AB67" s="204"/>
      <c r="AC67" s="204"/>
      <c r="AD67" s="117"/>
      <c r="AF67" s="204"/>
      <c r="AG67" s="204"/>
      <c r="AH67" s="117"/>
      <c r="AI67" s="1"/>
      <c r="AJ67" s="1"/>
      <c r="AK67" s="25"/>
      <c r="AL67" s="404"/>
    </row>
    <row r="68" spans="1:38" x14ac:dyDescent="0.25">
      <c r="A68" s="194">
        <v>63</v>
      </c>
      <c r="B68" s="11" t="s">
        <v>14</v>
      </c>
      <c r="E68" s="204">
        <f>'Revenue Reconcilliation'!Q34</f>
        <v>56044302.649999999</v>
      </c>
      <c r="F68" s="117"/>
      <c r="G68" s="204"/>
      <c r="H68" s="204"/>
      <c r="I68" s="204"/>
      <c r="J68" s="117"/>
      <c r="K68" s="202"/>
      <c r="L68" s="266"/>
      <c r="M68" s="204"/>
      <c r="N68" s="117"/>
      <c r="O68" s="204"/>
      <c r="P68" s="204"/>
      <c r="Q68" s="204"/>
      <c r="R68" s="117"/>
      <c r="S68" s="204"/>
      <c r="T68" s="204"/>
      <c r="U68" s="204"/>
      <c r="V68" s="117"/>
      <c r="W68" s="204"/>
      <c r="X68" s="204"/>
      <c r="Y68" s="204"/>
      <c r="Z68" s="117"/>
      <c r="AA68" s="204"/>
      <c r="AB68" s="204"/>
      <c r="AC68" s="204"/>
      <c r="AD68" s="117"/>
      <c r="AF68" s="204"/>
      <c r="AG68" s="204"/>
      <c r="AH68" s="117"/>
      <c r="AI68" s="164"/>
      <c r="AJ68" s="164"/>
      <c r="AK68" s="25"/>
      <c r="AL68" s="404"/>
    </row>
    <row r="69" spans="1:38" x14ac:dyDescent="0.25">
      <c r="A69" s="194">
        <v>64</v>
      </c>
      <c r="B69" s="11" t="s">
        <v>15</v>
      </c>
      <c r="E69" s="204">
        <f>'Revenue Reconcilliation'!Q35</f>
        <v>-53613698.700000003</v>
      </c>
      <c r="F69" s="117"/>
      <c r="G69" s="204"/>
      <c r="H69" s="204"/>
      <c r="I69" s="204"/>
      <c r="J69" s="117"/>
      <c r="K69" s="202"/>
      <c r="L69" s="266"/>
      <c r="M69" s="204"/>
      <c r="N69" s="117"/>
      <c r="O69" s="204"/>
      <c r="P69" s="204"/>
      <c r="Q69" s="204"/>
      <c r="R69" s="117"/>
      <c r="S69" s="204"/>
      <c r="T69" s="204"/>
      <c r="U69" s="204"/>
      <c r="V69" s="117"/>
      <c r="W69" s="204"/>
      <c r="X69" s="204"/>
      <c r="Y69" s="204"/>
      <c r="Z69" s="117"/>
      <c r="AA69" s="204"/>
      <c r="AB69" s="204"/>
      <c r="AC69" s="204"/>
      <c r="AD69" s="117"/>
      <c r="AF69" s="204"/>
      <c r="AG69" s="204"/>
      <c r="AH69" s="117"/>
      <c r="AI69" s="164"/>
      <c r="AJ69" s="164"/>
      <c r="AK69" s="25"/>
      <c r="AL69" s="404"/>
    </row>
    <row r="70" spans="1:38" x14ac:dyDescent="0.25">
      <c r="A70" s="194">
        <v>65</v>
      </c>
      <c r="B70" s="11" t="s">
        <v>16</v>
      </c>
      <c r="E70" s="204">
        <f>'Revenue Reconcilliation'!Q36</f>
        <v>-2042970.2999999998</v>
      </c>
      <c r="F70" s="117"/>
      <c r="G70" s="204"/>
      <c r="H70" s="204"/>
      <c r="I70" s="204"/>
      <c r="J70" s="117"/>
      <c r="K70" s="202"/>
      <c r="L70" s="266"/>
      <c r="M70" s="204"/>
      <c r="N70" s="117"/>
      <c r="O70" s="204"/>
      <c r="P70" s="204"/>
      <c r="Q70" s="204"/>
      <c r="R70" s="117"/>
      <c r="S70" s="204"/>
      <c r="T70" s="204"/>
      <c r="U70" s="204"/>
      <c r="V70" s="117"/>
      <c r="W70" s="204"/>
      <c r="X70" s="204"/>
      <c r="Y70" s="204"/>
      <c r="Z70" s="117"/>
      <c r="AA70" s="204"/>
      <c r="AB70" s="204"/>
      <c r="AC70" s="204"/>
      <c r="AD70" s="117"/>
      <c r="AF70" s="204"/>
      <c r="AG70" s="204"/>
      <c r="AH70" s="117"/>
      <c r="AI70" s="164"/>
      <c r="AJ70" s="164"/>
      <c r="AK70" s="25"/>
      <c r="AL70" s="404"/>
    </row>
    <row r="71" spans="1:38" x14ac:dyDescent="0.25">
      <c r="A71" s="194">
        <v>66</v>
      </c>
      <c r="B71" s="11" t="s">
        <v>17</v>
      </c>
      <c r="E71" s="204">
        <f>'Revenue Reconcilliation'!Q37</f>
        <v>2168042.2599999998</v>
      </c>
      <c r="F71" s="117"/>
      <c r="G71" s="204"/>
      <c r="H71" s="204"/>
      <c r="I71" s="204"/>
      <c r="J71" s="117"/>
      <c r="K71" s="202"/>
      <c r="L71" s="266"/>
      <c r="M71" s="204"/>
      <c r="N71" s="117"/>
      <c r="O71" s="204"/>
      <c r="P71" s="204"/>
      <c r="Q71" s="204"/>
      <c r="R71" s="117"/>
      <c r="S71" s="204"/>
      <c r="T71" s="204"/>
      <c r="U71" s="204"/>
      <c r="V71" s="117"/>
      <c r="W71" s="204"/>
      <c r="X71" s="204"/>
      <c r="Y71" s="204"/>
      <c r="Z71" s="117"/>
      <c r="AA71" s="204"/>
      <c r="AB71" s="204"/>
      <c r="AC71" s="204"/>
      <c r="AD71" s="117"/>
      <c r="AF71" s="204"/>
      <c r="AG71" s="204"/>
      <c r="AH71" s="117"/>
      <c r="AI71" s="164"/>
      <c r="AJ71" s="164"/>
      <c r="AK71" s="25"/>
      <c r="AL71" s="404"/>
    </row>
    <row r="72" spans="1:38" x14ac:dyDescent="0.25">
      <c r="A72" s="194">
        <v>67</v>
      </c>
      <c r="B72" s="11" t="s">
        <v>18</v>
      </c>
      <c r="E72" s="204">
        <f>'Revenue Reconcilliation'!Q38</f>
        <v>51429.03</v>
      </c>
      <c r="F72" s="117"/>
      <c r="G72" s="204"/>
      <c r="H72" s="204"/>
      <c r="I72" s="204"/>
      <c r="J72" s="117"/>
      <c r="K72" s="202"/>
      <c r="L72" s="266"/>
      <c r="M72" s="204"/>
      <c r="N72" s="117"/>
      <c r="O72" s="204"/>
      <c r="P72" s="204"/>
      <c r="Q72" s="204"/>
      <c r="R72" s="117"/>
      <c r="S72" s="204"/>
      <c r="T72" s="204"/>
      <c r="U72" s="204"/>
      <c r="V72" s="117"/>
      <c r="W72" s="204"/>
      <c r="X72" s="204"/>
      <c r="Y72" s="204"/>
      <c r="Z72" s="117"/>
      <c r="AA72" s="204"/>
      <c r="AB72" s="204"/>
      <c r="AC72" s="204"/>
      <c r="AD72" s="117"/>
      <c r="AF72" s="204"/>
      <c r="AG72" s="204"/>
      <c r="AH72" s="117"/>
      <c r="AI72" s="164"/>
      <c r="AJ72" s="164"/>
      <c r="AK72" s="25"/>
      <c r="AL72" s="404"/>
    </row>
    <row r="73" spans="1:38" x14ac:dyDescent="0.25">
      <c r="A73" s="194">
        <v>68</v>
      </c>
      <c r="B73" s="34" t="s">
        <v>24</v>
      </c>
      <c r="E73" s="204">
        <f>'Revenue Reconcilliation'!Q39</f>
        <v>2.13</v>
      </c>
      <c r="F73" s="112"/>
      <c r="G73" s="203"/>
      <c r="H73" s="203"/>
      <c r="I73" s="203"/>
      <c r="J73" s="112"/>
      <c r="K73" s="202"/>
      <c r="L73" s="266"/>
      <c r="M73" s="204"/>
      <c r="N73" s="112"/>
      <c r="O73" s="204"/>
      <c r="P73" s="204"/>
      <c r="Q73" s="204"/>
      <c r="R73" s="112"/>
      <c r="S73" s="204"/>
      <c r="T73" s="204"/>
      <c r="U73" s="204"/>
      <c r="V73" s="112"/>
      <c r="W73" s="203"/>
      <c r="X73" s="203"/>
      <c r="Y73" s="203"/>
      <c r="Z73" s="112"/>
      <c r="AA73" s="204"/>
      <c r="AB73" s="204"/>
      <c r="AC73" s="204"/>
      <c r="AD73" s="112"/>
      <c r="AF73" s="203"/>
      <c r="AG73" s="203"/>
      <c r="AH73" s="112"/>
      <c r="AI73" s="164"/>
      <c r="AJ73" s="164"/>
      <c r="AK73" s="25"/>
      <c r="AL73" s="404"/>
    </row>
    <row r="74" spans="1:38" x14ac:dyDescent="0.25">
      <c r="A74" s="194">
        <v>69</v>
      </c>
      <c r="B74" s="12" t="s">
        <v>91</v>
      </c>
      <c r="E74" s="204">
        <f>SUM(E52:E73)</f>
        <v>11494867.139999995</v>
      </c>
      <c r="F74" s="117"/>
      <c r="G74" s="204"/>
      <c r="H74" s="204"/>
      <c r="I74" s="204"/>
      <c r="J74" s="117"/>
      <c r="K74" s="202"/>
      <c r="L74" s="266"/>
      <c r="M74" s="204"/>
      <c r="N74" s="117"/>
      <c r="O74" s="204"/>
      <c r="P74" s="204"/>
      <c r="Q74" s="204"/>
      <c r="R74" s="117"/>
      <c r="S74" s="204"/>
      <c r="T74" s="204"/>
      <c r="U74" s="204"/>
      <c r="V74" s="117"/>
      <c r="W74" s="204"/>
      <c r="X74" s="204"/>
      <c r="Y74" s="204"/>
      <c r="Z74" s="117"/>
      <c r="AA74" s="204"/>
      <c r="AB74" s="204"/>
      <c r="AC74" s="204"/>
      <c r="AD74" s="117"/>
      <c r="AF74" s="204"/>
      <c r="AG74" s="204"/>
      <c r="AH74" s="117"/>
      <c r="AI74" s="164"/>
      <c r="AJ74" s="164"/>
      <c r="AK74" s="25"/>
      <c r="AL74" s="404"/>
    </row>
    <row r="75" spans="1:38" x14ac:dyDescent="0.25">
      <c r="A75" s="194">
        <v>70</v>
      </c>
      <c r="E75" s="204"/>
      <c r="F75" s="117"/>
      <c r="G75" s="204"/>
      <c r="H75" s="204"/>
      <c r="I75" s="204"/>
      <c r="J75" s="117"/>
      <c r="K75" s="202"/>
      <c r="L75" s="266"/>
      <c r="M75" s="204"/>
      <c r="N75" s="117"/>
      <c r="O75" s="204"/>
      <c r="P75" s="204"/>
      <c r="Q75" s="204"/>
      <c r="R75" s="117"/>
      <c r="S75" s="204"/>
      <c r="T75" s="204"/>
      <c r="U75" s="204"/>
      <c r="V75" s="117"/>
      <c r="W75" s="204"/>
      <c r="X75" s="204"/>
      <c r="Y75" s="204"/>
      <c r="Z75" s="117"/>
      <c r="AA75" s="204"/>
      <c r="AB75" s="204"/>
      <c r="AC75" s="204"/>
      <c r="AD75" s="117"/>
      <c r="AF75" s="204"/>
      <c r="AG75" s="204"/>
      <c r="AH75" s="117"/>
      <c r="AK75" s="25"/>
      <c r="AL75" s="404"/>
    </row>
    <row r="76" spans="1:38" x14ac:dyDescent="0.25">
      <c r="A76" s="194">
        <v>71</v>
      </c>
      <c r="B76" s="51" t="str">
        <f>"Total "&amp;LEFT(B42,17)&amp;" Revenue"</f>
        <v>Total Rate Schedule 504 Revenue</v>
      </c>
      <c r="C76" s="208">
        <f>E76-'Revenue Reconcilliation'!Q42</f>
        <v>0</v>
      </c>
      <c r="D76" s="209" t="s">
        <v>45</v>
      </c>
      <c r="E76" s="207">
        <f>SUM(E45,E49,E74)</f>
        <v>78482550.429999992</v>
      </c>
      <c r="F76" s="118"/>
      <c r="G76" s="207"/>
      <c r="H76" s="207"/>
      <c r="I76" s="207"/>
      <c r="J76" s="118"/>
      <c r="K76" s="239"/>
      <c r="L76" s="283"/>
      <c r="M76" s="207"/>
      <c r="N76" s="118"/>
      <c r="O76" s="207"/>
      <c r="P76" s="207"/>
      <c r="Q76" s="207"/>
      <c r="R76" s="118"/>
      <c r="S76" s="207"/>
      <c r="T76" s="207"/>
      <c r="U76" s="207"/>
      <c r="V76" s="118"/>
      <c r="W76" s="207"/>
      <c r="X76" s="207"/>
      <c r="Y76" s="207"/>
      <c r="Z76" s="118"/>
      <c r="AA76" s="207"/>
      <c r="AB76" s="207"/>
      <c r="AC76" s="207"/>
      <c r="AD76" s="118"/>
      <c r="AE76" s="239"/>
      <c r="AF76" s="207"/>
      <c r="AG76" s="207"/>
      <c r="AH76" s="118"/>
      <c r="AI76" s="33"/>
      <c r="AJ76" s="33"/>
      <c r="AK76" s="30"/>
      <c r="AL76" s="404"/>
    </row>
    <row r="77" spans="1:38" x14ac:dyDescent="0.25">
      <c r="A77" s="194">
        <v>72</v>
      </c>
      <c r="B77" s="19"/>
      <c r="D77" s="211"/>
      <c r="E77" s="212"/>
      <c r="F77" s="116"/>
      <c r="G77" s="212"/>
      <c r="H77" s="212"/>
      <c r="I77" s="212"/>
      <c r="J77" s="116"/>
      <c r="K77" s="202"/>
      <c r="L77" s="266"/>
      <c r="M77" s="204"/>
      <c r="N77" s="116"/>
      <c r="O77" s="204"/>
      <c r="P77" s="204"/>
      <c r="Q77" s="204"/>
      <c r="R77" s="116"/>
      <c r="S77" s="204"/>
      <c r="T77" s="204"/>
      <c r="U77" s="204"/>
      <c r="V77" s="116"/>
      <c r="W77" s="212"/>
      <c r="X77" s="212"/>
      <c r="Y77" s="212"/>
      <c r="Z77" s="116"/>
      <c r="AD77" s="116"/>
      <c r="AF77" s="212"/>
      <c r="AG77" s="212"/>
      <c r="AH77" s="116"/>
      <c r="AL77" s="404"/>
    </row>
    <row r="78" spans="1:38" x14ac:dyDescent="0.25">
      <c r="A78" s="194">
        <v>73</v>
      </c>
      <c r="K78" s="202"/>
      <c r="L78" s="266"/>
      <c r="M78" s="204"/>
      <c r="O78" s="204"/>
      <c r="P78" s="204"/>
      <c r="Q78" s="204"/>
      <c r="S78" s="204"/>
      <c r="T78" s="204"/>
      <c r="U78" s="204"/>
      <c r="AL78" s="404"/>
    </row>
    <row r="79" spans="1:38" x14ac:dyDescent="0.25">
      <c r="A79" s="194">
        <v>74</v>
      </c>
      <c r="B79" s="18" t="s">
        <v>94</v>
      </c>
      <c r="G79" s="196" t="s">
        <v>521</v>
      </c>
      <c r="K79" s="202"/>
      <c r="L79" s="266"/>
      <c r="M79" s="204"/>
      <c r="O79" s="204"/>
      <c r="P79" s="204"/>
      <c r="Q79" s="204"/>
      <c r="S79" s="204"/>
      <c r="T79" s="204"/>
      <c r="U79" s="204"/>
      <c r="AL79" s="404"/>
    </row>
    <row r="80" spans="1:38" x14ac:dyDescent="0.25">
      <c r="A80" s="194">
        <v>75</v>
      </c>
      <c r="B80" s="12" t="s">
        <v>9</v>
      </c>
      <c r="C80" s="202">
        <f>E80/D80</f>
        <v>5771</v>
      </c>
      <c r="D80" s="203">
        <v>60</v>
      </c>
      <c r="E80" s="204">
        <f>'1501 Summary'!AD101</f>
        <v>346260</v>
      </c>
      <c r="F80" s="117"/>
      <c r="G80" s="268">
        <f>-G216</f>
        <v>12</v>
      </c>
      <c r="H80" s="269">
        <f>D80</f>
        <v>60</v>
      </c>
      <c r="I80" s="218">
        <f>H80*G80</f>
        <v>720</v>
      </c>
      <c r="J80" s="117"/>
      <c r="K80" s="202">
        <f t="shared" si="5"/>
        <v>5783</v>
      </c>
      <c r="L80" s="203">
        <f t="shared" ref="L80:L115" si="7">D80</f>
        <v>60</v>
      </c>
      <c r="M80" s="204">
        <f>L80*K80</f>
        <v>346980</v>
      </c>
      <c r="N80" s="117"/>
      <c r="O80" s="202"/>
      <c r="P80" s="204"/>
      <c r="Q80" s="204"/>
      <c r="R80" s="117"/>
      <c r="S80" s="202">
        <f>'End of Period Calculations'!AB102</f>
        <v>5856</v>
      </c>
      <c r="T80" s="204">
        <f>S80*L80</f>
        <v>351360</v>
      </c>
      <c r="U80" s="204">
        <f>T80-M80</f>
        <v>4380</v>
      </c>
      <c r="V80" s="117"/>
      <c r="W80" s="204"/>
      <c r="X80" s="204"/>
      <c r="Y80" s="204"/>
      <c r="Z80" s="117"/>
      <c r="AA80" s="216"/>
      <c r="AB80" s="216"/>
      <c r="AC80" s="216"/>
      <c r="AD80" s="117"/>
      <c r="AE80" s="202">
        <f>'End of Period Calculations'!AD102</f>
        <v>5894.5263157894724</v>
      </c>
      <c r="AF80" s="204">
        <f>AE80*L80</f>
        <v>353671.57894736837</v>
      </c>
      <c r="AG80" s="203">
        <f>AF80-T80</f>
        <v>2311.578947368369</v>
      </c>
      <c r="AH80" s="117"/>
      <c r="AI80" s="698">
        <f>L80</f>
        <v>60</v>
      </c>
      <c r="AJ80" s="689">
        <f>AI80*AE80</f>
        <v>353671.57894736837</v>
      </c>
      <c r="AK80" s="689">
        <f>AJ80-AF80</f>
        <v>0</v>
      </c>
      <c r="AL80" s="404"/>
    </row>
    <row r="81" spans="1:38" x14ac:dyDescent="0.25">
      <c r="A81" s="194">
        <v>76</v>
      </c>
      <c r="B81" s="12" t="s">
        <v>160</v>
      </c>
      <c r="C81" s="202">
        <f t="shared" ref="C81:C83" si="8">E81/D81</f>
        <v>1772804.1566298807</v>
      </c>
      <c r="D81" s="205">
        <v>0.17851</v>
      </c>
      <c r="E81" s="204">
        <f>'1501 Summary'!AD102</f>
        <v>316463.27</v>
      </c>
      <c r="F81" s="117"/>
      <c r="G81" s="268">
        <f>-G217</f>
        <v>1747.0729931096298</v>
      </c>
      <c r="H81" s="269">
        <f t="shared" ref="H81" si="9">D81</f>
        <v>0.17851</v>
      </c>
      <c r="I81" s="218">
        <f t="shared" ref="I81" si="10">H81*G81</f>
        <v>311.87</v>
      </c>
      <c r="J81" s="117"/>
      <c r="K81" s="202">
        <f t="shared" si="5"/>
        <v>1774551.2296229904</v>
      </c>
      <c r="L81" s="266">
        <v>0.20175999999999999</v>
      </c>
      <c r="M81" s="204">
        <f t="shared" ref="M81:M83" si="11">L81*K81</f>
        <v>358033.4560887345</v>
      </c>
      <c r="N81" s="117"/>
      <c r="O81" s="265"/>
      <c r="P81" s="204"/>
      <c r="Q81" s="204"/>
      <c r="R81" s="117"/>
      <c r="S81" s="265">
        <f>'End of Period Calculations'!AA102</f>
        <v>1796054.322900241</v>
      </c>
      <c r="T81" s="204">
        <f>S81*L81</f>
        <v>362371.92018835264</v>
      </c>
      <c r="U81" s="204">
        <f>T81-M81</f>
        <v>4338.4640996181406</v>
      </c>
      <c r="V81" s="117"/>
      <c r="W81" s="204"/>
      <c r="X81" s="204"/>
      <c r="Y81" s="204"/>
      <c r="Z81" s="117"/>
      <c r="AA81" s="202">
        <f>AE81</f>
        <v>1807870.4697614266</v>
      </c>
      <c r="AB81" s="413">
        <v>1.9E-3</v>
      </c>
      <c r="AC81" s="216">
        <f>AB81*AA81</f>
        <v>3434.9538925467104</v>
      </c>
      <c r="AD81" s="117"/>
      <c r="AE81" s="202">
        <f>'End of Period Calculations'!AA129</f>
        <v>1807870.4697614266</v>
      </c>
      <c r="AF81" s="204">
        <f>AE81*L81</f>
        <v>364755.94597906544</v>
      </c>
      <c r="AG81" s="203">
        <f>AF81-T81</f>
        <v>2384.0257907127962</v>
      </c>
      <c r="AH81" s="117"/>
      <c r="AI81" s="691">
        <f>'Exh IDM-9 -Revenue Distribution'!F15</f>
        <v>0.23598699886186553</v>
      </c>
      <c r="AJ81" s="689">
        <f>AI81*AE81</f>
        <v>426633.92648999009</v>
      </c>
      <c r="AK81" s="689">
        <f t="shared" ref="AK81:AK83" si="12">AJ81-AF81</f>
        <v>61877.980510924652</v>
      </c>
      <c r="AL81" s="404"/>
    </row>
    <row r="82" spans="1:38" x14ac:dyDescent="0.25">
      <c r="A82" s="194">
        <v>77</v>
      </c>
      <c r="B82" s="12" t="s">
        <v>161</v>
      </c>
      <c r="C82" s="202">
        <f t="shared" si="8"/>
        <v>5885874.0402573152</v>
      </c>
      <c r="D82" s="205">
        <v>0.14457</v>
      </c>
      <c r="E82" s="204">
        <f>'1501 Summary'!AD103</f>
        <v>850920.81</v>
      </c>
      <c r="F82" s="117"/>
      <c r="G82" s="268">
        <f t="shared" ref="G82:G83" si="13">-G218</f>
        <v>621.01404164072767</v>
      </c>
      <c r="H82" s="269">
        <f t="shared" ref="H82:H83" si="14">D82</f>
        <v>0.14457</v>
      </c>
      <c r="I82" s="218">
        <f t="shared" ref="I82:I83" si="15">H82*G82</f>
        <v>89.78</v>
      </c>
      <c r="J82" s="117"/>
      <c r="K82" s="202">
        <f t="shared" si="5"/>
        <v>5886495.0542989559</v>
      </c>
      <c r="L82" s="266">
        <v>0.16481000000000001</v>
      </c>
      <c r="M82" s="204">
        <f t="shared" si="11"/>
        <v>970153.24989901099</v>
      </c>
      <c r="N82" s="117"/>
      <c r="O82" s="265"/>
      <c r="P82" s="204"/>
      <c r="Q82" s="204"/>
      <c r="R82" s="117"/>
      <c r="S82" s="265">
        <f>'End of Period Calculations'!AA103</f>
        <v>5955588.143686397</v>
      </c>
      <c r="T82" s="204">
        <f>S82*L82</f>
        <v>981540.48196095519</v>
      </c>
      <c r="U82" s="204">
        <f>T82-M82</f>
        <v>11387.232061944203</v>
      </c>
      <c r="V82" s="117"/>
      <c r="W82" s="204"/>
      <c r="X82" s="204"/>
      <c r="Y82" s="204"/>
      <c r="Z82" s="117"/>
      <c r="AA82" s="202">
        <f t="shared" ref="AA82:AA83" si="16">AE82</f>
        <v>5994769.6446317015</v>
      </c>
      <c r="AB82" s="413">
        <v>1.9E-3</v>
      </c>
      <c r="AC82" s="216">
        <f t="shared" ref="AC82:AC83" si="17">AB82*AA82</f>
        <v>11390.062324800232</v>
      </c>
      <c r="AD82" s="117"/>
      <c r="AE82" s="202">
        <f>'End of Period Calculations'!AA130</f>
        <v>5994769.6446317015</v>
      </c>
      <c r="AF82" s="204">
        <f>AE82*L82</f>
        <v>987997.98513175081</v>
      </c>
      <c r="AG82" s="203">
        <f>AF82-T82</f>
        <v>6457.5031707956223</v>
      </c>
      <c r="AH82" s="117"/>
      <c r="AI82" s="691">
        <f>'Exh IDM-9 -Revenue Distribution'!F16</f>
        <v>0.19276872166149911</v>
      </c>
      <c r="AJ82" s="689">
        <f t="shared" ref="AJ82:AJ83" si="18">AI82*AE82</f>
        <v>1155604.0810508125</v>
      </c>
      <c r="AK82" s="689">
        <f t="shared" si="12"/>
        <v>167606.09591906168</v>
      </c>
      <c r="AL82" s="404"/>
    </row>
    <row r="83" spans="1:38" x14ac:dyDescent="0.25">
      <c r="A83" s="194">
        <v>78</v>
      </c>
      <c r="B83" s="54" t="s">
        <v>162</v>
      </c>
      <c r="C83" s="202">
        <f t="shared" si="8"/>
        <v>5495418.3161216285</v>
      </c>
      <c r="D83" s="205">
        <v>0.13944000000000001</v>
      </c>
      <c r="E83" s="204">
        <f>'1501 Summary'!AD104</f>
        <v>766281.12999999989</v>
      </c>
      <c r="F83" s="117"/>
      <c r="G83" s="268">
        <f t="shared" si="13"/>
        <v>0</v>
      </c>
      <c r="H83" s="269">
        <f t="shared" si="14"/>
        <v>0.13944000000000001</v>
      </c>
      <c r="I83" s="270">
        <f t="shared" si="15"/>
        <v>0</v>
      </c>
      <c r="J83" s="117"/>
      <c r="K83" s="202">
        <f t="shared" si="5"/>
        <v>5495418.3161216285</v>
      </c>
      <c r="L83" s="266">
        <v>0.15923000000000001</v>
      </c>
      <c r="M83" s="207">
        <f t="shared" si="11"/>
        <v>875035.45847604692</v>
      </c>
      <c r="N83" s="117"/>
      <c r="O83" s="265"/>
      <c r="P83" s="207"/>
      <c r="Q83" s="207"/>
      <c r="R83" s="117"/>
      <c r="S83" s="265">
        <f>'End of Period Calculations'!AA104</f>
        <v>5561734.9161735196</v>
      </c>
      <c r="T83" s="207">
        <f>S83*L83</f>
        <v>885595.05070230959</v>
      </c>
      <c r="U83" s="207">
        <f>T83-M83</f>
        <v>10559.59222626267</v>
      </c>
      <c r="V83" s="117"/>
      <c r="W83" s="204"/>
      <c r="X83" s="204"/>
      <c r="Y83" s="204"/>
      <c r="Z83" s="117"/>
      <c r="AA83" s="202">
        <f t="shared" si="16"/>
        <v>5598325.2774641337</v>
      </c>
      <c r="AB83" s="413">
        <v>1.9E-3</v>
      </c>
      <c r="AC83" s="254">
        <f t="shared" si="17"/>
        <v>10636.818027181855</v>
      </c>
      <c r="AD83" s="117"/>
      <c r="AE83" s="202">
        <f>'End of Period Calculations'!AA131</f>
        <v>5598325.2774641337</v>
      </c>
      <c r="AF83" s="207">
        <f>AE83*L83</f>
        <v>891421.33393061406</v>
      </c>
      <c r="AG83" s="208">
        <f>AF83-T83</f>
        <v>5826.28322830447</v>
      </c>
      <c r="AH83" s="117"/>
      <c r="AI83" s="691">
        <f>'Exh IDM-9 -Revenue Distribution'!F17</f>
        <v>0.1862421185010649</v>
      </c>
      <c r="AJ83" s="689">
        <f t="shared" si="18"/>
        <v>1042643.9597329822</v>
      </c>
      <c r="AK83" s="690">
        <f t="shared" si="12"/>
        <v>151222.62580236816</v>
      </c>
      <c r="AL83" s="404"/>
    </row>
    <row r="84" spans="1:38" x14ac:dyDescent="0.25">
      <c r="A84" s="194">
        <v>79</v>
      </c>
      <c r="B84" s="12" t="s">
        <v>10</v>
      </c>
      <c r="E84" s="206">
        <f>SUM(E80:E83)</f>
        <v>2279925.21</v>
      </c>
      <c r="F84" s="117"/>
      <c r="G84" s="204"/>
      <c r="H84" s="204"/>
      <c r="I84" s="204">
        <f>SUM(I80:I83)</f>
        <v>1121.6499999999999</v>
      </c>
      <c r="J84" s="117"/>
      <c r="K84" s="202"/>
      <c r="L84" s="266"/>
      <c r="M84" s="204">
        <f>SUM(M80:M83)</f>
        <v>2550202.1644637925</v>
      </c>
      <c r="N84" s="117"/>
      <c r="O84" s="204"/>
      <c r="P84" s="204"/>
      <c r="Q84" s="204"/>
      <c r="R84" s="117"/>
      <c r="S84" s="204"/>
      <c r="T84" s="204">
        <f>SUM(T80:T83)</f>
        <v>2580867.4528516177</v>
      </c>
      <c r="U84" s="204">
        <f>T84-M84</f>
        <v>30665.288387825247</v>
      </c>
      <c r="V84" s="117"/>
      <c r="W84" s="204"/>
      <c r="X84" s="204"/>
      <c r="Y84" s="204"/>
      <c r="Z84" s="117"/>
      <c r="AA84" s="216"/>
      <c r="AB84" s="216"/>
      <c r="AC84" s="216">
        <f>SUM(AC81:AC83)</f>
        <v>25461.8342445288</v>
      </c>
      <c r="AD84" s="117"/>
      <c r="AF84" s="204">
        <f>SUM(AF80:AF83)</f>
        <v>2597846.8439887986</v>
      </c>
      <c r="AG84" s="204">
        <f>SUM(AG80:AG83)</f>
        <v>16979.391137181257</v>
      </c>
      <c r="AH84" s="117"/>
      <c r="AI84" s="698"/>
      <c r="AJ84" s="689">
        <f>SUM(AJ80:AJ83)</f>
        <v>2978553.5462211533</v>
      </c>
      <c r="AK84" s="689">
        <f>SUM(AK80:AK83)</f>
        <v>380706.7022323545</v>
      </c>
      <c r="AL84" s="404"/>
    </row>
    <row r="85" spans="1:38" x14ac:dyDescent="0.25">
      <c r="A85" s="194">
        <v>80</v>
      </c>
      <c r="K85" s="202"/>
      <c r="L85" s="266"/>
      <c r="M85" s="204"/>
      <c r="O85" s="204"/>
      <c r="P85" s="204"/>
      <c r="Q85" s="204"/>
      <c r="S85" s="204"/>
      <c r="T85" s="204"/>
      <c r="U85" s="204"/>
      <c r="AL85" s="404"/>
    </row>
    <row r="86" spans="1:38" x14ac:dyDescent="0.25">
      <c r="A86" s="194">
        <v>81</v>
      </c>
      <c r="B86" s="12" t="s">
        <v>11</v>
      </c>
      <c r="E86" s="204">
        <f>'1501 Summary'!AD105</f>
        <v>5522381.8900000006</v>
      </c>
      <c r="F86" s="117"/>
      <c r="G86" s="204"/>
      <c r="H86" s="204"/>
      <c r="I86" s="204"/>
      <c r="J86" s="117"/>
      <c r="K86" s="202"/>
      <c r="L86" s="266"/>
      <c r="M86" s="204"/>
      <c r="N86" s="117"/>
      <c r="O86" s="204"/>
      <c r="P86" s="204"/>
      <c r="Q86" s="204"/>
      <c r="R86" s="117"/>
      <c r="S86" s="204"/>
      <c r="T86" s="204"/>
      <c r="U86" s="204"/>
      <c r="V86" s="117"/>
      <c r="W86" s="204"/>
      <c r="X86" s="204"/>
      <c r="Y86" s="204"/>
      <c r="Z86" s="117"/>
      <c r="AD86" s="117"/>
      <c r="AF86" s="204"/>
      <c r="AG86" s="204"/>
      <c r="AH86" s="117"/>
      <c r="AL86" s="404"/>
    </row>
    <row r="87" spans="1:38" x14ac:dyDescent="0.25">
      <c r="A87" s="194">
        <v>82</v>
      </c>
      <c r="K87" s="202"/>
      <c r="L87" s="266"/>
      <c r="M87" s="204"/>
      <c r="O87" s="204"/>
      <c r="P87" s="204"/>
      <c r="Q87" s="204"/>
      <c r="S87" s="204"/>
      <c r="T87" s="204"/>
      <c r="U87" s="204"/>
      <c r="AL87" s="404"/>
    </row>
    <row r="88" spans="1:38" x14ac:dyDescent="0.25">
      <c r="A88" s="194">
        <v>83</v>
      </c>
      <c r="B88" s="31" t="s">
        <v>12</v>
      </c>
      <c r="K88" s="202"/>
      <c r="L88" s="266"/>
      <c r="M88" s="204"/>
      <c r="O88" s="204"/>
      <c r="P88" s="204"/>
      <c r="Q88" s="204"/>
      <c r="S88" s="204"/>
      <c r="T88" s="204"/>
      <c r="U88" s="204"/>
      <c r="AL88" s="404"/>
    </row>
    <row r="89" spans="1:38" x14ac:dyDescent="0.25">
      <c r="A89" s="194">
        <v>84</v>
      </c>
      <c r="B89" s="12" t="s">
        <v>484</v>
      </c>
      <c r="E89" s="213">
        <f>'1501 Summary'!AD106</f>
        <v>656984.07999999996</v>
      </c>
      <c r="K89" s="202"/>
      <c r="L89" s="266"/>
      <c r="M89" s="204"/>
      <c r="O89" s="204"/>
      <c r="P89" s="204"/>
      <c r="Q89" s="204"/>
      <c r="S89" s="204"/>
      <c r="T89" s="204"/>
      <c r="U89" s="204"/>
      <c r="AL89" s="404"/>
    </row>
    <row r="90" spans="1:38" x14ac:dyDescent="0.25">
      <c r="A90" s="194">
        <v>85</v>
      </c>
      <c r="B90" s="31" t="s">
        <v>115</v>
      </c>
      <c r="E90" s="213">
        <f>'1501 Summary'!AD107</f>
        <v>22304.93</v>
      </c>
      <c r="F90" s="117"/>
      <c r="G90" s="204"/>
      <c r="H90" s="204"/>
      <c r="I90" s="204"/>
      <c r="J90" s="117"/>
      <c r="K90" s="202"/>
      <c r="L90" s="266"/>
      <c r="M90" s="204"/>
      <c r="N90" s="117"/>
      <c r="O90" s="204"/>
      <c r="P90" s="204"/>
      <c r="Q90" s="204"/>
      <c r="R90" s="117"/>
      <c r="S90" s="204"/>
      <c r="T90" s="204"/>
      <c r="U90" s="204"/>
      <c r="V90" s="117"/>
      <c r="W90" s="204"/>
      <c r="X90" s="204"/>
      <c r="Y90" s="204"/>
      <c r="Z90" s="117"/>
      <c r="AA90" s="229"/>
      <c r="AB90" s="229"/>
      <c r="AC90" s="229"/>
      <c r="AD90" s="117"/>
      <c r="AF90" s="204"/>
      <c r="AG90" s="204"/>
      <c r="AH90" s="117"/>
      <c r="AK90" s="12"/>
      <c r="AL90" s="404"/>
    </row>
    <row r="91" spans="1:38" x14ac:dyDescent="0.25">
      <c r="A91" s="194">
        <v>86</v>
      </c>
      <c r="B91" s="31" t="s">
        <v>116</v>
      </c>
      <c r="E91" s="213">
        <f>'1501 Summary'!AD108</f>
        <v>92918.6</v>
      </c>
      <c r="F91" s="117"/>
      <c r="G91" s="204"/>
      <c r="H91" s="204"/>
      <c r="I91" s="204"/>
      <c r="J91" s="117"/>
      <c r="K91" s="202"/>
      <c r="L91" s="266"/>
      <c r="M91" s="204"/>
      <c r="N91" s="117"/>
      <c r="O91" s="204"/>
      <c r="P91" s="204"/>
      <c r="Q91" s="204"/>
      <c r="R91" s="117"/>
      <c r="S91" s="204"/>
      <c r="T91" s="204"/>
      <c r="U91" s="204"/>
      <c r="V91" s="117"/>
      <c r="W91" s="204"/>
      <c r="X91" s="204"/>
      <c r="Y91" s="204"/>
      <c r="Z91" s="117"/>
      <c r="AA91" s="229"/>
      <c r="AB91" s="229"/>
      <c r="AC91" s="229"/>
      <c r="AD91" s="117"/>
      <c r="AF91" s="204"/>
      <c r="AG91" s="204"/>
      <c r="AH91" s="117"/>
      <c r="AK91" s="12"/>
      <c r="AL91" s="404"/>
    </row>
    <row r="92" spans="1:38" x14ac:dyDescent="0.25">
      <c r="A92" s="194">
        <v>87</v>
      </c>
      <c r="B92" s="31" t="s">
        <v>117</v>
      </c>
      <c r="E92" s="213">
        <f>'1501 Summary'!AD109</f>
        <v>26527.780000000002</v>
      </c>
      <c r="F92" s="117"/>
      <c r="G92" s="204"/>
      <c r="H92" s="204"/>
      <c r="I92" s="204"/>
      <c r="J92" s="117"/>
      <c r="K92" s="202"/>
      <c r="L92" s="266"/>
      <c r="M92" s="204"/>
      <c r="N92" s="117"/>
      <c r="O92" s="204"/>
      <c r="P92" s="204"/>
      <c r="Q92" s="204"/>
      <c r="R92" s="117"/>
      <c r="S92" s="204"/>
      <c r="T92" s="204"/>
      <c r="U92" s="204"/>
      <c r="V92" s="117"/>
      <c r="W92" s="204"/>
      <c r="X92" s="204"/>
      <c r="Y92" s="204"/>
      <c r="Z92" s="117"/>
      <c r="AA92" s="229"/>
      <c r="AB92" s="229"/>
      <c r="AC92" s="229"/>
      <c r="AD92" s="117"/>
      <c r="AF92" s="204"/>
      <c r="AG92" s="204"/>
      <c r="AH92" s="117"/>
      <c r="AK92" s="12"/>
      <c r="AL92" s="404"/>
    </row>
    <row r="93" spans="1:38" x14ac:dyDescent="0.25">
      <c r="A93" s="194">
        <v>88</v>
      </c>
      <c r="B93" s="31" t="s">
        <v>118</v>
      </c>
      <c r="E93" s="213">
        <f>'1501 Summary'!AD110</f>
        <v>88407.780000000028</v>
      </c>
      <c r="F93" s="117"/>
      <c r="G93" s="204"/>
      <c r="H93" s="204"/>
      <c r="I93" s="204"/>
      <c r="J93" s="117"/>
      <c r="K93" s="202"/>
      <c r="L93" s="266"/>
      <c r="M93" s="204"/>
      <c r="N93" s="117"/>
      <c r="O93" s="204"/>
      <c r="P93" s="204"/>
      <c r="Q93" s="204"/>
      <c r="R93" s="117"/>
      <c r="S93" s="204"/>
      <c r="T93" s="204"/>
      <c r="U93" s="204"/>
      <c r="V93" s="117"/>
      <c r="W93" s="204"/>
      <c r="X93" s="204"/>
      <c r="Y93" s="204"/>
      <c r="Z93" s="117"/>
      <c r="AA93" s="229"/>
      <c r="AB93" s="229"/>
      <c r="AC93" s="229"/>
      <c r="AD93" s="117"/>
      <c r="AF93" s="204"/>
      <c r="AG93" s="204"/>
      <c r="AH93" s="117"/>
      <c r="AK93" s="12"/>
      <c r="AL93" s="404"/>
    </row>
    <row r="94" spans="1:38" x14ac:dyDescent="0.25">
      <c r="A94" s="194">
        <v>89</v>
      </c>
      <c r="B94" s="31" t="s">
        <v>119</v>
      </c>
      <c r="E94" s="213">
        <f>'1501 Summary'!AD111</f>
        <v>360112.04000000004</v>
      </c>
      <c r="F94" s="117"/>
      <c r="G94" s="204"/>
      <c r="H94" s="204"/>
      <c r="I94" s="204"/>
      <c r="J94" s="117"/>
      <c r="K94" s="202"/>
      <c r="L94" s="266"/>
      <c r="M94" s="204"/>
      <c r="N94" s="117"/>
      <c r="O94" s="204"/>
      <c r="P94" s="204"/>
      <c r="Q94" s="204"/>
      <c r="R94" s="117"/>
      <c r="S94" s="204"/>
      <c r="T94" s="204"/>
      <c r="U94" s="204"/>
      <c r="V94" s="117"/>
      <c r="W94" s="204"/>
      <c r="X94" s="204"/>
      <c r="Y94" s="204"/>
      <c r="Z94" s="117"/>
      <c r="AA94" s="229"/>
      <c r="AB94" s="229"/>
      <c r="AC94" s="229"/>
      <c r="AD94" s="117"/>
      <c r="AF94" s="204"/>
      <c r="AG94" s="204"/>
      <c r="AH94" s="117"/>
      <c r="AK94" s="12"/>
      <c r="AL94" s="404"/>
    </row>
    <row r="95" spans="1:38" x14ac:dyDescent="0.25">
      <c r="A95" s="194">
        <v>90</v>
      </c>
      <c r="B95" s="102" t="s">
        <v>181</v>
      </c>
      <c r="E95" s="213">
        <f>'1501 Summary'!AD112</f>
        <v>-46651.72</v>
      </c>
      <c r="F95" s="117"/>
      <c r="G95" s="204"/>
      <c r="H95" s="204"/>
      <c r="I95" s="204"/>
      <c r="J95" s="117"/>
      <c r="K95" s="202"/>
      <c r="L95" s="266"/>
      <c r="M95" s="204"/>
      <c r="N95" s="117"/>
      <c r="O95" s="204"/>
      <c r="P95" s="204"/>
      <c r="Q95" s="204"/>
      <c r="R95" s="117"/>
      <c r="S95" s="204"/>
      <c r="T95" s="204"/>
      <c r="U95" s="204"/>
      <c r="V95" s="117"/>
      <c r="W95" s="204"/>
      <c r="X95" s="204"/>
      <c r="Y95" s="204"/>
      <c r="Z95" s="117"/>
      <c r="AA95" s="414"/>
      <c r="AB95" s="414"/>
      <c r="AC95" s="414"/>
      <c r="AD95" s="117"/>
      <c r="AF95" s="204"/>
      <c r="AG95" s="204"/>
      <c r="AH95" s="117"/>
      <c r="AK95" s="407"/>
      <c r="AL95" s="404"/>
    </row>
    <row r="96" spans="1:38" x14ac:dyDescent="0.25">
      <c r="A96" s="194">
        <v>91</v>
      </c>
      <c r="B96" s="102" t="s">
        <v>182</v>
      </c>
      <c r="E96" s="213">
        <f>'1501 Summary'!AD113</f>
        <v>-21028.46</v>
      </c>
      <c r="F96" s="117"/>
      <c r="G96" s="204"/>
      <c r="H96" s="204"/>
      <c r="I96" s="204"/>
      <c r="J96" s="117"/>
      <c r="K96" s="202"/>
      <c r="L96" s="266"/>
      <c r="M96" s="204"/>
      <c r="N96" s="117"/>
      <c r="O96" s="204"/>
      <c r="P96" s="204"/>
      <c r="Q96" s="204"/>
      <c r="R96" s="117"/>
      <c r="S96" s="204"/>
      <c r="T96" s="204"/>
      <c r="U96" s="204"/>
      <c r="V96" s="117"/>
      <c r="W96" s="204"/>
      <c r="X96" s="204"/>
      <c r="Y96" s="204"/>
      <c r="Z96" s="117"/>
      <c r="AA96" s="414"/>
      <c r="AB96" s="414"/>
      <c r="AC96" s="414"/>
      <c r="AD96" s="117"/>
      <c r="AF96" s="204"/>
      <c r="AG96" s="204"/>
      <c r="AH96" s="117"/>
      <c r="AK96" s="407"/>
      <c r="AL96" s="404"/>
    </row>
    <row r="97" spans="1:38" x14ac:dyDescent="0.25">
      <c r="A97" s="194">
        <v>92</v>
      </c>
      <c r="B97" s="102" t="s">
        <v>183</v>
      </c>
      <c r="E97" s="213">
        <f>'1501 Summary'!AD114</f>
        <v>-33921.570000000007</v>
      </c>
      <c r="F97" s="117"/>
      <c r="G97" s="204"/>
      <c r="H97" s="204"/>
      <c r="I97" s="204"/>
      <c r="J97" s="117"/>
      <c r="K97" s="202"/>
      <c r="L97" s="266"/>
      <c r="M97" s="204"/>
      <c r="N97" s="117"/>
      <c r="O97" s="204"/>
      <c r="P97" s="204"/>
      <c r="Q97" s="204"/>
      <c r="R97" s="117"/>
      <c r="S97" s="204"/>
      <c r="T97" s="204"/>
      <c r="U97" s="204"/>
      <c r="V97" s="117"/>
      <c r="W97" s="204"/>
      <c r="X97" s="204"/>
      <c r="Y97" s="204"/>
      <c r="Z97" s="117"/>
      <c r="AA97" s="414"/>
      <c r="AB97" s="414"/>
      <c r="AC97" s="414"/>
      <c r="AD97" s="117"/>
      <c r="AF97" s="204"/>
      <c r="AG97" s="204"/>
      <c r="AH97" s="117"/>
      <c r="AK97" s="407"/>
      <c r="AL97" s="404"/>
    </row>
    <row r="98" spans="1:38" x14ac:dyDescent="0.25">
      <c r="A98" s="194">
        <v>93</v>
      </c>
      <c r="B98" s="31" t="s">
        <v>120</v>
      </c>
      <c r="E98" s="213">
        <f>'1501 Summary'!AD115</f>
        <v>346994.70999999996</v>
      </c>
      <c r="F98" s="117"/>
      <c r="G98" s="204"/>
      <c r="H98" s="204"/>
      <c r="I98" s="204"/>
      <c r="J98" s="117"/>
      <c r="K98" s="202"/>
      <c r="L98" s="266"/>
      <c r="M98" s="204"/>
      <c r="N98" s="117"/>
      <c r="O98" s="204"/>
      <c r="P98" s="204"/>
      <c r="Q98" s="204"/>
      <c r="R98" s="117"/>
      <c r="S98" s="204"/>
      <c r="T98" s="204"/>
      <c r="U98" s="204"/>
      <c r="V98" s="117"/>
      <c r="W98" s="204"/>
      <c r="X98" s="204"/>
      <c r="Y98" s="204"/>
      <c r="Z98" s="117"/>
      <c r="AA98" s="229"/>
      <c r="AB98" s="229"/>
      <c r="AC98" s="229"/>
      <c r="AD98" s="117"/>
      <c r="AF98" s="204"/>
      <c r="AG98" s="204"/>
      <c r="AH98" s="117"/>
      <c r="AK98" s="12"/>
      <c r="AL98" s="404"/>
    </row>
    <row r="99" spans="1:38" x14ac:dyDescent="0.25">
      <c r="A99" s="194">
        <v>94</v>
      </c>
      <c r="B99" s="31" t="s">
        <v>125</v>
      </c>
      <c r="E99" s="213">
        <f>'1501 Summary'!AD116</f>
        <v>808.46999999999991</v>
      </c>
      <c r="F99" s="117"/>
      <c r="G99" s="204"/>
      <c r="H99" s="204"/>
      <c r="I99" s="204"/>
      <c r="J99" s="117"/>
      <c r="K99" s="202"/>
      <c r="L99" s="266"/>
      <c r="M99" s="204"/>
      <c r="N99" s="117"/>
      <c r="O99" s="204"/>
      <c r="P99" s="204"/>
      <c r="Q99" s="204"/>
      <c r="R99" s="117"/>
      <c r="S99" s="204"/>
      <c r="T99" s="204"/>
      <c r="U99" s="204"/>
      <c r="V99" s="117"/>
      <c r="W99" s="204"/>
      <c r="X99" s="204"/>
      <c r="Y99" s="204"/>
      <c r="Z99" s="117"/>
      <c r="AA99" s="229"/>
      <c r="AB99" s="229"/>
      <c r="AC99" s="229"/>
      <c r="AD99" s="117"/>
      <c r="AF99" s="204"/>
      <c r="AG99" s="204"/>
      <c r="AH99" s="117"/>
      <c r="AK99" s="12"/>
      <c r="AL99" s="404"/>
    </row>
    <row r="100" spans="1:38" x14ac:dyDescent="0.25">
      <c r="A100" s="194">
        <v>95</v>
      </c>
      <c r="B100" s="31" t="s">
        <v>126</v>
      </c>
      <c r="E100" s="213">
        <f>'1501 Summary'!AD117</f>
        <v>780</v>
      </c>
      <c r="F100" s="117"/>
      <c r="G100" s="204"/>
      <c r="H100" s="204"/>
      <c r="I100" s="204"/>
      <c r="J100" s="117"/>
      <c r="K100" s="202"/>
      <c r="L100" s="266"/>
      <c r="M100" s="204"/>
      <c r="N100" s="117"/>
      <c r="O100" s="204"/>
      <c r="P100" s="204"/>
      <c r="Q100" s="204"/>
      <c r="R100" s="117"/>
      <c r="S100" s="204"/>
      <c r="T100" s="204"/>
      <c r="U100" s="204"/>
      <c r="V100" s="117"/>
      <c r="W100" s="204"/>
      <c r="X100" s="204"/>
      <c r="Y100" s="204"/>
      <c r="Z100" s="117"/>
      <c r="AA100" s="229"/>
      <c r="AB100" s="229"/>
      <c r="AC100" s="229"/>
      <c r="AD100" s="117"/>
      <c r="AF100" s="204"/>
      <c r="AG100" s="204"/>
      <c r="AH100" s="117"/>
      <c r="AK100" s="12"/>
      <c r="AL100" s="404"/>
    </row>
    <row r="101" spans="1:38" x14ac:dyDescent="0.25">
      <c r="A101" s="194">
        <v>96</v>
      </c>
      <c r="B101" s="31" t="s">
        <v>122</v>
      </c>
      <c r="E101" s="213">
        <f>'1501 Summary'!AD118</f>
        <v>893.96999999999991</v>
      </c>
      <c r="F101" s="117"/>
      <c r="G101" s="204"/>
      <c r="H101" s="204"/>
      <c r="I101" s="204"/>
      <c r="J101" s="117"/>
      <c r="K101" s="202"/>
      <c r="L101" s="266"/>
      <c r="M101" s="204"/>
      <c r="N101" s="117"/>
      <c r="O101" s="204"/>
      <c r="P101" s="204"/>
      <c r="Q101" s="204"/>
      <c r="R101" s="117"/>
      <c r="S101" s="204"/>
      <c r="T101" s="204"/>
      <c r="U101" s="204"/>
      <c r="V101" s="117"/>
      <c r="W101" s="204"/>
      <c r="X101" s="204"/>
      <c r="Y101" s="204"/>
      <c r="Z101" s="117"/>
      <c r="AA101" s="229"/>
      <c r="AB101" s="229"/>
      <c r="AC101" s="229"/>
      <c r="AD101" s="117"/>
      <c r="AF101" s="204"/>
      <c r="AG101" s="204"/>
      <c r="AH101" s="117"/>
      <c r="AK101" s="12"/>
      <c r="AL101" s="404"/>
    </row>
    <row r="102" spans="1:38" x14ac:dyDescent="0.25">
      <c r="A102" s="194">
        <v>97</v>
      </c>
      <c r="B102" s="31" t="s">
        <v>121</v>
      </c>
      <c r="E102" s="213">
        <f>'1501 Summary'!AD119</f>
        <v>1371.67</v>
      </c>
      <c r="F102" s="117"/>
      <c r="G102" s="204"/>
      <c r="H102" s="204"/>
      <c r="I102" s="204"/>
      <c r="J102" s="117"/>
      <c r="K102" s="202"/>
      <c r="L102" s="266"/>
      <c r="M102" s="204"/>
      <c r="N102" s="117"/>
      <c r="O102" s="204"/>
      <c r="P102" s="204"/>
      <c r="Q102" s="204"/>
      <c r="R102" s="117"/>
      <c r="S102" s="204"/>
      <c r="T102" s="204"/>
      <c r="U102" s="204"/>
      <c r="V102" s="117"/>
      <c r="W102" s="204"/>
      <c r="X102" s="204"/>
      <c r="Y102" s="204"/>
      <c r="Z102" s="117"/>
      <c r="AA102" s="229"/>
      <c r="AB102" s="229"/>
      <c r="AC102" s="229"/>
      <c r="AD102" s="117"/>
      <c r="AF102" s="204"/>
      <c r="AG102" s="204"/>
      <c r="AH102" s="117"/>
      <c r="AK102" s="12"/>
      <c r="AL102" s="404"/>
    </row>
    <row r="103" spans="1:38" x14ac:dyDescent="0.25">
      <c r="A103" s="194">
        <v>98</v>
      </c>
      <c r="B103" s="31" t="s">
        <v>124</v>
      </c>
      <c r="E103" s="213">
        <f>'1501 Summary'!AD120</f>
        <v>15526.04</v>
      </c>
      <c r="F103" s="117"/>
      <c r="G103" s="204"/>
      <c r="H103" s="204"/>
      <c r="I103" s="204"/>
      <c r="J103" s="117"/>
      <c r="K103" s="202"/>
      <c r="L103" s="266"/>
      <c r="M103" s="204"/>
      <c r="N103" s="117"/>
      <c r="O103" s="204"/>
      <c r="P103" s="204"/>
      <c r="Q103" s="204"/>
      <c r="R103" s="117"/>
      <c r="S103" s="204"/>
      <c r="T103" s="204"/>
      <c r="U103" s="204"/>
      <c r="V103" s="117"/>
      <c r="W103" s="204"/>
      <c r="X103" s="204"/>
      <c r="Y103" s="204"/>
      <c r="Z103" s="117"/>
      <c r="AA103" s="229"/>
      <c r="AB103" s="229"/>
      <c r="AC103" s="229"/>
      <c r="AD103" s="117"/>
      <c r="AF103" s="204"/>
      <c r="AG103" s="204"/>
      <c r="AH103" s="117"/>
      <c r="AK103" s="12"/>
      <c r="AL103" s="404"/>
    </row>
    <row r="104" spans="1:38" x14ac:dyDescent="0.25">
      <c r="A104" s="194">
        <v>99</v>
      </c>
      <c r="B104" s="31" t="s">
        <v>24</v>
      </c>
      <c r="E104" s="213">
        <f>'1501 Summary'!AD121</f>
        <v>-63.6</v>
      </c>
      <c r="F104" s="117"/>
      <c r="G104" s="204"/>
      <c r="H104" s="204"/>
      <c r="I104" s="204"/>
      <c r="J104" s="117"/>
      <c r="K104" s="202"/>
      <c r="L104" s="266"/>
      <c r="M104" s="204"/>
      <c r="N104" s="117"/>
      <c r="O104" s="204"/>
      <c r="P104" s="204"/>
      <c r="Q104" s="204"/>
      <c r="R104" s="117"/>
      <c r="S104" s="204"/>
      <c r="T104" s="204"/>
      <c r="U104" s="204"/>
      <c r="V104" s="117"/>
      <c r="W104" s="204"/>
      <c r="X104" s="204"/>
      <c r="Y104" s="204"/>
      <c r="Z104" s="117"/>
      <c r="AA104" s="229"/>
      <c r="AB104" s="229"/>
      <c r="AC104" s="229"/>
      <c r="AD104" s="117"/>
      <c r="AF104" s="204"/>
      <c r="AG104" s="204"/>
      <c r="AH104" s="117"/>
      <c r="AK104" s="12"/>
      <c r="AL104" s="404"/>
    </row>
    <row r="105" spans="1:38" x14ac:dyDescent="0.25">
      <c r="A105" s="194">
        <v>100</v>
      </c>
      <c r="B105" s="11" t="s">
        <v>14</v>
      </c>
      <c r="E105" s="204">
        <f>'Revenue Reconcilliation'!Q74</f>
        <v>0</v>
      </c>
      <c r="F105" s="117"/>
      <c r="G105" s="204"/>
      <c r="H105" s="204"/>
      <c r="I105" s="204"/>
      <c r="J105" s="117"/>
      <c r="K105" s="202"/>
      <c r="L105" s="266"/>
      <c r="M105" s="204"/>
      <c r="N105" s="117"/>
      <c r="O105" s="204"/>
      <c r="P105" s="204"/>
      <c r="Q105" s="204"/>
      <c r="R105" s="117"/>
      <c r="S105" s="204"/>
      <c r="T105" s="204"/>
      <c r="U105" s="204"/>
      <c r="V105" s="117"/>
      <c r="W105" s="204"/>
      <c r="X105" s="204"/>
      <c r="Y105" s="204"/>
      <c r="Z105" s="117"/>
      <c r="AA105" s="229"/>
      <c r="AB105" s="229"/>
      <c r="AC105" s="229"/>
      <c r="AD105" s="117"/>
      <c r="AF105" s="204"/>
      <c r="AG105" s="204"/>
      <c r="AH105" s="117"/>
      <c r="AK105" s="12"/>
      <c r="AL105" s="404"/>
    </row>
    <row r="106" spans="1:38" x14ac:dyDescent="0.25">
      <c r="A106" s="194">
        <v>101</v>
      </c>
      <c r="B106" s="11" t="s">
        <v>15</v>
      </c>
      <c r="E106" s="204">
        <f>'Revenue Reconcilliation'!Q75</f>
        <v>0</v>
      </c>
      <c r="F106" s="117"/>
      <c r="G106" s="204"/>
      <c r="H106" s="204"/>
      <c r="I106" s="204"/>
      <c r="J106" s="117"/>
      <c r="K106" s="202"/>
      <c r="L106" s="266"/>
      <c r="M106" s="204"/>
      <c r="N106" s="117"/>
      <c r="O106" s="204"/>
      <c r="P106" s="204"/>
      <c r="Q106" s="204"/>
      <c r="R106" s="117"/>
      <c r="S106" s="204"/>
      <c r="T106" s="204"/>
      <c r="U106" s="204"/>
      <c r="V106" s="117"/>
      <c r="W106" s="204"/>
      <c r="X106" s="204"/>
      <c r="Y106" s="204"/>
      <c r="Z106" s="117"/>
      <c r="AA106" s="229"/>
      <c r="AB106" s="229"/>
      <c r="AC106" s="229"/>
      <c r="AD106" s="117"/>
      <c r="AF106" s="204"/>
      <c r="AG106" s="204"/>
      <c r="AH106" s="117"/>
      <c r="AK106" s="12"/>
      <c r="AL106" s="404"/>
    </row>
    <row r="107" spans="1:38" x14ac:dyDescent="0.25">
      <c r="A107" s="194">
        <v>102</v>
      </c>
      <c r="B107" s="11" t="s">
        <v>16</v>
      </c>
      <c r="E107" s="204">
        <f>'Revenue Reconcilliation'!Q76</f>
        <v>-197881.5</v>
      </c>
      <c r="F107" s="117"/>
      <c r="G107" s="204"/>
      <c r="H107" s="204"/>
      <c r="I107" s="204"/>
      <c r="J107" s="117"/>
      <c r="K107" s="202"/>
      <c r="L107" s="266"/>
      <c r="M107" s="204"/>
      <c r="N107" s="117"/>
      <c r="O107" s="204"/>
      <c r="P107" s="204"/>
      <c r="Q107" s="204"/>
      <c r="R107" s="117"/>
      <c r="S107" s="204"/>
      <c r="T107" s="204"/>
      <c r="U107" s="204"/>
      <c r="V107" s="117"/>
      <c r="W107" s="204"/>
      <c r="X107" s="204"/>
      <c r="Y107" s="204"/>
      <c r="Z107" s="117"/>
      <c r="AA107" s="229"/>
      <c r="AB107" s="229"/>
      <c r="AC107" s="229"/>
      <c r="AD107" s="117"/>
      <c r="AF107" s="204"/>
      <c r="AG107" s="204"/>
      <c r="AH107" s="117"/>
      <c r="AK107" s="12"/>
      <c r="AL107" s="404"/>
    </row>
    <row r="108" spans="1:38" x14ac:dyDescent="0.25">
      <c r="A108" s="194">
        <v>103</v>
      </c>
      <c r="B108" s="11" t="s">
        <v>17</v>
      </c>
      <c r="E108" s="204">
        <f>'Revenue Reconcilliation'!Q77</f>
        <v>-47418.52</v>
      </c>
      <c r="F108" s="117"/>
      <c r="G108" s="204"/>
      <c r="H108" s="204"/>
      <c r="I108" s="204"/>
      <c r="J108" s="117"/>
      <c r="K108" s="202"/>
      <c r="L108" s="266"/>
      <c r="M108" s="204"/>
      <c r="N108" s="117"/>
      <c r="O108" s="204"/>
      <c r="P108" s="204"/>
      <c r="Q108" s="204"/>
      <c r="R108" s="117"/>
      <c r="S108" s="204"/>
      <c r="T108" s="204"/>
      <c r="U108" s="204"/>
      <c r="V108" s="117"/>
      <c r="W108" s="204"/>
      <c r="X108" s="204"/>
      <c r="Y108" s="204"/>
      <c r="Z108" s="117"/>
      <c r="AA108" s="229"/>
      <c r="AB108" s="229"/>
      <c r="AC108" s="229"/>
      <c r="AD108" s="117"/>
      <c r="AF108" s="204"/>
      <c r="AG108" s="204"/>
      <c r="AH108" s="117"/>
      <c r="AK108" s="12"/>
      <c r="AL108" s="404"/>
    </row>
    <row r="109" spans="1:38" x14ac:dyDescent="0.25">
      <c r="A109" s="194">
        <v>104</v>
      </c>
      <c r="B109" s="11" t="s">
        <v>18</v>
      </c>
      <c r="E109" s="204">
        <f>'Revenue Reconcilliation'!Q78</f>
        <v>0</v>
      </c>
      <c r="F109" s="117"/>
      <c r="G109" s="204"/>
      <c r="H109" s="204"/>
      <c r="I109" s="204"/>
      <c r="J109" s="117"/>
      <c r="K109" s="202"/>
      <c r="L109" s="266"/>
      <c r="M109" s="204"/>
      <c r="N109" s="117"/>
      <c r="O109" s="204"/>
      <c r="P109" s="204"/>
      <c r="Q109" s="204"/>
      <c r="R109" s="117"/>
      <c r="S109" s="204"/>
      <c r="T109" s="204"/>
      <c r="U109" s="204"/>
      <c r="V109" s="117"/>
      <c r="W109" s="204"/>
      <c r="X109" s="204"/>
      <c r="Y109" s="204"/>
      <c r="Z109" s="117"/>
      <c r="AA109" s="204"/>
      <c r="AB109" s="204"/>
      <c r="AC109" s="204"/>
      <c r="AD109" s="117"/>
      <c r="AF109" s="204"/>
      <c r="AG109" s="204"/>
      <c r="AH109" s="117"/>
      <c r="AK109" s="25"/>
      <c r="AL109" s="404"/>
    </row>
    <row r="110" spans="1:38" x14ac:dyDescent="0.25">
      <c r="A110" s="194">
        <v>105</v>
      </c>
      <c r="B110" s="12" t="s">
        <v>91</v>
      </c>
      <c r="E110" s="204">
        <f>SUM(E89:E109)</f>
        <v>1266664.6999999997</v>
      </c>
      <c r="F110" s="117"/>
      <c r="G110" s="204"/>
      <c r="H110" s="204"/>
      <c r="I110" s="204"/>
      <c r="J110" s="117"/>
      <c r="K110" s="202"/>
      <c r="L110" s="266"/>
      <c r="M110" s="204"/>
      <c r="N110" s="117"/>
      <c r="O110" s="204"/>
      <c r="P110" s="204"/>
      <c r="Q110" s="204"/>
      <c r="R110" s="117"/>
      <c r="S110" s="204"/>
      <c r="T110" s="204"/>
      <c r="U110" s="204"/>
      <c r="V110" s="117"/>
      <c r="W110" s="204"/>
      <c r="X110" s="204"/>
      <c r="Y110" s="204"/>
      <c r="Z110" s="117"/>
      <c r="AA110" s="204"/>
      <c r="AB110" s="204"/>
      <c r="AC110" s="204"/>
      <c r="AD110" s="117"/>
      <c r="AF110" s="204"/>
      <c r="AG110" s="204"/>
      <c r="AH110" s="117"/>
      <c r="AK110" s="25"/>
      <c r="AL110" s="404"/>
    </row>
    <row r="111" spans="1:38" x14ac:dyDescent="0.25">
      <c r="A111" s="194">
        <v>106</v>
      </c>
      <c r="B111" s="19" t="str">
        <f>"Total "&amp;LEFT(B79,17)&amp;" Revenue"</f>
        <v>Total Rate Schedule 505 Revenue</v>
      </c>
      <c r="E111" s="204"/>
      <c r="F111" s="117"/>
      <c r="G111" s="204"/>
      <c r="H111" s="204"/>
      <c r="I111" s="204"/>
      <c r="J111" s="117"/>
      <c r="K111" s="202"/>
      <c r="L111" s="266"/>
      <c r="M111" s="204"/>
      <c r="N111" s="117"/>
      <c r="O111" s="204"/>
      <c r="P111" s="204"/>
      <c r="Q111" s="204"/>
      <c r="R111" s="117"/>
      <c r="S111" s="204"/>
      <c r="T111" s="204"/>
      <c r="U111" s="204"/>
      <c r="V111" s="117"/>
      <c r="W111" s="204"/>
      <c r="X111" s="204"/>
      <c r="Y111" s="204"/>
      <c r="Z111" s="117"/>
      <c r="AA111" s="204"/>
      <c r="AB111" s="204"/>
      <c r="AC111" s="204"/>
      <c r="AD111" s="117"/>
      <c r="AF111" s="204"/>
      <c r="AG111" s="204"/>
      <c r="AH111" s="117"/>
      <c r="AK111" s="25"/>
      <c r="AL111" s="404"/>
    </row>
    <row r="112" spans="1:38" x14ac:dyDescent="0.25">
      <c r="A112" s="194">
        <v>107</v>
      </c>
      <c r="B112" s="51"/>
      <c r="C112" s="208">
        <f>E112-'Revenue Reconcilliation'!Q82</f>
        <v>0</v>
      </c>
      <c r="D112" s="214" t="s">
        <v>45</v>
      </c>
      <c r="E112" s="215">
        <f>SUM(E84,E86,E110)</f>
        <v>9068971.8000000007</v>
      </c>
      <c r="F112" s="119"/>
      <c r="G112" s="215"/>
      <c r="H112" s="215"/>
      <c r="I112" s="215"/>
      <c r="J112" s="119"/>
      <c r="K112" s="239"/>
      <c r="L112" s="283"/>
      <c r="M112" s="207"/>
      <c r="N112" s="119"/>
      <c r="O112" s="207"/>
      <c r="P112" s="207"/>
      <c r="Q112" s="207"/>
      <c r="R112" s="119"/>
      <c r="S112" s="207"/>
      <c r="T112" s="207"/>
      <c r="U112" s="207"/>
      <c r="V112" s="119"/>
      <c r="W112" s="215"/>
      <c r="X112" s="215"/>
      <c r="Y112" s="215"/>
      <c r="Z112" s="119"/>
      <c r="AA112" s="209"/>
      <c r="AB112" s="209"/>
      <c r="AC112" s="209"/>
      <c r="AD112" s="119"/>
      <c r="AE112" s="239"/>
      <c r="AF112" s="215"/>
      <c r="AG112" s="215"/>
      <c r="AH112" s="119"/>
      <c r="AI112" s="23"/>
      <c r="AJ112" s="23"/>
      <c r="AK112" s="52"/>
      <c r="AL112" s="404"/>
    </row>
    <row r="113" spans="1:38" x14ac:dyDescent="0.25">
      <c r="A113" s="194">
        <v>108</v>
      </c>
      <c r="K113" s="202"/>
      <c r="L113" s="266"/>
      <c r="M113" s="204"/>
      <c r="O113" s="204"/>
      <c r="P113" s="204"/>
      <c r="Q113" s="204"/>
      <c r="S113" s="204"/>
      <c r="T113" s="204"/>
      <c r="U113" s="204"/>
      <c r="AL113" s="404"/>
    </row>
    <row r="114" spans="1:38" x14ac:dyDescent="0.25">
      <c r="A114" s="194">
        <v>109</v>
      </c>
      <c r="B114" s="18" t="s">
        <v>517</v>
      </c>
      <c r="G114" s="264" t="s">
        <v>544</v>
      </c>
      <c r="K114" s="202"/>
      <c r="L114" s="266"/>
      <c r="M114" s="204"/>
      <c r="O114" s="204"/>
      <c r="P114" s="204"/>
      <c r="Q114" s="204"/>
      <c r="S114" s="204"/>
      <c r="T114" s="204"/>
      <c r="U114" s="204"/>
      <c r="W114" s="692" t="s">
        <v>610</v>
      </c>
      <c r="AL114" s="404"/>
    </row>
    <row r="115" spans="1:38" x14ac:dyDescent="0.25">
      <c r="A115" s="194">
        <v>110</v>
      </c>
      <c r="B115" s="12" t="s">
        <v>9</v>
      </c>
      <c r="C115" s="202">
        <f>E115/D115</f>
        <v>893</v>
      </c>
      <c r="D115" s="203">
        <v>125</v>
      </c>
      <c r="E115" s="216">
        <f>'1501 Summary'!AD128</f>
        <v>111625</v>
      </c>
      <c r="F115" s="120"/>
      <c r="G115" s="271">
        <f>-G249-G150</f>
        <v>173</v>
      </c>
      <c r="H115" s="203">
        <f>D115</f>
        <v>125</v>
      </c>
      <c r="I115" s="204">
        <f>H115*G115</f>
        <v>21625</v>
      </c>
      <c r="J115" s="120"/>
      <c r="K115" s="202">
        <f t="shared" ref="K115:K186" si="19">C115+G115</f>
        <v>1066</v>
      </c>
      <c r="L115" s="203">
        <f t="shared" si="7"/>
        <v>125</v>
      </c>
      <c r="M115" s="204">
        <f>L115*K115</f>
        <v>133250</v>
      </c>
      <c r="N115" s="120"/>
      <c r="O115" s="202"/>
      <c r="P115" s="232"/>
      <c r="Q115" s="204"/>
      <c r="R115" s="120"/>
      <c r="S115" s="665">
        <f>'End of Period Calculations'!AB107</f>
        <v>1080</v>
      </c>
      <c r="T115" s="689">
        <f>S115*L115</f>
        <v>135000</v>
      </c>
      <c r="U115" s="688">
        <f>T115-M115</f>
        <v>1750</v>
      </c>
      <c r="V115" s="120"/>
      <c r="W115" s="265"/>
      <c r="X115" s="184"/>
      <c r="Y115" s="184"/>
      <c r="Z115" s="120"/>
      <c r="AA115" s="216"/>
      <c r="AB115" s="216"/>
      <c r="AC115" s="216"/>
      <c r="AD115" s="120"/>
      <c r="AE115" s="665">
        <f>'End of Period Calculations'!AD107</f>
        <v>1092.5581395348836</v>
      </c>
      <c r="AF115" s="689">
        <f>AE115*L115</f>
        <v>136569.76744186046</v>
      </c>
      <c r="AG115" s="761">
        <f>AF115-T115-Y115</f>
        <v>1569.7674418604583</v>
      </c>
      <c r="AH115" s="120"/>
      <c r="AI115" s="698">
        <f>L115</f>
        <v>125</v>
      </c>
      <c r="AJ115" s="689">
        <f>AI115*AE115</f>
        <v>136569.76744186046</v>
      </c>
      <c r="AK115" s="689">
        <f>AJ115-AF115</f>
        <v>0</v>
      </c>
      <c r="AL115" s="404"/>
    </row>
    <row r="116" spans="1:38" x14ac:dyDescent="0.25">
      <c r="A116" s="194">
        <v>111</v>
      </c>
      <c r="B116" s="12" t="s">
        <v>163</v>
      </c>
      <c r="C116" s="202">
        <f t="shared" ref="C116:C118" si="20">E116/D116</f>
        <v>7343669.364968596</v>
      </c>
      <c r="D116" s="205">
        <v>0.14330000000000001</v>
      </c>
      <c r="E116" s="216">
        <f>'1501 Summary'!AD129</f>
        <v>1052347.8199999998</v>
      </c>
      <c r="F116" s="120"/>
      <c r="G116" s="271">
        <f>-G250-G151</f>
        <v>2109805.1639916259</v>
      </c>
      <c r="H116" s="238">
        <f t="shared" ref="H116" si="21">D116</f>
        <v>0.14330000000000001</v>
      </c>
      <c r="I116" s="186">
        <f t="shared" ref="I116" si="22">H116*G116</f>
        <v>302335.08</v>
      </c>
      <c r="J116" s="120"/>
      <c r="K116" s="202">
        <f t="shared" si="19"/>
        <v>9453474.5289602224</v>
      </c>
      <c r="L116" s="266">
        <v>0.16113</v>
      </c>
      <c r="M116" s="204">
        <f t="shared" ref="M116:M118" si="23">L116*K116</f>
        <v>1523238.3508513605</v>
      </c>
      <c r="N116" s="120"/>
      <c r="O116" s="202"/>
      <c r="P116" s="216"/>
      <c r="Q116" s="204"/>
      <c r="R116" s="120"/>
      <c r="S116" s="665">
        <f>'End of Period Calculations'!AA107</f>
        <v>9393316.614548726</v>
      </c>
      <c r="T116" s="689">
        <f>S116*L116</f>
        <v>1513545.1061022361</v>
      </c>
      <c r="U116" s="688">
        <f>T116-M116</f>
        <v>-9693.2447491243947</v>
      </c>
      <c r="V116" s="120"/>
      <c r="W116" s="693">
        <f>-SUM('End of Period Calculations'!X26,'End of Period Calculations'!Z26)</f>
        <v>-267361.96789951145</v>
      </c>
      <c r="X116" s="686">
        <f>L116</f>
        <v>0.16113</v>
      </c>
      <c r="Y116" s="694">
        <f t="shared" ref="Y116:Y118" si="24">W116*X116</f>
        <v>-43080.033887648278</v>
      </c>
      <c r="Z116" s="120"/>
      <c r="AA116" s="665">
        <f>AE116</f>
        <v>9502541.2263458036</v>
      </c>
      <c r="AB116" s="691">
        <v>1.2600000000000001E-3</v>
      </c>
      <c r="AC116" s="689">
        <f>AB116*AA116</f>
        <v>11973.201945195713</v>
      </c>
      <c r="AD116" s="120"/>
      <c r="AE116" s="665">
        <f>'End of Period Calculations'!AA134</f>
        <v>9502541.2263458036</v>
      </c>
      <c r="AF116" s="689">
        <f>AE116*L116</f>
        <v>1531144.4678010992</v>
      </c>
      <c r="AG116" s="761">
        <f>AF116-T116-Y116</f>
        <v>60679.395586511375</v>
      </c>
      <c r="AH116" s="120"/>
      <c r="AI116" s="691">
        <f>'Exh IDM-9 -Revenue Distribution'!F21</f>
        <v>0.18846443857361417</v>
      </c>
      <c r="AJ116" s="689">
        <f>AI116*AE116</f>
        <v>1790891.0972458851</v>
      </c>
      <c r="AK116" s="689">
        <f>AJ116-AF116</f>
        <v>259746.62944478588</v>
      </c>
      <c r="AL116" s="404"/>
    </row>
    <row r="117" spans="1:38" x14ac:dyDescent="0.25">
      <c r="A117" s="194">
        <v>112</v>
      </c>
      <c r="B117" s="12" t="s">
        <v>164</v>
      </c>
      <c r="C117" s="202">
        <f t="shared" si="20"/>
        <v>2835268.1172614717</v>
      </c>
      <c r="D117" s="205">
        <v>0.10983999999999999</v>
      </c>
      <c r="E117" s="216">
        <f>'1501 Summary'!AD130</f>
        <v>311425.85000000003</v>
      </c>
      <c r="F117" s="120"/>
      <c r="G117" s="272">
        <f>-G152-G251</f>
        <v>2640205.0254916246</v>
      </c>
      <c r="H117" s="238">
        <f t="shared" ref="H117:H118" si="25">D117</f>
        <v>0.10983999999999999</v>
      </c>
      <c r="I117" s="186">
        <f t="shared" ref="I117:I118" si="26">H117*G117</f>
        <v>290000.12000000005</v>
      </c>
      <c r="J117" s="120"/>
      <c r="K117" s="202">
        <f t="shared" si="19"/>
        <v>5475473.1427530963</v>
      </c>
      <c r="L117" s="266">
        <v>0.12471</v>
      </c>
      <c r="M117" s="204">
        <f t="shared" si="23"/>
        <v>682846.2556327387</v>
      </c>
      <c r="N117" s="120"/>
      <c r="O117" s="202"/>
      <c r="P117" s="216"/>
      <c r="Q117" s="204"/>
      <c r="R117" s="120"/>
      <c r="S117" s="665">
        <f>'End of Period Calculations'!AA108</f>
        <v>4907613.8275464717</v>
      </c>
      <c r="T117" s="689">
        <f>S117*L117</f>
        <v>612028.52043332055</v>
      </c>
      <c r="U117" s="688">
        <f>T117-M117</f>
        <v>-70817.735199418152</v>
      </c>
      <c r="V117" s="120"/>
      <c r="W117" s="693">
        <f>-SUM('End of Period Calculations'!X27,'End of Period Calculations'!Z27)</f>
        <v>-681100.96504005836</v>
      </c>
      <c r="X117" s="686">
        <f t="shared" ref="X117:X118" si="27">L117</f>
        <v>0.12471</v>
      </c>
      <c r="Y117" s="694">
        <f t="shared" si="24"/>
        <v>-84940.101350145676</v>
      </c>
      <c r="Z117" s="120"/>
      <c r="AA117" s="665">
        <f t="shared" ref="AA117:AA118" si="28">AE117</f>
        <v>4964679.1046109656</v>
      </c>
      <c r="AB117" s="691">
        <v>1.2600000000000001E-3</v>
      </c>
      <c r="AC117" s="689">
        <f t="shared" ref="AC117:AC118" si="29">AB117*AA117</f>
        <v>6255.4956718098165</v>
      </c>
      <c r="AD117" s="120"/>
      <c r="AE117" s="665">
        <f>'End of Period Calculations'!AA135</f>
        <v>4964679.1046109656</v>
      </c>
      <c r="AF117" s="689">
        <f>AE117*L117</f>
        <v>619145.13113603357</v>
      </c>
      <c r="AG117" s="761">
        <f>AF117-T117-Y117</f>
        <v>92056.712052858697</v>
      </c>
      <c r="AH117" s="120"/>
      <c r="AI117" s="691">
        <f>'Exh IDM-9 -Revenue Distribution'!F22</f>
        <v>0.14586607170927465</v>
      </c>
      <c r="AJ117" s="689">
        <f t="shared" ref="AJ117:AJ118" si="30">AI117*AE117</f>
        <v>724178.23828672059</v>
      </c>
      <c r="AK117" s="689">
        <f t="shared" ref="AK117" si="31">AJ117-AF117</f>
        <v>105033.10715068702</v>
      </c>
      <c r="AL117" s="404"/>
    </row>
    <row r="118" spans="1:38" x14ac:dyDescent="0.25">
      <c r="A118" s="194">
        <v>113</v>
      </c>
      <c r="B118" s="54" t="s">
        <v>506</v>
      </c>
      <c r="C118" s="202">
        <f t="shared" si="20"/>
        <v>818695.09043927654</v>
      </c>
      <c r="D118" s="205">
        <v>2.7089999999999999E-2</v>
      </c>
      <c r="E118" s="216">
        <f>'1501 Summary'!AD131</f>
        <v>22178.45</v>
      </c>
      <c r="F118" s="120"/>
      <c r="G118" s="272">
        <f>-G153-G252</f>
        <v>2263075.673680325</v>
      </c>
      <c r="H118" s="238">
        <f t="shared" si="25"/>
        <v>2.7089999999999999E-2</v>
      </c>
      <c r="I118" s="186">
        <f t="shared" si="26"/>
        <v>61306.720000000001</v>
      </c>
      <c r="J118" s="120"/>
      <c r="K118" s="202">
        <f t="shared" si="19"/>
        <v>3081770.7641196018</v>
      </c>
      <c r="L118" s="266">
        <v>3.4639999999999997E-2</v>
      </c>
      <c r="M118" s="207">
        <f t="shared" si="23"/>
        <v>106752.539269103</v>
      </c>
      <c r="N118" s="120"/>
      <c r="O118" s="202"/>
      <c r="P118" s="254"/>
      <c r="Q118" s="207"/>
      <c r="R118" s="120"/>
      <c r="S118" s="665">
        <f>'End of Period Calculations'!AA109</f>
        <v>1204028.6422506776</v>
      </c>
      <c r="T118" s="690">
        <f>S118*L118</f>
        <v>41707.552167563466</v>
      </c>
      <c r="U118" s="687">
        <f>T118-M118</f>
        <v>-65044.987101539533</v>
      </c>
      <c r="V118" s="120"/>
      <c r="W118" s="695">
        <f>-SUM('End of Period Calculations'!X28,'End of Period Calculations'!Z28)</f>
        <v>-1897641.5651531932</v>
      </c>
      <c r="X118" s="686">
        <f t="shared" si="27"/>
        <v>3.4639999999999997E-2</v>
      </c>
      <c r="Y118" s="696">
        <f t="shared" si="24"/>
        <v>-65734.303816906613</v>
      </c>
      <c r="Z118" s="120"/>
      <c r="AA118" s="665">
        <f t="shared" si="28"/>
        <v>1218028.9753001041</v>
      </c>
      <c r="AB118" s="691">
        <v>1.2600000000000001E-3</v>
      </c>
      <c r="AC118" s="690">
        <f t="shared" si="29"/>
        <v>1534.7165088781312</v>
      </c>
      <c r="AD118" s="120"/>
      <c r="AE118" s="665">
        <f>'End of Period Calculations'!AA136</f>
        <v>1218028.9753001041</v>
      </c>
      <c r="AF118" s="690">
        <f>AE118*L118</f>
        <v>42192.5237043956</v>
      </c>
      <c r="AG118" s="758">
        <f t="shared" ref="AG118" si="32">AF118-T118-Y118</f>
        <v>66219.275353738747</v>
      </c>
      <c r="AH118" s="120"/>
      <c r="AI118" s="691">
        <f>'Exh IDM-9 -Revenue Distribution'!F23</f>
        <v>4.0516403849003874E-2</v>
      </c>
      <c r="AJ118" s="689">
        <f t="shared" si="30"/>
        <v>49350.153863047381</v>
      </c>
      <c r="AK118" s="690">
        <f>AJ118-AF118</f>
        <v>7157.6301586517802</v>
      </c>
      <c r="AL118" s="404"/>
    </row>
    <row r="119" spans="1:38" x14ac:dyDescent="0.25">
      <c r="A119" s="194">
        <v>114</v>
      </c>
      <c r="B119" s="12" t="s">
        <v>10</v>
      </c>
      <c r="E119" s="217">
        <f>SUM(E115:E118)</f>
        <v>1497577.1199999999</v>
      </c>
      <c r="F119" s="120"/>
      <c r="G119" s="232"/>
      <c r="H119" s="232"/>
      <c r="I119" s="273"/>
      <c r="J119" s="120"/>
      <c r="K119" s="202"/>
      <c r="L119" s="266"/>
      <c r="M119" s="204">
        <f>SUM(M115:M118)</f>
        <v>2446087.1457532025</v>
      </c>
      <c r="N119" s="120"/>
      <c r="O119" s="232"/>
      <c r="P119" s="216"/>
      <c r="Q119" s="204"/>
      <c r="R119" s="120"/>
      <c r="S119" s="698"/>
      <c r="T119" s="689">
        <f>SUM(T115:T118)</f>
        <v>2302281.17870312</v>
      </c>
      <c r="U119" s="688">
        <f>T119-M119</f>
        <v>-143805.96705008252</v>
      </c>
      <c r="V119" s="120"/>
      <c r="W119" s="697">
        <f>SUM(W116:W118)</f>
        <v>-2846104.4980927631</v>
      </c>
      <c r="X119" s="694"/>
      <c r="Y119" s="694">
        <f>SUM(Y115:Y118)</f>
        <v>-193754.43905470058</v>
      </c>
      <c r="Z119" s="120"/>
      <c r="AA119" s="204"/>
      <c r="AB119" s="204"/>
      <c r="AC119" s="688">
        <f>SUM(AC116:AC118)</f>
        <v>19763.414125883661</v>
      </c>
      <c r="AD119" s="120"/>
      <c r="AF119" s="689">
        <f>SUM(AF115:AF118)</f>
        <v>2329051.8900833889</v>
      </c>
      <c r="AG119" s="689">
        <f>SUM(AG115:AG118)</f>
        <v>220525.15043496928</v>
      </c>
      <c r="AH119" s="120"/>
      <c r="AI119" s="692"/>
      <c r="AJ119" s="761">
        <f>SUM(AJ115:AJ118)</f>
        <v>2700989.2568375133</v>
      </c>
      <c r="AK119" s="761">
        <f>SUM(AK116:AK118)</f>
        <v>371937.3667541247</v>
      </c>
      <c r="AL119" s="404"/>
    </row>
    <row r="120" spans="1:38" x14ac:dyDescent="0.25">
      <c r="A120" s="194">
        <v>115</v>
      </c>
      <c r="K120" s="202"/>
      <c r="L120" s="266"/>
      <c r="M120" s="203"/>
      <c r="O120" s="204"/>
      <c r="P120" s="204"/>
      <c r="Q120" s="204"/>
      <c r="S120" s="204"/>
      <c r="T120" s="204"/>
      <c r="U120" s="204"/>
      <c r="AL120" s="404"/>
    </row>
    <row r="121" spans="1:38" x14ac:dyDescent="0.25">
      <c r="A121" s="194">
        <v>116</v>
      </c>
      <c r="B121" s="12" t="s">
        <v>11</v>
      </c>
      <c r="E121" s="204">
        <f>'1501 Summary'!AD132</f>
        <v>4617515.54</v>
      </c>
      <c r="F121" s="112"/>
      <c r="G121" s="203"/>
      <c r="H121" s="203"/>
      <c r="I121" s="203"/>
      <c r="J121" s="112"/>
      <c r="K121" s="202"/>
      <c r="L121" s="266"/>
      <c r="M121" s="203"/>
      <c r="N121" s="112"/>
      <c r="O121" s="204"/>
      <c r="P121" s="204"/>
      <c r="Q121" s="204"/>
      <c r="R121" s="112"/>
      <c r="S121" s="204"/>
      <c r="T121" s="204"/>
      <c r="U121" s="204"/>
      <c r="V121" s="112"/>
      <c r="W121" s="203"/>
      <c r="X121" s="203"/>
      <c r="Y121" s="203"/>
      <c r="Z121" s="112"/>
      <c r="AD121" s="112"/>
      <c r="AF121" s="203"/>
      <c r="AG121" s="203"/>
      <c r="AH121" s="112"/>
      <c r="AL121" s="404"/>
    </row>
    <row r="122" spans="1:38" x14ac:dyDescent="0.25">
      <c r="A122" s="194">
        <v>117</v>
      </c>
      <c r="E122" s="204"/>
      <c r="K122" s="202"/>
      <c r="L122" s="266"/>
      <c r="M122" s="203"/>
      <c r="O122" s="204"/>
      <c r="P122" s="204"/>
      <c r="Q122" s="204"/>
      <c r="S122" s="204"/>
      <c r="T122" s="204"/>
      <c r="U122" s="204"/>
      <c r="AL122" s="404"/>
    </row>
    <row r="123" spans="1:38" x14ac:dyDescent="0.25">
      <c r="A123" s="194">
        <v>118</v>
      </c>
      <c r="B123" s="12" t="s">
        <v>12</v>
      </c>
      <c r="E123" s="204"/>
      <c r="K123" s="202"/>
      <c r="L123" s="266"/>
      <c r="M123" s="203"/>
      <c r="O123" s="204"/>
      <c r="P123" s="204"/>
      <c r="Q123" s="204"/>
      <c r="S123" s="204"/>
      <c r="T123" s="204"/>
      <c r="U123" s="204"/>
      <c r="AJ123" s="37"/>
      <c r="AL123" s="404"/>
    </row>
    <row r="124" spans="1:38" x14ac:dyDescent="0.25">
      <c r="A124" s="194">
        <v>119</v>
      </c>
      <c r="B124" s="12" t="s">
        <v>484</v>
      </c>
      <c r="E124" s="204">
        <f>'1501 Summary'!AD133</f>
        <v>518628.11</v>
      </c>
      <c r="K124" s="202"/>
      <c r="L124" s="266"/>
      <c r="M124" s="203"/>
      <c r="O124" s="204"/>
      <c r="P124" s="204"/>
      <c r="Q124" s="204"/>
      <c r="S124" s="204"/>
      <c r="T124" s="204"/>
      <c r="U124" s="204"/>
      <c r="AJ124" s="37"/>
      <c r="AL124" s="404"/>
    </row>
    <row r="125" spans="1:38" x14ac:dyDescent="0.25">
      <c r="A125" s="194">
        <v>120</v>
      </c>
      <c r="B125" s="12" t="s">
        <v>115</v>
      </c>
      <c r="E125" s="204">
        <f>'1501 Summary'!AD134</f>
        <v>15781.58</v>
      </c>
      <c r="F125" s="112"/>
      <c r="G125" s="203"/>
      <c r="H125" s="203"/>
      <c r="I125" s="203"/>
      <c r="J125" s="112"/>
      <c r="K125" s="202"/>
      <c r="L125" s="266"/>
      <c r="M125" s="203"/>
      <c r="N125" s="112"/>
      <c r="O125" s="204"/>
      <c r="P125" s="204"/>
      <c r="Q125" s="204"/>
      <c r="R125" s="112"/>
      <c r="S125" s="204"/>
      <c r="T125" s="204"/>
      <c r="U125" s="204"/>
      <c r="V125" s="112"/>
      <c r="W125" s="203"/>
      <c r="X125" s="203"/>
      <c r="Y125" s="203"/>
      <c r="Z125" s="112"/>
      <c r="AD125" s="112"/>
      <c r="AF125" s="203"/>
      <c r="AG125" s="203"/>
      <c r="AH125" s="112"/>
      <c r="AL125" s="404"/>
    </row>
    <row r="126" spans="1:38" x14ac:dyDescent="0.25">
      <c r="A126" s="194">
        <v>121</v>
      </c>
      <c r="B126" s="12" t="s">
        <v>116</v>
      </c>
      <c r="E126" s="204">
        <f>'1501 Summary'!AD135</f>
        <v>53560.69</v>
      </c>
      <c r="F126" s="112"/>
      <c r="G126" s="203"/>
      <c r="H126" s="203"/>
      <c r="I126" s="203"/>
      <c r="J126" s="112"/>
      <c r="K126" s="202"/>
      <c r="L126" s="266"/>
      <c r="M126" s="203"/>
      <c r="N126" s="112"/>
      <c r="O126" s="204"/>
      <c r="P126" s="204"/>
      <c r="Q126" s="204"/>
      <c r="R126" s="112"/>
      <c r="S126" s="204"/>
      <c r="T126" s="204"/>
      <c r="U126" s="204"/>
      <c r="V126" s="112"/>
      <c r="W126" s="203"/>
      <c r="X126" s="203"/>
      <c r="Y126" s="203"/>
      <c r="Z126" s="112"/>
      <c r="AD126" s="112"/>
      <c r="AF126" s="203"/>
      <c r="AG126" s="203"/>
      <c r="AH126" s="112"/>
      <c r="AL126" s="404"/>
    </row>
    <row r="127" spans="1:38" x14ac:dyDescent="0.25">
      <c r="A127" s="194">
        <v>122</v>
      </c>
      <c r="B127" s="12" t="s">
        <v>117</v>
      </c>
      <c r="E127" s="204">
        <f>'1501 Summary'!AD136</f>
        <v>-506821.72</v>
      </c>
      <c r="F127" s="112"/>
      <c r="G127" s="203"/>
      <c r="H127" s="203"/>
      <c r="I127" s="203"/>
      <c r="J127" s="112"/>
      <c r="K127" s="202"/>
      <c r="L127" s="266"/>
      <c r="M127" s="203"/>
      <c r="N127" s="112"/>
      <c r="O127" s="204"/>
      <c r="P127" s="204"/>
      <c r="Q127" s="204"/>
      <c r="R127" s="112"/>
      <c r="S127" s="204"/>
      <c r="T127" s="204"/>
      <c r="U127" s="204"/>
      <c r="V127" s="112"/>
      <c r="W127" s="203"/>
      <c r="X127" s="203"/>
      <c r="Y127" s="203"/>
      <c r="Z127" s="112"/>
      <c r="AD127" s="112"/>
      <c r="AF127" s="203"/>
      <c r="AG127" s="203"/>
      <c r="AH127" s="112"/>
      <c r="AL127" s="404"/>
    </row>
    <row r="128" spans="1:38" x14ac:dyDescent="0.25">
      <c r="A128" s="194">
        <v>123</v>
      </c>
      <c r="B128" s="12" t="s">
        <v>118</v>
      </c>
      <c r="E128" s="204">
        <f>'1501 Summary'!AD137</f>
        <v>72560.12999999999</v>
      </c>
      <c r="F128" s="112"/>
      <c r="G128" s="203"/>
      <c r="H128" s="203"/>
      <c r="I128" s="203"/>
      <c r="J128" s="112"/>
      <c r="K128" s="202"/>
      <c r="L128" s="266"/>
      <c r="M128" s="203"/>
      <c r="N128" s="112"/>
      <c r="O128" s="204"/>
      <c r="P128" s="204"/>
      <c r="Q128" s="204"/>
      <c r="R128" s="112"/>
      <c r="S128" s="204"/>
      <c r="T128" s="204"/>
      <c r="U128" s="204"/>
      <c r="V128" s="112"/>
      <c r="W128" s="203"/>
      <c r="X128" s="203"/>
      <c r="Y128" s="203"/>
      <c r="Z128" s="112"/>
      <c r="AD128" s="112"/>
      <c r="AF128" s="203"/>
      <c r="AG128" s="203"/>
      <c r="AH128" s="112"/>
      <c r="AL128" s="404"/>
    </row>
    <row r="129" spans="1:38" x14ac:dyDescent="0.25">
      <c r="A129" s="194">
        <v>124</v>
      </c>
      <c r="B129" s="12" t="s">
        <v>119</v>
      </c>
      <c r="E129" s="204">
        <f>'1501 Summary'!AD138</f>
        <v>300862.33</v>
      </c>
      <c r="F129" s="112"/>
      <c r="G129" s="203"/>
      <c r="H129" s="203"/>
      <c r="I129" s="203"/>
      <c r="J129" s="112"/>
      <c r="K129" s="202"/>
      <c r="L129" s="266"/>
      <c r="M129" s="203"/>
      <c r="N129" s="112"/>
      <c r="O129" s="204"/>
      <c r="P129" s="204"/>
      <c r="Q129" s="204"/>
      <c r="R129" s="112"/>
      <c r="S129" s="204"/>
      <c r="T129" s="204"/>
      <c r="U129" s="204"/>
      <c r="V129" s="112"/>
      <c r="W129" s="203"/>
      <c r="X129" s="203"/>
      <c r="Y129" s="203"/>
      <c r="Z129" s="112"/>
      <c r="AD129" s="112"/>
      <c r="AF129" s="203"/>
      <c r="AG129" s="203"/>
      <c r="AH129" s="112"/>
      <c r="AL129" s="404"/>
    </row>
    <row r="130" spans="1:38" x14ac:dyDescent="0.25">
      <c r="A130" s="194">
        <v>125</v>
      </c>
      <c r="B130" s="28" t="s">
        <v>181</v>
      </c>
      <c r="E130" s="204">
        <f>'1501 Summary'!AD139</f>
        <v>-32021.25</v>
      </c>
      <c r="F130" s="112"/>
      <c r="G130" s="203"/>
      <c r="H130" s="203"/>
      <c r="I130" s="203"/>
      <c r="J130" s="112"/>
      <c r="K130" s="202"/>
      <c r="L130" s="266"/>
      <c r="M130" s="203"/>
      <c r="N130" s="112"/>
      <c r="O130" s="204"/>
      <c r="P130" s="204"/>
      <c r="Q130" s="204"/>
      <c r="R130" s="112"/>
      <c r="S130" s="204"/>
      <c r="T130" s="204"/>
      <c r="U130" s="204"/>
      <c r="V130" s="112"/>
      <c r="W130" s="203"/>
      <c r="X130" s="203"/>
      <c r="Y130" s="203"/>
      <c r="Z130" s="112"/>
      <c r="AD130" s="112"/>
      <c r="AF130" s="203"/>
      <c r="AG130" s="203"/>
      <c r="AH130" s="112"/>
      <c r="AL130" s="404"/>
    </row>
    <row r="131" spans="1:38" x14ac:dyDescent="0.25">
      <c r="A131" s="194">
        <v>126</v>
      </c>
      <c r="B131" s="28" t="s">
        <v>182</v>
      </c>
      <c r="E131" s="204">
        <f>'1501 Summary'!AD140</f>
        <v>-14411.18</v>
      </c>
      <c r="F131" s="112"/>
      <c r="G131" s="203"/>
      <c r="H131" s="203"/>
      <c r="I131" s="203"/>
      <c r="J131" s="112"/>
      <c r="K131" s="202"/>
      <c r="L131" s="266"/>
      <c r="M131" s="203"/>
      <c r="N131" s="112"/>
      <c r="O131" s="204"/>
      <c r="P131" s="204"/>
      <c r="Q131" s="204"/>
      <c r="R131" s="112"/>
      <c r="S131" s="204"/>
      <c r="T131" s="204"/>
      <c r="U131" s="204"/>
      <c r="V131" s="112"/>
      <c r="W131" s="203"/>
      <c r="X131" s="203"/>
      <c r="Y131" s="203"/>
      <c r="Z131" s="112"/>
      <c r="AD131" s="112"/>
      <c r="AF131" s="203"/>
      <c r="AG131" s="203"/>
      <c r="AH131" s="112"/>
      <c r="AL131" s="404"/>
    </row>
    <row r="132" spans="1:38" x14ac:dyDescent="0.25">
      <c r="A132" s="194">
        <v>127</v>
      </c>
      <c r="B132" s="28" t="s">
        <v>183</v>
      </c>
      <c r="E132" s="204">
        <f>'1501 Summary'!AD141</f>
        <v>-22780.489999999998</v>
      </c>
      <c r="F132" s="112"/>
      <c r="G132" s="203"/>
      <c r="H132" s="203"/>
      <c r="I132" s="203"/>
      <c r="J132" s="112"/>
      <c r="K132" s="202"/>
      <c r="L132" s="266"/>
      <c r="M132" s="203"/>
      <c r="N132" s="112"/>
      <c r="O132" s="204"/>
      <c r="P132" s="204"/>
      <c r="Q132" s="204"/>
      <c r="R132" s="112"/>
      <c r="S132" s="204"/>
      <c r="T132" s="204"/>
      <c r="U132" s="204"/>
      <c r="V132" s="112"/>
      <c r="W132" s="203"/>
      <c r="X132" s="203"/>
      <c r="Y132" s="203"/>
      <c r="Z132" s="112"/>
      <c r="AD132" s="112"/>
      <c r="AF132" s="203"/>
      <c r="AG132" s="203"/>
      <c r="AH132" s="112"/>
      <c r="AL132" s="404"/>
    </row>
    <row r="133" spans="1:38" x14ac:dyDescent="0.25">
      <c r="A133" s="194">
        <v>128</v>
      </c>
      <c r="B133" s="12" t="s">
        <v>120</v>
      </c>
      <c r="E133" s="204">
        <f>'1501 Summary'!AD142</f>
        <v>280112.87</v>
      </c>
      <c r="F133" s="112"/>
      <c r="G133" s="203"/>
      <c r="H133" s="203"/>
      <c r="I133" s="203"/>
      <c r="J133" s="112"/>
      <c r="K133" s="202"/>
      <c r="L133" s="266"/>
      <c r="M133" s="203"/>
      <c r="N133" s="112"/>
      <c r="O133" s="204"/>
      <c r="P133" s="204"/>
      <c r="Q133" s="204"/>
      <c r="R133" s="112"/>
      <c r="S133" s="204"/>
      <c r="T133" s="204"/>
      <c r="U133" s="204"/>
      <c r="V133" s="112"/>
      <c r="W133" s="203"/>
      <c r="X133" s="203"/>
      <c r="Y133" s="203"/>
      <c r="Z133" s="112"/>
      <c r="AD133" s="112"/>
      <c r="AF133" s="203"/>
      <c r="AG133" s="203"/>
      <c r="AH133" s="112"/>
      <c r="AL133" s="404"/>
    </row>
    <row r="134" spans="1:38" x14ac:dyDescent="0.25">
      <c r="A134" s="194">
        <v>129</v>
      </c>
      <c r="B134" s="12" t="s">
        <v>125</v>
      </c>
      <c r="E134" s="204">
        <f>'1501 Summary'!AD143</f>
        <v>3444.3500000000004</v>
      </c>
      <c r="F134" s="112"/>
      <c r="G134" s="203"/>
      <c r="H134" s="203"/>
      <c r="I134" s="203"/>
      <c r="J134" s="112"/>
      <c r="K134" s="202"/>
      <c r="L134" s="266"/>
      <c r="M134" s="203"/>
      <c r="N134" s="112"/>
      <c r="O134" s="204"/>
      <c r="P134" s="204"/>
      <c r="Q134" s="204"/>
      <c r="R134" s="112"/>
      <c r="S134" s="204"/>
      <c r="T134" s="204"/>
      <c r="U134" s="204"/>
      <c r="V134" s="112"/>
      <c r="W134" s="203"/>
      <c r="X134" s="203"/>
      <c r="Y134" s="203"/>
      <c r="Z134" s="112"/>
      <c r="AD134" s="112"/>
      <c r="AF134" s="203"/>
      <c r="AG134" s="203"/>
      <c r="AH134" s="112"/>
      <c r="AL134" s="404"/>
    </row>
    <row r="135" spans="1:38" x14ac:dyDescent="0.25">
      <c r="A135" s="194">
        <v>130</v>
      </c>
      <c r="B135" s="12" t="s">
        <v>124</v>
      </c>
      <c r="E135" s="204">
        <f>'1501 Summary'!AD144</f>
        <v>0</v>
      </c>
      <c r="F135" s="112"/>
      <c r="G135" s="203"/>
      <c r="H135" s="203"/>
      <c r="I135" s="203"/>
      <c r="J135" s="112"/>
      <c r="K135" s="202"/>
      <c r="L135" s="266"/>
      <c r="M135" s="203"/>
      <c r="N135" s="112"/>
      <c r="O135" s="204"/>
      <c r="P135" s="204"/>
      <c r="Q135" s="204"/>
      <c r="R135" s="112"/>
      <c r="S135" s="204"/>
      <c r="T135" s="204"/>
      <c r="U135" s="204"/>
      <c r="V135" s="112"/>
      <c r="W135" s="203"/>
      <c r="X135" s="203"/>
      <c r="Y135" s="203"/>
      <c r="Z135" s="112"/>
      <c r="AD135" s="112"/>
      <c r="AF135" s="203"/>
      <c r="AG135" s="203"/>
      <c r="AH135" s="112"/>
      <c r="AL135" s="404"/>
    </row>
    <row r="136" spans="1:38" x14ac:dyDescent="0.25">
      <c r="A136" s="194">
        <v>131</v>
      </c>
      <c r="B136" s="12" t="s">
        <v>24</v>
      </c>
      <c r="E136" s="204">
        <f>'1501 Summary'!AD145</f>
        <v>0</v>
      </c>
      <c r="F136" s="112"/>
      <c r="G136" s="203"/>
      <c r="H136" s="203"/>
      <c r="I136" s="203"/>
      <c r="J136" s="112"/>
      <c r="K136" s="202"/>
      <c r="L136" s="266"/>
      <c r="M136" s="203"/>
      <c r="N136" s="112"/>
      <c r="O136" s="204"/>
      <c r="P136" s="204"/>
      <c r="Q136" s="204"/>
      <c r="R136" s="112"/>
      <c r="S136" s="204"/>
      <c r="T136" s="204"/>
      <c r="U136" s="204"/>
      <c r="V136" s="112"/>
      <c r="W136" s="203"/>
      <c r="X136" s="203"/>
      <c r="Y136" s="203"/>
      <c r="Z136" s="112"/>
      <c r="AD136" s="112"/>
      <c r="AF136" s="203"/>
      <c r="AG136" s="203"/>
      <c r="AH136" s="112"/>
      <c r="AL136" s="404"/>
    </row>
    <row r="137" spans="1:38" x14ac:dyDescent="0.25">
      <c r="A137" s="194">
        <v>132</v>
      </c>
      <c r="B137" s="12" t="s">
        <v>122</v>
      </c>
      <c r="E137" s="204">
        <f>'1501 Summary'!AD146</f>
        <v>8114.71</v>
      </c>
      <c r="F137" s="112"/>
      <c r="G137" s="203"/>
      <c r="H137" s="203"/>
      <c r="I137" s="203"/>
      <c r="J137" s="112"/>
      <c r="K137" s="202"/>
      <c r="L137" s="266"/>
      <c r="M137" s="203"/>
      <c r="N137" s="112"/>
      <c r="O137" s="204"/>
      <c r="P137" s="204"/>
      <c r="Q137" s="204"/>
      <c r="R137" s="112"/>
      <c r="S137" s="204"/>
      <c r="T137" s="204"/>
      <c r="U137" s="204"/>
      <c r="V137" s="112"/>
      <c r="W137" s="203"/>
      <c r="X137" s="203"/>
      <c r="Y137" s="203"/>
      <c r="Z137" s="112"/>
      <c r="AD137" s="112"/>
      <c r="AF137" s="203"/>
      <c r="AG137" s="203"/>
      <c r="AH137" s="112"/>
      <c r="AL137" s="404"/>
    </row>
    <row r="138" spans="1:38" x14ac:dyDescent="0.25">
      <c r="A138" s="194">
        <v>133</v>
      </c>
      <c r="B138" s="12" t="s">
        <v>123</v>
      </c>
      <c r="E138" s="204">
        <f>'1501 Summary'!AD147</f>
        <v>-15086.62</v>
      </c>
      <c r="F138" s="112"/>
      <c r="G138" s="203"/>
      <c r="H138" s="203"/>
      <c r="I138" s="203"/>
      <c r="J138" s="112"/>
      <c r="K138" s="202"/>
      <c r="L138" s="266"/>
      <c r="M138" s="203"/>
      <c r="N138" s="112"/>
      <c r="O138" s="204"/>
      <c r="P138" s="204"/>
      <c r="Q138" s="204"/>
      <c r="R138" s="112"/>
      <c r="S138" s="204"/>
      <c r="T138" s="204"/>
      <c r="U138" s="204"/>
      <c r="V138" s="112"/>
      <c r="W138" s="203"/>
      <c r="X138" s="203"/>
      <c r="Y138" s="203"/>
      <c r="Z138" s="112"/>
      <c r="AD138" s="112"/>
      <c r="AF138" s="203"/>
      <c r="AG138" s="203"/>
      <c r="AH138" s="112"/>
      <c r="AL138" s="404"/>
    </row>
    <row r="139" spans="1:38" x14ac:dyDescent="0.25">
      <c r="A139" s="194">
        <v>134</v>
      </c>
      <c r="B139" s="11" t="s">
        <v>14</v>
      </c>
      <c r="E139" s="204">
        <f>'Revenue Reconcilliation'!Q94</f>
        <v>0</v>
      </c>
      <c r="F139" s="112"/>
      <c r="G139" s="203"/>
      <c r="H139" s="203"/>
      <c r="I139" s="203"/>
      <c r="J139" s="112"/>
      <c r="K139" s="202"/>
      <c r="L139" s="266"/>
      <c r="M139" s="203"/>
      <c r="N139" s="112"/>
      <c r="O139" s="204"/>
      <c r="P139" s="204"/>
      <c r="Q139" s="204"/>
      <c r="R139" s="112"/>
      <c r="S139" s="204"/>
      <c r="T139" s="204"/>
      <c r="U139" s="204"/>
      <c r="V139" s="112"/>
      <c r="W139" s="203"/>
      <c r="X139" s="203"/>
      <c r="Y139" s="203"/>
      <c r="Z139" s="112"/>
      <c r="AD139" s="112"/>
      <c r="AF139" s="203"/>
      <c r="AG139" s="203"/>
      <c r="AH139" s="112"/>
      <c r="AL139" s="404"/>
    </row>
    <row r="140" spans="1:38" x14ac:dyDescent="0.25">
      <c r="A140" s="194">
        <v>135</v>
      </c>
      <c r="B140" s="11" t="s">
        <v>15</v>
      </c>
      <c r="E140" s="204">
        <f>'Revenue Reconcilliation'!Q95</f>
        <v>0</v>
      </c>
      <c r="F140" s="112"/>
      <c r="G140" s="203"/>
      <c r="H140" s="203"/>
      <c r="I140" s="203"/>
      <c r="J140" s="112"/>
      <c r="K140" s="202"/>
      <c r="L140" s="266"/>
      <c r="M140" s="203"/>
      <c r="N140" s="112"/>
      <c r="O140" s="204"/>
      <c r="P140" s="204"/>
      <c r="Q140" s="204"/>
      <c r="R140" s="112"/>
      <c r="S140" s="204"/>
      <c r="T140" s="204"/>
      <c r="U140" s="204"/>
      <c r="V140" s="112"/>
      <c r="W140" s="203"/>
      <c r="X140" s="203"/>
      <c r="Y140" s="203"/>
      <c r="Z140" s="112"/>
      <c r="AA140" s="204"/>
      <c r="AB140" s="204"/>
      <c r="AC140" s="204"/>
      <c r="AD140" s="112"/>
      <c r="AF140" s="203"/>
      <c r="AG140" s="203"/>
      <c r="AH140" s="112"/>
      <c r="AK140" s="25"/>
      <c r="AL140" s="404"/>
    </row>
    <row r="141" spans="1:38" x14ac:dyDescent="0.25">
      <c r="A141" s="194">
        <v>136</v>
      </c>
      <c r="B141" s="11" t="s">
        <v>16</v>
      </c>
      <c r="E141" s="204">
        <f>'Revenue Reconcilliation'!Q96</f>
        <v>-278715.31999999995</v>
      </c>
      <c r="F141" s="112"/>
      <c r="G141" s="203"/>
      <c r="H141" s="203"/>
      <c r="I141" s="203"/>
      <c r="J141" s="112"/>
      <c r="K141" s="202"/>
      <c r="L141" s="266"/>
      <c r="M141" s="203"/>
      <c r="N141" s="112"/>
      <c r="O141" s="204"/>
      <c r="P141" s="204"/>
      <c r="Q141" s="204"/>
      <c r="R141" s="112"/>
      <c r="S141" s="204"/>
      <c r="T141" s="204"/>
      <c r="U141" s="204"/>
      <c r="V141" s="112"/>
      <c r="W141" s="203"/>
      <c r="X141" s="203"/>
      <c r="Y141" s="203"/>
      <c r="Z141" s="112"/>
      <c r="AA141" s="204"/>
      <c r="AB141" s="204"/>
      <c r="AC141" s="204"/>
      <c r="AD141" s="112"/>
      <c r="AF141" s="203"/>
      <c r="AG141" s="203"/>
      <c r="AH141" s="112"/>
      <c r="AK141" s="25"/>
      <c r="AL141" s="404"/>
    </row>
    <row r="142" spans="1:38" x14ac:dyDescent="0.25">
      <c r="A142" s="194">
        <v>137</v>
      </c>
      <c r="B142" s="11" t="s">
        <v>17</v>
      </c>
      <c r="E142" s="204">
        <f>'Revenue Reconcilliation'!Q97</f>
        <v>616598.78000000014</v>
      </c>
      <c r="F142" s="112"/>
      <c r="G142" s="203"/>
      <c r="H142" s="203"/>
      <c r="I142" s="203"/>
      <c r="J142" s="112"/>
      <c r="K142" s="202"/>
      <c r="L142" s="266"/>
      <c r="M142" s="203"/>
      <c r="N142" s="112"/>
      <c r="O142" s="204"/>
      <c r="P142" s="204"/>
      <c r="Q142" s="204"/>
      <c r="R142" s="112"/>
      <c r="S142" s="204"/>
      <c r="T142" s="204"/>
      <c r="U142" s="204"/>
      <c r="V142" s="112"/>
      <c r="W142" s="203"/>
      <c r="X142" s="203"/>
      <c r="Y142" s="203"/>
      <c r="Z142" s="112"/>
      <c r="AA142" s="204"/>
      <c r="AB142" s="204"/>
      <c r="AC142" s="204"/>
      <c r="AD142" s="112"/>
      <c r="AF142" s="203"/>
      <c r="AG142" s="203"/>
      <c r="AH142" s="112"/>
      <c r="AK142" s="25"/>
      <c r="AL142" s="404"/>
    </row>
    <row r="143" spans="1:38" x14ac:dyDescent="0.25">
      <c r="A143" s="194">
        <v>138</v>
      </c>
      <c r="B143" s="11" t="s">
        <v>18</v>
      </c>
      <c r="E143" s="204">
        <f>'Revenue Reconcilliation'!Q98</f>
        <v>0</v>
      </c>
      <c r="F143" s="112"/>
      <c r="G143" s="203"/>
      <c r="H143" s="203"/>
      <c r="I143" s="203"/>
      <c r="J143" s="112"/>
      <c r="K143" s="202"/>
      <c r="L143" s="266"/>
      <c r="M143" s="203"/>
      <c r="N143" s="112"/>
      <c r="O143" s="204"/>
      <c r="P143" s="204"/>
      <c r="Q143" s="204"/>
      <c r="R143" s="112"/>
      <c r="S143" s="204"/>
      <c r="T143" s="204"/>
      <c r="U143" s="204"/>
      <c r="V143" s="112"/>
      <c r="W143" s="203"/>
      <c r="X143" s="203"/>
      <c r="Y143" s="203"/>
      <c r="Z143" s="112"/>
      <c r="AA143" s="204"/>
      <c r="AB143" s="204"/>
      <c r="AC143" s="204"/>
      <c r="AD143" s="112"/>
      <c r="AF143" s="203"/>
      <c r="AG143" s="203"/>
      <c r="AH143" s="112"/>
      <c r="AK143" s="25"/>
      <c r="AL143" s="404"/>
    </row>
    <row r="144" spans="1:38" x14ac:dyDescent="0.25">
      <c r="A144" s="194">
        <v>139</v>
      </c>
      <c r="B144" s="11" t="s">
        <v>91</v>
      </c>
      <c r="E144" s="206">
        <f>SUM(E124:E143)</f>
        <v>999826.97000000009</v>
      </c>
      <c r="F144" s="112"/>
      <c r="G144" s="203"/>
      <c r="H144" s="203"/>
      <c r="I144" s="203"/>
      <c r="J144" s="112"/>
      <c r="K144" s="202"/>
      <c r="L144" s="266"/>
      <c r="M144" s="203"/>
      <c r="N144" s="112"/>
      <c r="O144" s="204"/>
      <c r="P144" s="204"/>
      <c r="Q144" s="204"/>
      <c r="R144" s="112"/>
      <c r="S144" s="204"/>
      <c r="T144" s="204"/>
      <c r="U144" s="204"/>
      <c r="V144" s="112"/>
      <c r="W144" s="203"/>
      <c r="X144" s="203"/>
      <c r="Y144" s="203"/>
      <c r="Z144" s="112"/>
      <c r="AA144" s="204"/>
      <c r="AB144" s="204"/>
      <c r="AC144" s="204"/>
      <c r="AD144" s="112"/>
      <c r="AF144" s="203"/>
      <c r="AG144" s="203"/>
      <c r="AH144" s="112"/>
      <c r="AK144" s="25"/>
      <c r="AL144" s="404"/>
    </row>
    <row r="145" spans="1:38" x14ac:dyDescent="0.25">
      <c r="A145" s="194">
        <v>140</v>
      </c>
      <c r="B145" s="12" t="s">
        <v>91</v>
      </c>
      <c r="E145" s="218"/>
      <c r="F145" s="121"/>
      <c r="G145" s="229"/>
      <c r="H145" s="229"/>
      <c r="I145" s="229"/>
      <c r="J145" s="121"/>
      <c r="K145" s="202"/>
      <c r="L145" s="266"/>
      <c r="M145" s="203"/>
      <c r="N145" s="121"/>
      <c r="O145" s="204"/>
      <c r="P145" s="410"/>
      <c r="Q145" s="204"/>
      <c r="R145" s="121"/>
      <c r="S145" s="204"/>
      <c r="T145" s="410"/>
      <c r="U145" s="204"/>
      <c r="V145" s="121"/>
      <c r="W145" s="229"/>
      <c r="X145" s="229"/>
      <c r="Y145" s="229"/>
      <c r="Z145" s="121"/>
      <c r="AA145" s="204"/>
      <c r="AB145" s="204"/>
      <c r="AC145" s="204"/>
      <c r="AD145" s="121"/>
      <c r="AE145" s="291"/>
      <c r="AF145" s="229"/>
      <c r="AG145" s="229"/>
      <c r="AH145" s="121"/>
      <c r="AK145" s="25"/>
      <c r="AL145" s="404"/>
    </row>
    <row r="146" spans="1:38" x14ac:dyDescent="0.25">
      <c r="A146" s="194">
        <v>141</v>
      </c>
      <c r="E146" s="204"/>
      <c r="F146" s="117"/>
      <c r="G146" s="204"/>
      <c r="H146" s="204"/>
      <c r="I146" s="204"/>
      <c r="J146" s="117"/>
      <c r="K146" s="202"/>
      <c r="L146" s="266"/>
      <c r="M146" s="203"/>
      <c r="N146" s="117"/>
      <c r="O146" s="204"/>
      <c r="P146" s="204"/>
      <c r="Q146" s="204"/>
      <c r="R146" s="117"/>
      <c r="S146" s="204"/>
      <c r="T146" s="204"/>
      <c r="U146" s="204"/>
      <c r="V146" s="117"/>
      <c r="W146" s="204"/>
      <c r="X146" s="204"/>
      <c r="Y146" s="204"/>
      <c r="Z146" s="117"/>
      <c r="AA146" s="204"/>
      <c r="AB146" s="204"/>
      <c r="AC146" s="204"/>
      <c r="AD146" s="117"/>
      <c r="AF146" s="204"/>
      <c r="AG146" s="204"/>
      <c r="AH146" s="117"/>
      <c r="AK146" s="25"/>
      <c r="AL146" s="404"/>
    </row>
    <row r="147" spans="1:38" x14ac:dyDescent="0.25">
      <c r="A147" s="194">
        <v>142</v>
      </c>
      <c r="B147" s="51" t="s">
        <v>177</v>
      </c>
      <c r="C147" s="208">
        <f>E147-'Revenue Reconcilliation'!Q102</f>
        <v>0</v>
      </c>
      <c r="D147" s="209" t="s">
        <v>45</v>
      </c>
      <c r="E147" s="207">
        <f>SUM(E119,E121,E144)</f>
        <v>7114919.6299999999</v>
      </c>
      <c r="F147" s="115"/>
      <c r="G147" s="208"/>
      <c r="H147" s="208"/>
      <c r="I147" s="208"/>
      <c r="J147" s="115"/>
      <c r="K147" s="239"/>
      <c r="L147" s="283"/>
      <c r="M147" s="208"/>
      <c r="N147" s="115"/>
      <c r="O147" s="207"/>
      <c r="P147" s="207"/>
      <c r="Q147" s="207"/>
      <c r="R147" s="115"/>
      <c r="S147" s="207"/>
      <c r="T147" s="207"/>
      <c r="U147" s="207"/>
      <c r="V147" s="115"/>
      <c r="W147" s="208"/>
      <c r="X147" s="208"/>
      <c r="Y147" s="208"/>
      <c r="Z147" s="115"/>
      <c r="AA147" s="207"/>
      <c r="AB147" s="207"/>
      <c r="AC147" s="207"/>
      <c r="AD147" s="115"/>
      <c r="AE147" s="239"/>
      <c r="AF147" s="208"/>
      <c r="AG147" s="208"/>
      <c r="AH147" s="115"/>
      <c r="AI147" s="33"/>
      <c r="AJ147" s="33"/>
      <c r="AK147" s="30"/>
      <c r="AL147" s="404"/>
    </row>
    <row r="148" spans="1:38" x14ac:dyDescent="0.25">
      <c r="A148" s="194">
        <v>143</v>
      </c>
      <c r="B148" s="179"/>
      <c r="C148" s="187"/>
      <c r="D148" s="185"/>
      <c r="E148" s="186"/>
      <c r="F148" s="181"/>
      <c r="G148" s="184"/>
      <c r="H148" s="184"/>
      <c r="I148" s="184"/>
      <c r="J148" s="181"/>
      <c r="K148" s="275"/>
      <c r="L148" s="284"/>
      <c r="M148" s="184"/>
      <c r="N148" s="181"/>
      <c r="O148" s="186"/>
      <c r="P148" s="186"/>
      <c r="Q148" s="186"/>
      <c r="R148" s="181"/>
      <c r="S148" s="186"/>
      <c r="T148" s="186"/>
      <c r="U148" s="186"/>
      <c r="V148" s="181"/>
      <c r="W148" s="184"/>
      <c r="X148" s="184"/>
      <c r="Y148" s="184"/>
      <c r="Z148" s="181"/>
      <c r="AA148" s="186"/>
      <c r="AB148" s="186"/>
      <c r="AC148" s="186"/>
      <c r="AD148" s="181"/>
      <c r="AE148" s="275"/>
      <c r="AF148" s="184"/>
      <c r="AG148" s="184"/>
      <c r="AH148" s="181"/>
      <c r="AI148" s="189"/>
      <c r="AJ148" s="189"/>
      <c r="AK148" s="180"/>
      <c r="AL148" s="404"/>
    </row>
    <row r="149" spans="1:38" x14ac:dyDescent="0.25">
      <c r="A149" s="194">
        <v>144</v>
      </c>
      <c r="B149" s="18" t="s">
        <v>516</v>
      </c>
      <c r="C149" s="187"/>
      <c r="D149" s="185"/>
      <c r="E149" s="186"/>
      <c r="F149" s="181"/>
      <c r="G149" s="274" t="s">
        <v>543</v>
      </c>
      <c r="H149" s="184"/>
      <c r="I149" s="184"/>
      <c r="J149" s="181"/>
      <c r="K149" s="275"/>
      <c r="L149" s="284"/>
      <c r="M149" s="184"/>
      <c r="N149" s="181"/>
      <c r="O149" s="186"/>
      <c r="P149" s="186"/>
      <c r="Q149" s="186"/>
      <c r="R149" s="181"/>
      <c r="S149" s="186"/>
      <c r="T149" s="186"/>
      <c r="U149" s="186"/>
      <c r="V149" s="181"/>
      <c r="W149" s="184"/>
      <c r="X149" s="184"/>
      <c r="Y149" s="184"/>
      <c r="Z149" s="181"/>
      <c r="AA149" s="186"/>
      <c r="AB149" s="186"/>
      <c r="AC149" s="186"/>
      <c r="AD149" s="181"/>
      <c r="AE149" s="275"/>
      <c r="AF149" s="184"/>
      <c r="AG149" s="184"/>
      <c r="AH149" s="181"/>
      <c r="AI149" s="189"/>
      <c r="AJ149" s="189"/>
      <c r="AK149" s="180"/>
      <c r="AL149" s="404"/>
    </row>
    <row r="150" spans="1:38" x14ac:dyDescent="0.25">
      <c r="A150" s="194">
        <v>145</v>
      </c>
      <c r="B150" s="12" t="s">
        <v>9</v>
      </c>
      <c r="C150" s="219">
        <f>E150/D150</f>
        <v>159</v>
      </c>
      <c r="D150" s="203">
        <v>125</v>
      </c>
      <c r="E150" s="186">
        <f>'1501 Summary'!AD154</f>
        <v>19875</v>
      </c>
      <c r="F150" s="181"/>
      <c r="G150" s="265">
        <f>-C150</f>
        <v>-159</v>
      </c>
      <c r="H150" s="203">
        <f>D150</f>
        <v>125</v>
      </c>
      <c r="I150" s="204">
        <f>H150*G150</f>
        <v>-19875</v>
      </c>
      <c r="J150" s="181"/>
      <c r="K150" s="202">
        <f t="shared" ref="K150:K153" si="33">C150+G150</f>
        <v>0</v>
      </c>
      <c r="L150" s="203">
        <f t="shared" ref="L150" si="34">D150</f>
        <v>125</v>
      </c>
      <c r="M150" s="204">
        <f>L150*K150</f>
        <v>0</v>
      </c>
      <c r="N150" s="181"/>
      <c r="O150" s="186"/>
      <c r="P150" s="186"/>
      <c r="Q150" s="186"/>
      <c r="R150" s="181"/>
      <c r="S150" s="186"/>
      <c r="T150" s="186"/>
      <c r="U150" s="186"/>
      <c r="V150" s="181"/>
      <c r="W150" s="184"/>
      <c r="X150" s="184"/>
      <c r="Y150" s="184"/>
      <c r="Z150" s="181"/>
      <c r="AA150" s="186"/>
      <c r="AB150" s="186"/>
      <c r="AC150" s="186"/>
      <c r="AD150" s="181"/>
      <c r="AE150" s="275"/>
      <c r="AF150" s="184"/>
      <c r="AG150" s="184"/>
      <c r="AH150" s="181"/>
      <c r="AI150" s="189"/>
      <c r="AJ150" s="189"/>
      <c r="AK150" s="180"/>
      <c r="AL150" s="404"/>
    </row>
    <row r="151" spans="1:38" x14ac:dyDescent="0.25">
      <c r="A151" s="194">
        <v>146</v>
      </c>
      <c r="B151" s="12" t="s">
        <v>163</v>
      </c>
      <c r="C151" s="219">
        <f t="shared" ref="C151:C153" si="35">E151/D151</f>
        <v>1842443.1960921143</v>
      </c>
      <c r="D151" s="205">
        <v>0.14330000000000001</v>
      </c>
      <c r="E151" s="186">
        <f>'1501 Summary'!AD155</f>
        <v>264022.11</v>
      </c>
      <c r="F151" s="117"/>
      <c r="G151" s="265">
        <f>-C151</f>
        <v>-1842443.1960921143</v>
      </c>
      <c r="H151" s="203">
        <f t="shared" ref="H151" si="36">D151</f>
        <v>0.14330000000000001</v>
      </c>
      <c r="I151" s="186">
        <f t="shared" ref="I151" si="37">H151*G151</f>
        <v>-264022.11</v>
      </c>
      <c r="J151" s="117"/>
      <c r="K151" s="202">
        <f t="shared" si="33"/>
        <v>0</v>
      </c>
      <c r="L151" s="266">
        <v>0.16113</v>
      </c>
      <c r="M151" s="204">
        <f t="shared" ref="M151:M153" si="38">L151*K151</f>
        <v>0</v>
      </c>
      <c r="N151" s="117"/>
      <c r="O151" s="204"/>
      <c r="P151" s="204"/>
      <c r="Q151" s="204"/>
      <c r="R151" s="117"/>
      <c r="S151" s="204"/>
      <c r="T151" s="204"/>
      <c r="U151" s="204"/>
      <c r="V151" s="117"/>
      <c r="W151" s="204"/>
      <c r="X151" s="204"/>
      <c r="Y151" s="204"/>
      <c r="Z151" s="117"/>
      <c r="AA151" s="204"/>
      <c r="AB151" s="204"/>
      <c r="AC151" s="204"/>
      <c r="AD151" s="117"/>
      <c r="AF151" s="204"/>
      <c r="AG151" s="204"/>
      <c r="AH151" s="117"/>
      <c r="AK151" s="25"/>
      <c r="AL151" s="404"/>
    </row>
    <row r="152" spans="1:38" x14ac:dyDescent="0.25">
      <c r="A152" s="194">
        <v>147</v>
      </c>
      <c r="B152" s="12" t="s">
        <v>164</v>
      </c>
      <c r="C152" s="219">
        <f t="shared" si="35"/>
        <v>1959104.0604515662</v>
      </c>
      <c r="D152" s="205">
        <v>0.10983999999999999</v>
      </c>
      <c r="E152" s="186">
        <f>'1501 Summary'!AD156</f>
        <v>215187.99000000002</v>
      </c>
      <c r="F152" s="181"/>
      <c r="G152" s="265">
        <f t="shared" ref="G152:G153" si="39">-C152</f>
        <v>-1959104.0604515662</v>
      </c>
      <c r="H152" s="203">
        <f t="shared" ref="H152:H153" si="40">D152</f>
        <v>0.10983999999999999</v>
      </c>
      <c r="I152" s="186">
        <f t="shared" ref="I152:I153" si="41">H152*G152</f>
        <v>-215187.99000000002</v>
      </c>
      <c r="J152" s="181"/>
      <c r="K152" s="202">
        <f t="shared" si="33"/>
        <v>0</v>
      </c>
      <c r="L152" s="266">
        <v>0.12471</v>
      </c>
      <c r="M152" s="204">
        <f t="shared" si="38"/>
        <v>0</v>
      </c>
      <c r="N152" s="181"/>
      <c r="O152" s="186"/>
      <c r="P152" s="186"/>
      <c r="Q152" s="186"/>
      <c r="R152" s="181"/>
      <c r="S152" s="186"/>
      <c r="T152" s="186"/>
      <c r="U152" s="186"/>
      <c r="V152" s="181"/>
      <c r="W152" s="184"/>
      <c r="X152" s="184"/>
      <c r="Y152" s="184"/>
      <c r="Z152" s="181"/>
      <c r="AA152" s="186"/>
      <c r="AB152" s="186"/>
      <c r="AC152" s="186"/>
      <c r="AD152" s="181"/>
      <c r="AE152" s="275"/>
      <c r="AF152" s="184"/>
      <c r="AG152" s="184"/>
      <c r="AH152" s="181"/>
      <c r="AI152" s="189"/>
      <c r="AJ152" s="189"/>
      <c r="AK152" s="180"/>
      <c r="AL152" s="404"/>
    </row>
    <row r="153" spans="1:38" x14ac:dyDescent="0.25">
      <c r="A153" s="194">
        <v>148</v>
      </c>
      <c r="B153" s="54" t="s">
        <v>506</v>
      </c>
      <c r="C153" s="219">
        <f t="shared" si="35"/>
        <v>365434.10852713173</v>
      </c>
      <c r="D153" s="205">
        <v>2.7089999999999999E-2</v>
      </c>
      <c r="E153" s="207">
        <f>'1501 Summary'!AD157</f>
        <v>9899.6099999999988</v>
      </c>
      <c r="F153" s="181"/>
      <c r="G153" s="265">
        <f t="shared" si="39"/>
        <v>-365434.10852713173</v>
      </c>
      <c r="H153" s="203">
        <f t="shared" si="40"/>
        <v>2.7089999999999999E-2</v>
      </c>
      <c r="I153" s="186">
        <f t="shared" si="41"/>
        <v>-9899.6099999999988</v>
      </c>
      <c r="J153" s="181"/>
      <c r="K153" s="202">
        <f t="shared" si="33"/>
        <v>0</v>
      </c>
      <c r="L153" s="266">
        <v>3.4639999999999997E-2</v>
      </c>
      <c r="M153" s="207">
        <f t="shared" si="38"/>
        <v>0</v>
      </c>
      <c r="N153" s="181"/>
      <c r="O153" s="186"/>
      <c r="P153" s="186"/>
      <c r="Q153" s="186"/>
      <c r="R153" s="181"/>
      <c r="S153" s="186"/>
      <c r="T153" s="186"/>
      <c r="U153" s="186"/>
      <c r="V153" s="181"/>
      <c r="W153" s="184"/>
      <c r="X153" s="184"/>
      <c r="Y153" s="184"/>
      <c r="Z153" s="181"/>
      <c r="AA153" s="186"/>
      <c r="AB153" s="186"/>
      <c r="AC153" s="186"/>
      <c r="AD153" s="181"/>
      <c r="AE153" s="275"/>
      <c r="AF153" s="184"/>
      <c r="AG153" s="184"/>
      <c r="AH153" s="181"/>
      <c r="AI153" s="189"/>
      <c r="AJ153" s="189"/>
      <c r="AK153" s="180"/>
      <c r="AL153" s="404"/>
    </row>
    <row r="154" spans="1:38" x14ac:dyDescent="0.25">
      <c r="A154" s="194">
        <v>149</v>
      </c>
      <c r="B154" s="12" t="s">
        <v>10</v>
      </c>
      <c r="C154" s="187"/>
      <c r="D154" s="185"/>
      <c r="E154" s="186">
        <f>SUM(E150:E153)</f>
        <v>508984.70999999996</v>
      </c>
      <c r="F154" s="181"/>
      <c r="G154" s="184"/>
      <c r="H154" s="184"/>
      <c r="I154" s="184"/>
      <c r="J154" s="181"/>
      <c r="K154" s="202"/>
      <c r="L154" s="266"/>
      <c r="M154" s="204">
        <f>SUM(M150:M153)</f>
        <v>0</v>
      </c>
      <c r="N154" s="181"/>
      <c r="O154" s="186"/>
      <c r="P154" s="186"/>
      <c r="Q154" s="186"/>
      <c r="R154" s="181"/>
      <c r="S154" s="186"/>
      <c r="T154" s="186"/>
      <c r="U154" s="186"/>
      <c r="V154" s="181"/>
      <c r="W154" s="184"/>
      <c r="X154" s="184"/>
      <c r="Y154" s="184"/>
      <c r="Z154" s="181"/>
      <c r="AA154" s="186"/>
      <c r="AB154" s="186"/>
      <c r="AC154" s="186"/>
      <c r="AD154" s="181"/>
      <c r="AE154" s="275"/>
      <c r="AF154" s="184"/>
      <c r="AG154" s="184"/>
      <c r="AH154" s="181"/>
      <c r="AI154" s="189"/>
      <c r="AJ154" s="189"/>
      <c r="AK154" s="180"/>
      <c r="AL154" s="404"/>
    </row>
    <row r="155" spans="1:38" x14ac:dyDescent="0.25">
      <c r="A155" s="194">
        <v>150</v>
      </c>
      <c r="C155" s="187"/>
      <c r="D155" s="185"/>
      <c r="E155" s="186"/>
      <c r="F155" s="181"/>
      <c r="G155" s="184"/>
      <c r="H155" s="184"/>
      <c r="I155" s="184"/>
      <c r="J155" s="181"/>
      <c r="K155" s="275"/>
      <c r="L155" s="284"/>
      <c r="M155" s="184"/>
      <c r="N155" s="181"/>
      <c r="O155" s="186"/>
      <c r="P155" s="186"/>
      <c r="Q155" s="186"/>
      <c r="R155" s="181"/>
      <c r="S155" s="186"/>
      <c r="T155" s="186"/>
      <c r="U155" s="186"/>
      <c r="V155" s="181"/>
      <c r="W155" s="184"/>
      <c r="X155" s="184"/>
      <c r="Y155" s="184"/>
      <c r="Z155" s="181"/>
      <c r="AA155" s="186"/>
      <c r="AB155" s="186"/>
      <c r="AC155" s="186"/>
      <c r="AD155" s="181"/>
      <c r="AE155" s="275"/>
      <c r="AF155" s="184"/>
      <c r="AG155" s="184"/>
      <c r="AH155" s="181"/>
      <c r="AI155" s="189"/>
      <c r="AJ155" s="189"/>
      <c r="AK155" s="180"/>
      <c r="AL155" s="404"/>
    </row>
    <row r="156" spans="1:38" x14ac:dyDescent="0.25">
      <c r="A156" s="194">
        <v>151</v>
      </c>
      <c r="B156" s="12" t="s">
        <v>11</v>
      </c>
      <c r="E156" s="204">
        <f>'1501 Summary'!AD158</f>
        <v>1749542.2000000002</v>
      </c>
      <c r="F156" s="117"/>
      <c r="G156" s="204"/>
      <c r="H156" s="204"/>
      <c r="I156" s="204"/>
      <c r="J156" s="117"/>
      <c r="K156" s="202"/>
      <c r="L156" s="266"/>
      <c r="M156" s="203"/>
      <c r="N156" s="117"/>
      <c r="O156" s="204"/>
      <c r="P156" s="204"/>
      <c r="Q156" s="204"/>
      <c r="R156" s="117"/>
      <c r="S156" s="204"/>
      <c r="T156" s="204"/>
      <c r="U156" s="204"/>
      <c r="V156" s="117"/>
      <c r="W156" s="204"/>
      <c r="X156" s="204"/>
      <c r="Y156" s="204"/>
      <c r="Z156" s="117"/>
      <c r="AA156" s="204"/>
      <c r="AB156" s="204"/>
      <c r="AC156" s="204"/>
      <c r="AD156" s="117"/>
      <c r="AF156" s="204"/>
      <c r="AG156" s="204"/>
      <c r="AH156" s="117"/>
      <c r="AK156" s="25"/>
      <c r="AL156" s="404"/>
    </row>
    <row r="157" spans="1:38" x14ac:dyDescent="0.25">
      <c r="A157" s="194">
        <v>152</v>
      </c>
      <c r="C157" s="187"/>
      <c r="D157" s="185"/>
      <c r="E157" s="186"/>
      <c r="F157" s="181"/>
      <c r="G157" s="184"/>
      <c r="H157" s="184"/>
      <c r="I157" s="184"/>
      <c r="J157" s="181"/>
      <c r="K157" s="275"/>
      <c r="L157" s="284"/>
      <c r="M157" s="184"/>
      <c r="N157" s="181"/>
      <c r="O157" s="186"/>
      <c r="P157" s="186"/>
      <c r="Q157" s="186"/>
      <c r="R157" s="181"/>
      <c r="S157" s="186"/>
      <c r="T157" s="186"/>
      <c r="U157" s="186"/>
      <c r="V157" s="181"/>
      <c r="W157" s="184"/>
      <c r="X157" s="184"/>
      <c r="Y157" s="184"/>
      <c r="Z157" s="181"/>
      <c r="AA157" s="186"/>
      <c r="AB157" s="186"/>
      <c r="AC157" s="186"/>
      <c r="AD157" s="181"/>
      <c r="AE157" s="275"/>
      <c r="AF157" s="184"/>
      <c r="AG157" s="184"/>
      <c r="AH157" s="181"/>
      <c r="AI157" s="189"/>
      <c r="AJ157" s="189"/>
      <c r="AK157" s="180"/>
      <c r="AL157" s="404"/>
    </row>
    <row r="158" spans="1:38" x14ac:dyDescent="0.25">
      <c r="A158" s="194">
        <v>153</v>
      </c>
      <c r="B158" s="12" t="s">
        <v>12</v>
      </c>
      <c r="C158" s="187"/>
      <c r="D158" s="185"/>
      <c r="E158" s="186"/>
      <c r="F158" s="181"/>
      <c r="G158" s="184"/>
      <c r="H158" s="184"/>
      <c r="I158" s="184"/>
      <c r="J158" s="181"/>
      <c r="K158" s="275"/>
      <c r="L158" s="284"/>
      <c r="M158" s="184"/>
      <c r="N158" s="181"/>
      <c r="O158" s="186"/>
      <c r="P158" s="186"/>
      <c r="Q158" s="186"/>
      <c r="R158" s="181"/>
      <c r="S158" s="186"/>
      <c r="T158" s="186"/>
      <c r="U158" s="186"/>
      <c r="V158" s="181"/>
      <c r="W158" s="184"/>
      <c r="X158" s="184"/>
      <c r="Y158" s="184"/>
      <c r="Z158" s="181"/>
      <c r="AA158" s="186"/>
      <c r="AB158" s="186"/>
      <c r="AC158" s="186"/>
      <c r="AD158" s="181"/>
      <c r="AE158" s="275"/>
      <c r="AF158" s="184"/>
      <c r="AG158" s="184"/>
      <c r="AH158" s="181"/>
      <c r="AI158" s="189"/>
      <c r="AJ158" s="189"/>
      <c r="AK158" s="180"/>
      <c r="AL158" s="404"/>
    </row>
    <row r="159" spans="1:38" x14ac:dyDescent="0.25">
      <c r="A159" s="194">
        <v>154</v>
      </c>
      <c r="B159" s="12" t="s">
        <v>484</v>
      </c>
      <c r="C159" s="187"/>
      <c r="D159" s="185"/>
      <c r="E159" s="186">
        <f>'1501 Summary'!AD159</f>
        <v>258358.53</v>
      </c>
      <c r="F159" s="181"/>
      <c r="G159" s="184"/>
      <c r="H159" s="184"/>
      <c r="I159" s="184"/>
      <c r="J159" s="181"/>
      <c r="K159" s="275"/>
      <c r="L159" s="284"/>
      <c r="M159" s="184"/>
      <c r="N159" s="181"/>
      <c r="O159" s="186"/>
      <c r="P159" s="186"/>
      <c r="Q159" s="186"/>
      <c r="R159" s="181"/>
      <c r="S159" s="186"/>
      <c r="T159" s="186"/>
      <c r="U159" s="186"/>
      <c r="V159" s="181"/>
      <c r="W159" s="184"/>
      <c r="X159" s="184"/>
      <c r="Y159" s="184"/>
      <c r="Z159" s="181"/>
      <c r="AA159" s="186"/>
      <c r="AB159" s="186"/>
      <c r="AC159" s="186"/>
      <c r="AD159" s="181"/>
      <c r="AE159" s="275"/>
      <c r="AF159" s="184"/>
      <c r="AG159" s="184"/>
      <c r="AH159" s="181"/>
      <c r="AI159" s="189"/>
      <c r="AJ159" s="189"/>
      <c r="AK159" s="180"/>
      <c r="AL159" s="404"/>
    </row>
    <row r="160" spans="1:38" x14ac:dyDescent="0.25">
      <c r="A160" s="194">
        <v>155</v>
      </c>
      <c r="B160" s="12" t="s">
        <v>115</v>
      </c>
      <c r="E160" s="186">
        <f>'1501 Summary'!AD160</f>
        <v>5981.64</v>
      </c>
      <c r="F160" s="117"/>
      <c r="G160" s="204"/>
      <c r="H160" s="204"/>
      <c r="I160" s="204"/>
      <c r="J160" s="117"/>
      <c r="K160" s="202"/>
      <c r="L160" s="266"/>
      <c r="M160" s="203"/>
      <c r="N160" s="117"/>
      <c r="O160" s="204"/>
      <c r="P160" s="204"/>
      <c r="Q160" s="204"/>
      <c r="R160" s="117"/>
      <c r="S160" s="204"/>
      <c r="T160" s="204"/>
      <c r="U160" s="204"/>
      <c r="V160" s="117"/>
      <c r="W160" s="204"/>
      <c r="X160" s="204"/>
      <c r="Y160" s="204"/>
      <c r="Z160" s="117"/>
      <c r="AA160" s="204"/>
      <c r="AB160" s="204"/>
      <c r="AC160" s="204"/>
      <c r="AD160" s="117"/>
      <c r="AF160" s="204"/>
      <c r="AG160" s="204"/>
      <c r="AH160" s="117"/>
      <c r="AK160" s="25"/>
      <c r="AL160" s="404"/>
    </row>
    <row r="161" spans="1:38" x14ac:dyDescent="0.25">
      <c r="A161" s="194">
        <v>156</v>
      </c>
      <c r="B161" s="12" t="s">
        <v>116</v>
      </c>
      <c r="C161" s="187"/>
      <c r="D161" s="185"/>
      <c r="E161" s="186">
        <f>'1501 Summary'!AD161</f>
        <v>20284.32</v>
      </c>
      <c r="F161" s="181"/>
      <c r="G161" s="184"/>
      <c r="H161" s="184"/>
      <c r="I161" s="184"/>
      <c r="J161" s="181"/>
      <c r="K161" s="275"/>
      <c r="L161" s="284"/>
      <c r="M161" s="184"/>
      <c r="N161" s="181"/>
      <c r="O161" s="186"/>
      <c r="P161" s="186"/>
      <c r="Q161" s="186"/>
      <c r="R161" s="181"/>
      <c r="S161" s="186"/>
      <c r="T161" s="186"/>
      <c r="U161" s="186"/>
      <c r="V161" s="181"/>
      <c r="W161" s="184"/>
      <c r="X161" s="184"/>
      <c r="Y161" s="184"/>
      <c r="Z161" s="181"/>
      <c r="AA161" s="186"/>
      <c r="AB161" s="186"/>
      <c r="AC161" s="186"/>
      <c r="AD161" s="181"/>
      <c r="AE161" s="275"/>
      <c r="AF161" s="184"/>
      <c r="AG161" s="184"/>
      <c r="AH161" s="181"/>
      <c r="AI161" s="189"/>
      <c r="AJ161" s="189"/>
      <c r="AK161" s="180"/>
      <c r="AL161" s="404"/>
    </row>
    <row r="162" spans="1:38" x14ac:dyDescent="0.25">
      <c r="A162" s="194">
        <v>157</v>
      </c>
      <c r="B162" s="12" t="s">
        <v>117</v>
      </c>
      <c r="C162" s="187"/>
      <c r="D162" s="185"/>
      <c r="E162" s="186">
        <f>'1501 Summary'!AD162</f>
        <v>-192352.21999999997</v>
      </c>
      <c r="F162" s="181"/>
      <c r="G162" s="184"/>
      <c r="H162" s="184"/>
      <c r="I162" s="184"/>
      <c r="J162" s="181"/>
      <c r="K162" s="275"/>
      <c r="L162" s="284"/>
      <c r="M162" s="184"/>
      <c r="N162" s="181"/>
      <c r="O162" s="186"/>
      <c r="P162" s="186"/>
      <c r="Q162" s="186"/>
      <c r="R162" s="181"/>
      <c r="S162" s="186"/>
      <c r="T162" s="186"/>
      <c r="U162" s="186"/>
      <c r="V162" s="181"/>
      <c r="W162" s="184"/>
      <c r="X162" s="184"/>
      <c r="Y162" s="184"/>
      <c r="Z162" s="181"/>
      <c r="AA162" s="186"/>
      <c r="AB162" s="186"/>
      <c r="AC162" s="186"/>
      <c r="AD162" s="181"/>
      <c r="AE162" s="275"/>
      <c r="AF162" s="184"/>
      <c r="AG162" s="184"/>
      <c r="AH162" s="181"/>
      <c r="AI162" s="189"/>
      <c r="AJ162" s="189"/>
      <c r="AK162" s="180"/>
      <c r="AL162" s="404"/>
    </row>
    <row r="163" spans="1:38" x14ac:dyDescent="0.25">
      <c r="A163" s="194">
        <v>158</v>
      </c>
      <c r="B163" s="12" t="s">
        <v>118</v>
      </c>
      <c r="C163" s="187"/>
      <c r="D163" s="185"/>
      <c r="E163" s="186">
        <f>'1501 Summary'!AD163</f>
        <v>27572.06</v>
      </c>
      <c r="F163" s="181"/>
      <c r="G163" s="184"/>
      <c r="H163" s="184"/>
      <c r="I163" s="184"/>
      <c r="J163" s="181"/>
      <c r="K163" s="275"/>
      <c r="L163" s="284"/>
      <c r="M163" s="184"/>
      <c r="N163" s="181"/>
      <c r="O163" s="186"/>
      <c r="P163" s="186"/>
      <c r="Q163" s="186"/>
      <c r="R163" s="181"/>
      <c r="S163" s="186"/>
      <c r="T163" s="186"/>
      <c r="U163" s="186"/>
      <c r="V163" s="181"/>
      <c r="W163" s="184"/>
      <c r="X163" s="184"/>
      <c r="Y163" s="184"/>
      <c r="Z163" s="181"/>
      <c r="AA163" s="186"/>
      <c r="AB163" s="186"/>
      <c r="AC163" s="186"/>
      <c r="AD163" s="181"/>
      <c r="AE163" s="275"/>
      <c r="AF163" s="184"/>
      <c r="AG163" s="184"/>
      <c r="AH163" s="181"/>
      <c r="AI163" s="189"/>
      <c r="AJ163" s="189"/>
      <c r="AK163" s="180"/>
      <c r="AL163" s="404"/>
    </row>
    <row r="164" spans="1:38" x14ac:dyDescent="0.25">
      <c r="A164" s="194">
        <v>159</v>
      </c>
      <c r="B164" s="12" t="s">
        <v>119</v>
      </c>
      <c r="E164" s="186">
        <f>'1501 Summary'!AD164</f>
        <v>114008.81</v>
      </c>
      <c r="F164" s="117"/>
      <c r="G164" s="204"/>
      <c r="H164" s="204"/>
      <c r="I164" s="204"/>
      <c r="J164" s="117"/>
      <c r="K164" s="202"/>
      <c r="L164" s="266"/>
      <c r="M164" s="203"/>
      <c r="N164" s="117"/>
      <c r="O164" s="204"/>
      <c r="P164" s="204"/>
      <c r="Q164" s="204"/>
      <c r="R164" s="117"/>
      <c r="S164" s="204"/>
      <c r="T164" s="204"/>
      <c r="U164" s="204"/>
      <c r="V164" s="117"/>
      <c r="W164" s="204"/>
      <c r="X164" s="204"/>
      <c r="Y164" s="204"/>
      <c r="Z164" s="117"/>
      <c r="AA164" s="204"/>
      <c r="AB164" s="204"/>
      <c r="AC164" s="204"/>
      <c r="AD164" s="117"/>
      <c r="AF164" s="204"/>
      <c r="AG164" s="204"/>
      <c r="AH164" s="117"/>
      <c r="AK164" s="25"/>
      <c r="AL164" s="404"/>
    </row>
    <row r="165" spans="1:38" x14ac:dyDescent="0.25">
      <c r="A165" s="194">
        <v>160</v>
      </c>
      <c r="B165" s="28" t="s">
        <v>181</v>
      </c>
      <c r="C165" s="187"/>
      <c r="D165" s="185"/>
      <c r="E165" s="186">
        <f>'1501 Summary'!AD165</f>
        <v>-12129.24</v>
      </c>
      <c r="F165" s="181"/>
      <c r="G165" s="184"/>
      <c r="H165" s="184"/>
      <c r="I165" s="184"/>
      <c r="J165" s="181"/>
      <c r="K165" s="275"/>
      <c r="L165" s="284"/>
      <c r="M165" s="184"/>
      <c r="N165" s="181"/>
      <c r="O165" s="186"/>
      <c r="P165" s="186"/>
      <c r="Q165" s="186"/>
      <c r="R165" s="181"/>
      <c r="S165" s="186"/>
      <c r="T165" s="186"/>
      <c r="U165" s="186"/>
      <c r="V165" s="181"/>
      <c r="W165" s="184"/>
      <c r="X165" s="184"/>
      <c r="Y165" s="184"/>
      <c r="Z165" s="181"/>
      <c r="AA165" s="186"/>
      <c r="AB165" s="186"/>
      <c r="AC165" s="186"/>
      <c r="AD165" s="181"/>
      <c r="AE165" s="275"/>
      <c r="AF165" s="184"/>
      <c r="AG165" s="184"/>
      <c r="AH165" s="181"/>
      <c r="AI165" s="189"/>
      <c r="AJ165" s="189"/>
      <c r="AK165" s="180"/>
      <c r="AL165" s="404"/>
    </row>
    <row r="166" spans="1:38" x14ac:dyDescent="0.25">
      <c r="A166" s="194">
        <v>161</v>
      </c>
      <c r="B166" s="28" t="s">
        <v>182</v>
      </c>
      <c r="C166" s="187"/>
      <c r="D166" s="185"/>
      <c r="E166" s="186">
        <f>'1501 Summary'!AD166</f>
        <v>-5461.6900000000005</v>
      </c>
      <c r="F166" s="181"/>
      <c r="G166" s="184"/>
      <c r="H166" s="184"/>
      <c r="I166" s="184"/>
      <c r="J166" s="181"/>
      <c r="K166" s="275"/>
      <c r="L166" s="284"/>
      <c r="M166" s="184"/>
      <c r="N166" s="181"/>
      <c r="O166" s="186"/>
      <c r="P166" s="186"/>
      <c r="Q166" s="186"/>
      <c r="R166" s="181"/>
      <c r="S166" s="186"/>
      <c r="T166" s="186"/>
      <c r="U166" s="186"/>
      <c r="V166" s="181"/>
      <c r="W166" s="184"/>
      <c r="X166" s="184"/>
      <c r="Y166" s="184"/>
      <c r="Z166" s="181"/>
      <c r="AA166" s="186"/>
      <c r="AB166" s="186"/>
      <c r="AC166" s="186"/>
      <c r="AD166" s="181"/>
      <c r="AE166" s="275"/>
      <c r="AF166" s="184"/>
      <c r="AG166" s="184"/>
      <c r="AH166" s="181"/>
      <c r="AI166" s="189"/>
      <c r="AJ166" s="189"/>
      <c r="AK166" s="180"/>
      <c r="AL166" s="404"/>
    </row>
    <row r="167" spans="1:38" x14ac:dyDescent="0.25">
      <c r="A167" s="194">
        <v>162</v>
      </c>
      <c r="B167" s="28" t="s">
        <v>183</v>
      </c>
      <c r="C167" s="187"/>
      <c r="D167" s="185"/>
      <c r="E167" s="186">
        <f>'1501 Summary'!AD167</f>
        <v>-8656.2999999999993</v>
      </c>
      <c r="F167" s="181"/>
      <c r="G167" s="184"/>
      <c r="H167" s="184"/>
      <c r="I167" s="184"/>
      <c r="J167" s="181"/>
      <c r="K167" s="275"/>
      <c r="L167" s="284"/>
      <c r="M167" s="184"/>
      <c r="N167" s="181"/>
      <c r="O167" s="186"/>
      <c r="P167" s="186"/>
      <c r="Q167" s="186"/>
      <c r="R167" s="181"/>
      <c r="S167" s="186"/>
      <c r="T167" s="186"/>
      <c r="U167" s="186"/>
      <c r="V167" s="181"/>
      <c r="W167" s="184"/>
      <c r="X167" s="184"/>
      <c r="Y167" s="184"/>
      <c r="Z167" s="181"/>
      <c r="AA167" s="186"/>
      <c r="AB167" s="186"/>
      <c r="AC167" s="186"/>
      <c r="AD167" s="181"/>
      <c r="AE167" s="275"/>
      <c r="AF167" s="184"/>
      <c r="AG167" s="184"/>
      <c r="AH167" s="181"/>
      <c r="AI167" s="189"/>
      <c r="AJ167" s="189"/>
      <c r="AK167" s="180"/>
      <c r="AL167" s="404"/>
    </row>
    <row r="168" spans="1:38" x14ac:dyDescent="0.25">
      <c r="A168" s="194">
        <v>163</v>
      </c>
      <c r="B168" s="12" t="s">
        <v>120</v>
      </c>
      <c r="C168" s="187"/>
      <c r="D168" s="185"/>
      <c r="E168" s="186">
        <f>'1501 Summary'!AD168</f>
        <v>76548.090000000011</v>
      </c>
      <c r="F168" s="181"/>
      <c r="G168" s="184"/>
      <c r="H168" s="184"/>
      <c r="I168" s="184"/>
      <c r="J168" s="181"/>
      <c r="K168" s="275"/>
      <c r="L168" s="284"/>
      <c r="M168" s="184"/>
      <c r="N168" s="181"/>
      <c r="O168" s="186"/>
      <c r="P168" s="186"/>
      <c r="Q168" s="186"/>
      <c r="R168" s="181"/>
      <c r="S168" s="186"/>
      <c r="T168" s="186"/>
      <c r="U168" s="186"/>
      <c r="V168" s="181"/>
      <c r="W168" s="184"/>
      <c r="X168" s="184"/>
      <c r="Y168" s="184"/>
      <c r="Z168" s="181"/>
      <c r="AA168" s="186"/>
      <c r="AB168" s="186"/>
      <c r="AC168" s="186"/>
      <c r="AD168" s="181"/>
      <c r="AE168" s="275"/>
      <c r="AF168" s="184"/>
      <c r="AG168" s="184"/>
      <c r="AH168" s="181"/>
      <c r="AI168" s="189"/>
      <c r="AJ168" s="189"/>
      <c r="AK168" s="180"/>
      <c r="AL168" s="404"/>
    </row>
    <row r="169" spans="1:38" x14ac:dyDescent="0.25">
      <c r="A169" s="194">
        <v>164</v>
      </c>
      <c r="B169" s="12" t="s">
        <v>125</v>
      </c>
      <c r="C169" s="187"/>
      <c r="D169" s="185"/>
      <c r="E169" s="186">
        <f>'1501 Summary'!AD169</f>
        <v>423.57000000000005</v>
      </c>
      <c r="F169" s="181"/>
      <c r="G169" s="184"/>
      <c r="H169" s="184"/>
      <c r="I169" s="184"/>
      <c r="J169" s="181"/>
      <c r="K169" s="275"/>
      <c r="L169" s="284"/>
      <c r="M169" s="184"/>
      <c r="N169" s="181"/>
      <c r="O169" s="186"/>
      <c r="P169" s="186"/>
      <c r="Q169" s="186"/>
      <c r="R169" s="181"/>
      <c r="S169" s="186"/>
      <c r="T169" s="186"/>
      <c r="U169" s="186"/>
      <c r="V169" s="181"/>
      <c r="W169" s="184"/>
      <c r="X169" s="184"/>
      <c r="Y169" s="184"/>
      <c r="Z169" s="181"/>
      <c r="AA169" s="186"/>
      <c r="AB169" s="186"/>
      <c r="AC169" s="186"/>
      <c r="AD169" s="181"/>
      <c r="AE169" s="275"/>
      <c r="AF169" s="184"/>
      <c r="AG169" s="184"/>
      <c r="AH169" s="181"/>
      <c r="AI169" s="189"/>
      <c r="AJ169" s="189"/>
      <c r="AK169" s="180"/>
      <c r="AL169" s="404"/>
    </row>
    <row r="170" spans="1:38" x14ac:dyDescent="0.25">
      <c r="A170" s="194">
        <v>165</v>
      </c>
      <c r="B170" s="12" t="s">
        <v>124</v>
      </c>
      <c r="E170" s="186">
        <f>'1501 Summary'!AD170</f>
        <v>4026.1800000000003</v>
      </c>
      <c r="F170" s="117"/>
      <c r="G170" s="204"/>
      <c r="H170" s="204"/>
      <c r="I170" s="204"/>
      <c r="J170" s="117"/>
      <c r="K170" s="202"/>
      <c r="L170" s="266"/>
      <c r="M170" s="203"/>
      <c r="N170" s="117"/>
      <c r="O170" s="204"/>
      <c r="P170" s="204"/>
      <c r="Q170" s="204"/>
      <c r="R170" s="117"/>
      <c r="S170" s="204"/>
      <c r="T170" s="204"/>
      <c r="U170" s="204"/>
      <c r="V170" s="117"/>
      <c r="W170" s="204"/>
      <c r="X170" s="204"/>
      <c r="Y170" s="204"/>
      <c r="Z170" s="117"/>
      <c r="AA170" s="204"/>
      <c r="AB170" s="204"/>
      <c r="AC170" s="204"/>
      <c r="AD170" s="117"/>
      <c r="AF170" s="204"/>
      <c r="AG170" s="204"/>
      <c r="AH170" s="117"/>
      <c r="AK170" s="25"/>
      <c r="AL170" s="404"/>
    </row>
    <row r="171" spans="1:38" x14ac:dyDescent="0.25">
      <c r="A171" s="194">
        <v>166</v>
      </c>
      <c r="B171" s="12" t="s">
        <v>24</v>
      </c>
      <c r="C171" s="187"/>
      <c r="D171" s="185"/>
      <c r="E171" s="186">
        <f>'1501 Summary'!AD171</f>
        <v>-26855.59</v>
      </c>
      <c r="F171" s="181"/>
      <c r="G171" s="184"/>
      <c r="H171" s="184"/>
      <c r="I171" s="184"/>
      <c r="J171" s="181"/>
      <c r="K171" s="275"/>
      <c r="L171" s="284"/>
      <c r="M171" s="184"/>
      <c r="N171" s="181"/>
      <c r="O171" s="186"/>
      <c r="P171" s="186"/>
      <c r="Q171" s="186"/>
      <c r="R171" s="181"/>
      <c r="S171" s="186"/>
      <c r="T171" s="186"/>
      <c r="U171" s="186"/>
      <c r="V171" s="181"/>
      <c r="W171" s="184"/>
      <c r="X171" s="184"/>
      <c r="Y171" s="184"/>
      <c r="Z171" s="181"/>
      <c r="AA171" s="186"/>
      <c r="AB171" s="186"/>
      <c r="AC171" s="186"/>
      <c r="AD171" s="181"/>
      <c r="AE171" s="275"/>
      <c r="AF171" s="184"/>
      <c r="AG171" s="184"/>
      <c r="AH171" s="181"/>
      <c r="AI171" s="189"/>
      <c r="AJ171" s="189"/>
      <c r="AK171" s="180"/>
      <c r="AL171" s="404"/>
    </row>
    <row r="172" spans="1:38" x14ac:dyDescent="0.25">
      <c r="A172" s="194">
        <v>167</v>
      </c>
      <c r="B172" s="12" t="s">
        <v>122</v>
      </c>
      <c r="C172" s="187"/>
      <c r="D172" s="185"/>
      <c r="E172" s="186">
        <f>'1501 Summary'!AD172</f>
        <v>0</v>
      </c>
      <c r="F172" s="181"/>
      <c r="G172" s="184"/>
      <c r="H172" s="184"/>
      <c r="I172" s="184"/>
      <c r="J172" s="181"/>
      <c r="K172" s="275"/>
      <c r="L172" s="284"/>
      <c r="M172" s="184"/>
      <c r="N172" s="181"/>
      <c r="O172" s="186"/>
      <c r="P172" s="186"/>
      <c r="Q172" s="186"/>
      <c r="R172" s="181"/>
      <c r="S172" s="186"/>
      <c r="T172" s="186"/>
      <c r="U172" s="186"/>
      <c r="V172" s="181"/>
      <c r="W172" s="184"/>
      <c r="X172" s="184"/>
      <c r="Y172" s="184"/>
      <c r="Z172" s="181"/>
      <c r="AA172" s="186"/>
      <c r="AB172" s="186"/>
      <c r="AC172" s="186"/>
      <c r="AD172" s="181"/>
      <c r="AE172" s="275"/>
      <c r="AF172" s="184"/>
      <c r="AG172" s="184"/>
      <c r="AH172" s="181"/>
      <c r="AI172" s="189"/>
      <c r="AJ172" s="189"/>
      <c r="AK172" s="180"/>
      <c r="AL172" s="404"/>
    </row>
    <row r="173" spans="1:38" x14ac:dyDescent="0.25">
      <c r="A173" s="194">
        <v>168</v>
      </c>
      <c r="B173" s="12" t="s">
        <v>123</v>
      </c>
      <c r="C173" s="187"/>
      <c r="D173" s="185"/>
      <c r="E173" s="186">
        <f>'1501 Summary'!AD173</f>
        <v>-4468.9799999999996</v>
      </c>
      <c r="F173" s="181"/>
      <c r="G173" s="184"/>
      <c r="H173" s="184"/>
      <c r="I173" s="184"/>
      <c r="J173" s="181"/>
      <c r="K173" s="275"/>
      <c r="L173" s="284"/>
      <c r="M173" s="184"/>
      <c r="N173" s="181"/>
      <c r="O173" s="186"/>
      <c r="P173" s="186"/>
      <c r="Q173" s="186"/>
      <c r="R173" s="181"/>
      <c r="S173" s="186"/>
      <c r="T173" s="186"/>
      <c r="U173" s="186"/>
      <c r="V173" s="181"/>
      <c r="W173" s="184"/>
      <c r="X173" s="184"/>
      <c r="Y173" s="184"/>
      <c r="Z173" s="181"/>
      <c r="AA173" s="186"/>
      <c r="AB173" s="186"/>
      <c r="AC173" s="186"/>
      <c r="AD173" s="181"/>
      <c r="AE173" s="275"/>
      <c r="AF173" s="184"/>
      <c r="AG173" s="184"/>
      <c r="AH173" s="181"/>
      <c r="AI173" s="189"/>
      <c r="AJ173" s="189"/>
      <c r="AK173" s="180"/>
      <c r="AL173" s="404"/>
    </row>
    <row r="174" spans="1:38" x14ac:dyDescent="0.25">
      <c r="A174" s="194">
        <v>169</v>
      </c>
      <c r="B174" s="11" t="s">
        <v>14</v>
      </c>
      <c r="E174" s="204">
        <f>'Revenue Reconcilliation'!Q114</f>
        <v>0</v>
      </c>
      <c r="F174" s="117"/>
      <c r="G174" s="204"/>
      <c r="H174" s="204"/>
      <c r="I174" s="204"/>
      <c r="J174" s="117"/>
      <c r="K174" s="202"/>
      <c r="L174" s="266"/>
      <c r="M174" s="203"/>
      <c r="N174" s="117"/>
      <c r="O174" s="204"/>
      <c r="P174" s="204"/>
      <c r="Q174" s="204"/>
      <c r="R174" s="117"/>
      <c r="S174" s="204"/>
      <c r="T174" s="204"/>
      <c r="U174" s="204"/>
      <c r="V174" s="117"/>
      <c r="W174" s="204"/>
      <c r="X174" s="204"/>
      <c r="Y174" s="204"/>
      <c r="Z174" s="117"/>
      <c r="AA174" s="204"/>
      <c r="AB174" s="204"/>
      <c r="AC174" s="204"/>
      <c r="AD174" s="117"/>
      <c r="AF174" s="204"/>
      <c r="AG174" s="204"/>
      <c r="AH174" s="117"/>
      <c r="AK174" s="25"/>
      <c r="AL174" s="404"/>
    </row>
    <row r="175" spans="1:38" x14ac:dyDescent="0.25">
      <c r="A175" s="194">
        <v>170</v>
      </c>
      <c r="B175" s="11" t="s">
        <v>15</v>
      </c>
      <c r="C175" s="187"/>
      <c r="D175" s="185"/>
      <c r="E175" s="204">
        <f>'Revenue Reconcilliation'!Q115</f>
        <v>0</v>
      </c>
      <c r="F175" s="181"/>
      <c r="G175" s="184"/>
      <c r="H175" s="184"/>
      <c r="I175" s="184"/>
      <c r="J175" s="181"/>
      <c r="K175" s="275"/>
      <c r="L175" s="284"/>
      <c r="M175" s="184"/>
      <c r="N175" s="181"/>
      <c r="O175" s="186"/>
      <c r="P175" s="186"/>
      <c r="Q175" s="186"/>
      <c r="R175" s="181"/>
      <c r="S175" s="186"/>
      <c r="T175" s="186"/>
      <c r="U175" s="186"/>
      <c r="V175" s="181"/>
      <c r="W175" s="184"/>
      <c r="X175" s="184"/>
      <c r="Y175" s="184"/>
      <c r="Z175" s="181"/>
      <c r="AA175" s="186"/>
      <c r="AB175" s="186"/>
      <c r="AC175" s="186"/>
      <c r="AD175" s="181"/>
      <c r="AE175" s="275"/>
      <c r="AF175" s="184"/>
      <c r="AG175" s="184"/>
      <c r="AH175" s="181"/>
      <c r="AI175" s="189"/>
      <c r="AJ175" s="189"/>
      <c r="AK175" s="180"/>
      <c r="AL175" s="404"/>
    </row>
    <row r="176" spans="1:38" x14ac:dyDescent="0.25">
      <c r="A176" s="194">
        <v>171</v>
      </c>
      <c r="B176" s="11" t="s">
        <v>16</v>
      </c>
      <c r="C176" s="187"/>
      <c r="D176" s="185"/>
      <c r="E176" s="204">
        <f>'Revenue Reconcilliation'!Q116</f>
        <v>-291315.95999999996</v>
      </c>
      <c r="F176" s="181"/>
      <c r="G176" s="184"/>
      <c r="H176" s="184"/>
      <c r="I176" s="184"/>
      <c r="J176" s="181"/>
      <c r="K176" s="275"/>
      <c r="L176" s="284"/>
      <c r="M176" s="184"/>
      <c r="N176" s="181"/>
      <c r="O176" s="186"/>
      <c r="P176" s="186"/>
      <c r="Q176" s="186"/>
      <c r="R176" s="181"/>
      <c r="S176" s="186"/>
      <c r="T176" s="186"/>
      <c r="U176" s="186"/>
      <c r="V176" s="181"/>
      <c r="W176" s="184"/>
      <c r="X176" s="184"/>
      <c r="Y176" s="184"/>
      <c r="Z176" s="181"/>
      <c r="AA176" s="186"/>
      <c r="AB176" s="186"/>
      <c r="AC176" s="186"/>
      <c r="AD176" s="181"/>
      <c r="AE176" s="275"/>
      <c r="AF176" s="184"/>
      <c r="AG176" s="184"/>
      <c r="AH176" s="181"/>
      <c r="AI176" s="189"/>
      <c r="AJ176" s="189"/>
      <c r="AK176" s="180"/>
      <c r="AL176" s="404"/>
    </row>
    <row r="177" spans="1:38" x14ac:dyDescent="0.25">
      <c r="A177" s="194">
        <v>172</v>
      </c>
      <c r="B177" s="11" t="s">
        <v>17</v>
      </c>
      <c r="C177" s="187"/>
      <c r="D177" s="185"/>
      <c r="E177" s="204">
        <f>'Revenue Reconcilliation'!Q117</f>
        <v>185978.68</v>
      </c>
      <c r="F177" s="181"/>
      <c r="G177" s="184"/>
      <c r="H177" s="184"/>
      <c r="I177" s="184"/>
      <c r="J177" s="181"/>
      <c r="K177" s="275"/>
      <c r="L177" s="284"/>
      <c r="M177" s="184"/>
      <c r="N177" s="181"/>
      <c r="O177" s="186"/>
      <c r="P177" s="186"/>
      <c r="Q177" s="186"/>
      <c r="R177" s="181"/>
      <c r="S177" s="186"/>
      <c r="T177" s="186"/>
      <c r="U177" s="186"/>
      <c r="V177" s="181"/>
      <c r="W177" s="184"/>
      <c r="X177" s="184"/>
      <c r="Y177" s="184"/>
      <c r="Z177" s="181"/>
      <c r="AA177" s="186"/>
      <c r="AB177" s="186"/>
      <c r="AC177" s="186"/>
      <c r="AD177" s="181"/>
      <c r="AE177" s="275"/>
      <c r="AF177" s="184"/>
      <c r="AG177" s="184"/>
      <c r="AH177" s="181"/>
      <c r="AI177" s="189"/>
      <c r="AJ177" s="189"/>
      <c r="AK177" s="180"/>
      <c r="AL177" s="404"/>
    </row>
    <row r="178" spans="1:38" x14ac:dyDescent="0.25">
      <c r="A178" s="194">
        <v>173</v>
      </c>
      <c r="B178" s="11" t="s">
        <v>18</v>
      </c>
      <c r="E178" s="204">
        <f>'Revenue Reconcilliation'!Q118</f>
        <v>0</v>
      </c>
      <c r="F178" s="117"/>
      <c r="G178" s="204"/>
      <c r="H178" s="204"/>
      <c r="I178" s="204"/>
      <c r="J178" s="117"/>
      <c r="K178" s="202"/>
      <c r="L178" s="266"/>
      <c r="M178" s="203"/>
      <c r="N178" s="117"/>
      <c r="O178" s="204"/>
      <c r="P178" s="204"/>
      <c r="Q178" s="204"/>
      <c r="R178" s="117"/>
      <c r="S178" s="204"/>
      <c r="T178" s="204"/>
      <c r="U178" s="204"/>
      <c r="V178" s="117"/>
      <c r="W178" s="204"/>
      <c r="X178" s="204"/>
      <c r="Y178" s="204"/>
      <c r="Z178" s="117"/>
      <c r="AA178" s="204"/>
      <c r="AB178" s="204"/>
      <c r="AC178" s="204"/>
      <c r="AD178" s="117"/>
      <c r="AF178" s="204"/>
      <c r="AG178" s="204"/>
      <c r="AH178" s="117"/>
      <c r="AK178" s="25"/>
      <c r="AL178" s="404"/>
    </row>
    <row r="179" spans="1:38" x14ac:dyDescent="0.25">
      <c r="A179" s="194">
        <v>174</v>
      </c>
      <c r="B179" s="11" t="s">
        <v>91</v>
      </c>
      <c r="C179" s="187"/>
      <c r="D179" s="185"/>
      <c r="E179" s="207">
        <f>'Revenue Reconcilliation'!Q119</f>
        <v>0</v>
      </c>
      <c r="F179" s="181"/>
      <c r="G179" s="184"/>
      <c r="H179" s="184"/>
      <c r="I179" s="184"/>
      <c r="J179" s="181"/>
      <c r="K179" s="275"/>
      <c r="L179" s="284"/>
      <c r="M179" s="184"/>
      <c r="N179" s="181"/>
      <c r="O179" s="186"/>
      <c r="P179" s="186"/>
      <c r="Q179" s="186"/>
      <c r="R179" s="181"/>
      <c r="S179" s="186"/>
      <c r="T179" s="186"/>
      <c r="U179" s="186"/>
      <c r="V179" s="181"/>
      <c r="W179" s="184"/>
      <c r="X179" s="184"/>
      <c r="Y179" s="184"/>
      <c r="Z179" s="181"/>
      <c r="AA179" s="186"/>
      <c r="AB179" s="186"/>
      <c r="AC179" s="186"/>
      <c r="AD179" s="181"/>
      <c r="AE179" s="275"/>
      <c r="AF179" s="184"/>
      <c r="AG179" s="184"/>
      <c r="AH179" s="181"/>
      <c r="AI179" s="189"/>
      <c r="AJ179" s="189"/>
      <c r="AK179" s="180"/>
      <c r="AL179" s="404"/>
    </row>
    <row r="180" spans="1:38" x14ac:dyDescent="0.25">
      <c r="A180" s="194">
        <v>175</v>
      </c>
      <c r="C180" s="187"/>
      <c r="D180" s="185"/>
      <c r="E180" s="186">
        <f>SUM(E159:E179)</f>
        <v>151941.90000000008</v>
      </c>
      <c r="F180" s="181"/>
      <c r="G180" s="184"/>
      <c r="H180" s="184"/>
      <c r="I180" s="184"/>
      <c r="J180" s="181"/>
      <c r="K180" s="275"/>
      <c r="L180" s="284"/>
      <c r="M180" s="184"/>
      <c r="N180" s="181"/>
      <c r="O180" s="186"/>
      <c r="P180" s="186"/>
      <c r="Q180" s="186"/>
      <c r="R180" s="181"/>
      <c r="S180" s="186"/>
      <c r="T180" s="186"/>
      <c r="U180" s="186"/>
      <c r="V180" s="181"/>
      <c r="W180" s="184"/>
      <c r="X180" s="184"/>
      <c r="Y180" s="184"/>
      <c r="Z180" s="181"/>
      <c r="AA180" s="186"/>
      <c r="AB180" s="186"/>
      <c r="AC180" s="186"/>
      <c r="AD180" s="181"/>
      <c r="AE180" s="275"/>
      <c r="AF180" s="184"/>
      <c r="AG180" s="184"/>
      <c r="AH180" s="181"/>
      <c r="AI180" s="189"/>
      <c r="AJ180" s="189"/>
      <c r="AK180" s="180"/>
      <c r="AL180" s="404"/>
    </row>
    <row r="181" spans="1:38" x14ac:dyDescent="0.25">
      <c r="A181" s="194">
        <v>176</v>
      </c>
      <c r="C181" s="187"/>
      <c r="D181" s="185"/>
      <c r="E181" s="186"/>
      <c r="F181" s="181"/>
      <c r="G181" s="184"/>
      <c r="H181" s="184"/>
      <c r="I181" s="184"/>
      <c r="J181" s="181"/>
      <c r="K181" s="275"/>
      <c r="L181" s="284"/>
      <c r="M181" s="184"/>
      <c r="N181" s="181"/>
      <c r="O181" s="186"/>
      <c r="P181" s="186"/>
      <c r="Q181" s="186"/>
      <c r="R181" s="181"/>
      <c r="S181" s="186"/>
      <c r="T181" s="186"/>
      <c r="U181" s="186"/>
      <c r="V181" s="181"/>
      <c r="W181" s="184"/>
      <c r="X181" s="184"/>
      <c r="Y181" s="184"/>
      <c r="Z181" s="181"/>
      <c r="AA181" s="186"/>
      <c r="AB181" s="186"/>
      <c r="AC181" s="186"/>
      <c r="AD181" s="181"/>
      <c r="AE181" s="275"/>
      <c r="AF181" s="184"/>
      <c r="AG181" s="184"/>
      <c r="AH181" s="181"/>
      <c r="AI181" s="189"/>
      <c r="AJ181" s="189"/>
      <c r="AK181" s="180"/>
      <c r="AL181" s="404"/>
    </row>
    <row r="182" spans="1:38" x14ac:dyDescent="0.25">
      <c r="A182" s="194">
        <v>177</v>
      </c>
      <c r="B182" s="51" t="s">
        <v>177</v>
      </c>
      <c r="C182" s="204">
        <f>E182-'Revenue Reconcilliation'!Q122</f>
        <v>0</v>
      </c>
      <c r="D182" s="196" t="s">
        <v>45</v>
      </c>
      <c r="E182" s="204">
        <f>SUM(E154,E156,E180)</f>
        <v>2410468.81</v>
      </c>
      <c r="F182" s="117"/>
      <c r="G182" s="204"/>
      <c r="H182" s="204"/>
      <c r="I182" s="204"/>
      <c r="J182" s="117"/>
      <c r="K182" s="202"/>
      <c r="L182" s="266"/>
      <c r="M182" s="203"/>
      <c r="N182" s="117"/>
      <c r="O182" s="204"/>
      <c r="P182" s="204"/>
      <c r="Q182" s="204"/>
      <c r="R182" s="117"/>
      <c r="S182" s="204"/>
      <c r="T182" s="204"/>
      <c r="U182" s="204"/>
      <c r="V182" s="117"/>
      <c r="W182" s="204"/>
      <c r="X182" s="204"/>
      <c r="Y182" s="204"/>
      <c r="Z182" s="117"/>
      <c r="AA182" s="204"/>
      <c r="AB182" s="204"/>
      <c r="AC182" s="204"/>
      <c r="AD182" s="117"/>
      <c r="AF182" s="204"/>
      <c r="AG182" s="204"/>
      <c r="AH182" s="117"/>
      <c r="AK182" s="25"/>
      <c r="AL182" s="404"/>
    </row>
    <row r="183" spans="1:38" x14ac:dyDescent="0.25">
      <c r="A183" s="194">
        <v>178</v>
      </c>
      <c r="B183" s="179"/>
      <c r="E183" s="204"/>
      <c r="F183" s="117"/>
      <c r="G183" s="204"/>
      <c r="H183" s="204"/>
      <c r="I183" s="204"/>
      <c r="J183" s="117"/>
      <c r="K183" s="202"/>
      <c r="L183" s="266"/>
      <c r="M183" s="203"/>
      <c r="N183" s="117"/>
      <c r="O183" s="204"/>
      <c r="P183" s="204"/>
      <c r="Q183" s="204"/>
      <c r="R183" s="117"/>
      <c r="S183" s="204"/>
      <c r="T183" s="204"/>
      <c r="U183" s="204"/>
      <c r="V183" s="117"/>
      <c r="W183" s="204"/>
      <c r="X183" s="204"/>
      <c r="Y183" s="204"/>
      <c r="Z183" s="117"/>
      <c r="AA183" s="204"/>
      <c r="AB183" s="204"/>
      <c r="AC183" s="204"/>
      <c r="AD183" s="117"/>
      <c r="AF183" s="204"/>
      <c r="AG183" s="204"/>
      <c r="AH183" s="117"/>
      <c r="AK183" s="25"/>
      <c r="AL183" s="404"/>
    </row>
    <row r="184" spans="1:38" x14ac:dyDescent="0.25">
      <c r="A184" s="194">
        <v>179</v>
      </c>
      <c r="B184" s="18" t="s">
        <v>166</v>
      </c>
      <c r="E184" s="204"/>
      <c r="F184" s="117"/>
      <c r="G184" s="204" t="s">
        <v>519</v>
      </c>
      <c r="H184" s="204"/>
      <c r="I184" s="204"/>
      <c r="J184" s="117"/>
      <c r="K184" s="202"/>
      <c r="L184" s="266"/>
      <c r="M184" s="203"/>
      <c r="N184" s="117"/>
      <c r="O184" s="204"/>
      <c r="P184" s="204"/>
      <c r="Q184" s="204"/>
      <c r="R184" s="117"/>
      <c r="S184" s="204"/>
      <c r="T184" s="204"/>
      <c r="U184" s="204"/>
      <c r="V184" s="117"/>
      <c r="W184" s="204"/>
      <c r="X184" s="204"/>
      <c r="Y184" s="204"/>
      <c r="Z184" s="117"/>
      <c r="AA184" s="204"/>
      <c r="AB184" s="204"/>
      <c r="AC184" s="204"/>
      <c r="AD184" s="117"/>
      <c r="AF184" s="204"/>
      <c r="AG184" s="204"/>
      <c r="AH184" s="117"/>
      <c r="AK184" s="25"/>
      <c r="AL184" s="404"/>
    </row>
    <row r="185" spans="1:38" x14ac:dyDescent="0.25">
      <c r="A185" s="194">
        <v>180</v>
      </c>
      <c r="B185" s="12" t="s">
        <v>9</v>
      </c>
      <c r="C185" s="220">
        <f>E185/D185</f>
        <v>12</v>
      </c>
      <c r="D185" s="203">
        <v>13</v>
      </c>
      <c r="E185" s="204">
        <f>'1501 Summary'!AD30</f>
        <v>156</v>
      </c>
      <c r="F185" s="112"/>
      <c r="G185" s="265">
        <f>-C185</f>
        <v>-12</v>
      </c>
      <c r="H185" s="203">
        <f>D185</f>
        <v>13</v>
      </c>
      <c r="I185" s="204">
        <f>H185*G185</f>
        <v>-156</v>
      </c>
      <c r="J185" s="112"/>
      <c r="K185" s="202">
        <f t="shared" si="19"/>
        <v>0</v>
      </c>
      <c r="L185" s="203">
        <f t="shared" ref="L185" si="42">D185</f>
        <v>13</v>
      </c>
      <c r="M185" s="204">
        <f t="shared" ref="M185:M186" si="43">L185*K185</f>
        <v>0</v>
      </c>
      <c r="N185" s="112"/>
      <c r="O185" s="204"/>
      <c r="P185" s="204"/>
      <c r="Q185" s="204"/>
      <c r="R185" s="112"/>
      <c r="S185" s="204"/>
      <c r="T185" s="204"/>
      <c r="U185" s="204"/>
      <c r="V185" s="112"/>
      <c r="W185" s="203"/>
      <c r="X185" s="203"/>
      <c r="Y185" s="203"/>
      <c r="Z185" s="112"/>
      <c r="AA185" s="216"/>
      <c r="AB185" s="216"/>
      <c r="AC185" s="216"/>
      <c r="AD185" s="112"/>
      <c r="AF185" s="203"/>
      <c r="AG185" s="203"/>
      <c r="AH185" s="112"/>
      <c r="AI185" s="24"/>
      <c r="AJ185" s="24"/>
      <c r="AK185" s="39"/>
      <c r="AL185" s="404"/>
    </row>
    <row r="186" spans="1:38" x14ac:dyDescent="0.25">
      <c r="A186" s="194">
        <v>181</v>
      </c>
      <c r="B186" s="54" t="s">
        <v>28</v>
      </c>
      <c r="C186" s="220">
        <f t="shared" ref="C186" si="44">E186/D186</f>
        <v>29649.079595540581</v>
      </c>
      <c r="D186" s="205">
        <v>0.23141999999999999</v>
      </c>
      <c r="E186" s="207">
        <f>'1501 Summary'!AD31</f>
        <v>6861.3900000000012</v>
      </c>
      <c r="F186" s="112"/>
      <c r="G186" s="265">
        <f>-C186</f>
        <v>-29649.079595540581</v>
      </c>
      <c r="H186" s="203">
        <f t="shared" ref="H186" si="45">D186</f>
        <v>0.23141999999999999</v>
      </c>
      <c r="I186" s="207">
        <f t="shared" ref="I186" si="46">H186*G186</f>
        <v>-6861.3900000000012</v>
      </c>
      <c r="J186" s="112"/>
      <c r="K186" s="202">
        <f t="shared" si="19"/>
        <v>0</v>
      </c>
      <c r="L186" s="266">
        <v>0.26179999999999998</v>
      </c>
      <c r="M186" s="207">
        <f t="shared" si="43"/>
        <v>0</v>
      </c>
      <c r="N186" s="112"/>
      <c r="O186" s="204"/>
      <c r="P186" s="204"/>
      <c r="Q186" s="204"/>
      <c r="R186" s="112"/>
      <c r="S186" s="204"/>
      <c r="T186" s="204"/>
      <c r="U186" s="204"/>
      <c r="V186" s="112"/>
      <c r="W186" s="203"/>
      <c r="X186" s="203"/>
      <c r="Y186" s="203"/>
      <c r="Z186" s="112"/>
      <c r="AA186" s="216"/>
      <c r="AB186" s="216"/>
      <c r="AC186" s="216"/>
      <c r="AD186" s="112"/>
      <c r="AF186" s="203"/>
      <c r="AG186" s="203"/>
      <c r="AH186" s="112"/>
      <c r="AI186" s="24"/>
      <c r="AJ186" s="24"/>
      <c r="AK186" s="39"/>
      <c r="AL186" s="404"/>
    </row>
    <row r="187" spans="1:38" x14ac:dyDescent="0.25">
      <c r="A187" s="194">
        <v>182</v>
      </c>
      <c r="B187" s="12" t="s">
        <v>10</v>
      </c>
      <c r="E187" s="204">
        <f>SUM(E185:E186)</f>
        <v>7017.3900000000012</v>
      </c>
      <c r="F187" s="112"/>
      <c r="G187" s="203"/>
      <c r="H187" s="203"/>
      <c r="I187" s="204">
        <f>SUM(I185:I186)</f>
        <v>-7017.3900000000012</v>
      </c>
      <c r="J187" s="112"/>
      <c r="K187" s="202"/>
      <c r="L187" s="266"/>
      <c r="M187" s="204">
        <f>SUM(M185:M186)</f>
        <v>0</v>
      </c>
      <c r="N187" s="112"/>
      <c r="O187" s="204"/>
      <c r="P187" s="204"/>
      <c r="Q187" s="204"/>
      <c r="R187" s="112"/>
      <c r="S187" s="204"/>
      <c r="T187" s="204"/>
      <c r="U187" s="204"/>
      <c r="V187" s="112"/>
      <c r="W187" s="203"/>
      <c r="X187" s="203"/>
      <c r="Y187" s="203"/>
      <c r="Z187" s="112"/>
      <c r="AA187" s="216"/>
      <c r="AB187" s="216"/>
      <c r="AC187" s="216"/>
      <c r="AD187" s="112"/>
      <c r="AF187" s="203"/>
      <c r="AG187" s="203"/>
      <c r="AH187" s="112"/>
      <c r="AK187" s="39"/>
      <c r="AL187" s="404"/>
    </row>
    <row r="188" spans="1:38" x14ac:dyDescent="0.25">
      <c r="A188" s="194">
        <v>183</v>
      </c>
      <c r="E188" s="204"/>
      <c r="F188" s="117"/>
      <c r="G188" s="204"/>
      <c r="H188" s="204"/>
      <c r="I188" s="204"/>
      <c r="J188" s="117"/>
      <c r="K188" s="202"/>
      <c r="L188" s="266"/>
      <c r="M188" s="204"/>
      <c r="N188" s="117"/>
      <c r="O188" s="204"/>
      <c r="P188" s="204"/>
      <c r="Q188" s="204"/>
      <c r="R188" s="117"/>
      <c r="S188" s="204"/>
      <c r="T188" s="204"/>
      <c r="U188" s="204"/>
      <c r="V188" s="117"/>
      <c r="W188" s="204"/>
      <c r="X188" s="204"/>
      <c r="Y188" s="204"/>
      <c r="Z188" s="117"/>
      <c r="AA188" s="204"/>
      <c r="AB188" s="204"/>
      <c r="AC188" s="204"/>
      <c r="AD188" s="117"/>
      <c r="AF188" s="204"/>
      <c r="AG188" s="204"/>
      <c r="AH188" s="117"/>
      <c r="AK188" s="25"/>
      <c r="AL188" s="404"/>
    </row>
    <row r="189" spans="1:38" x14ac:dyDescent="0.25">
      <c r="A189" s="194">
        <v>184</v>
      </c>
      <c r="B189" s="12" t="s">
        <v>11</v>
      </c>
      <c r="E189" s="204">
        <f>'1501 Summary'!AD32</f>
        <v>12851.83</v>
      </c>
      <c r="F189" s="117"/>
      <c r="G189" s="204"/>
      <c r="H189" s="204"/>
      <c r="I189" s="204"/>
      <c r="J189" s="117"/>
      <c r="K189" s="202"/>
      <c r="L189" s="266"/>
      <c r="M189" s="204"/>
      <c r="N189" s="117"/>
      <c r="O189" s="204"/>
      <c r="P189" s="204"/>
      <c r="Q189" s="204"/>
      <c r="R189" s="117"/>
      <c r="S189" s="204"/>
      <c r="T189" s="204"/>
      <c r="U189" s="204"/>
      <c r="V189" s="117"/>
      <c r="W189" s="204"/>
      <c r="X189" s="204"/>
      <c r="Y189" s="204"/>
      <c r="Z189" s="117"/>
      <c r="AA189" s="204"/>
      <c r="AB189" s="204"/>
      <c r="AC189" s="204"/>
      <c r="AD189" s="117"/>
      <c r="AF189" s="204"/>
      <c r="AG189" s="204"/>
      <c r="AH189" s="117"/>
      <c r="AK189" s="25"/>
      <c r="AL189" s="404"/>
    </row>
    <row r="190" spans="1:38" x14ac:dyDescent="0.25">
      <c r="A190" s="194">
        <v>185</v>
      </c>
      <c r="E190" s="204"/>
      <c r="F190" s="117"/>
      <c r="G190" s="204"/>
      <c r="H190" s="204"/>
      <c r="I190" s="204"/>
      <c r="J190" s="117"/>
      <c r="K190" s="202"/>
      <c r="L190" s="266"/>
      <c r="M190" s="204"/>
      <c r="N190" s="117"/>
      <c r="O190" s="204"/>
      <c r="P190" s="204"/>
      <c r="Q190" s="204"/>
      <c r="R190" s="117"/>
      <c r="S190" s="204"/>
      <c r="T190" s="204"/>
      <c r="U190" s="204"/>
      <c r="V190" s="117"/>
      <c r="W190" s="204"/>
      <c r="X190" s="204"/>
      <c r="Y190" s="204"/>
      <c r="Z190" s="117"/>
      <c r="AA190" s="204"/>
      <c r="AB190" s="204"/>
      <c r="AC190" s="204"/>
      <c r="AD190" s="117"/>
      <c r="AF190" s="204"/>
      <c r="AG190" s="204"/>
      <c r="AH190" s="117"/>
      <c r="AK190" s="25"/>
      <c r="AL190" s="404"/>
    </row>
    <row r="191" spans="1:38" x14ac:dyDescent="0.25">
      <c r="A191" s="194">
        <v>186</v>
      </c>
      <c r="B191" s="12" t="s">
        <v>12</v>
      </c>
      <c r="E191" s="204"/>
      <c r="F191" s="117"/>
      <c r="G191" s="204"/>
      <c r="H191" s="204"/>
      <c r="I191" s="204"/>
      <c r="J191" s="117"/>
      <c r="K191" s="202"/>
      <c r="L191" s="266"/>
      <c r="M191" s="204"/>
      <c r="N191" s="117"/>
      <c r="O191" s="204"/>
      <c r="P191" s="204"/>
      <c r="Q191" s="204"/>
      <c r="R191" s="117"/>
      <c r="S191" s="204"/>
      <c r="T191" s="204"/>
      <c r="U191" s="204"/>
      <c r="V191" s="117"/>
      <c r="W191" s="204"/>
      <c r="X191" s="204"/>
      <c r="Y191" s="204"/>
      <c r="Z191" s="117"/>
      <c r="AA191" s="204"/>
      <c r="AB191" s="204"/>
      <c r="AC191" s="204"/>
      <c r="AD191" s="117"/>
      <c r="AF191" s="204"/>
      <c r="AG191" s="204"/>
      <c r="AH191" s="117"/>
      <c r="AK191" s="25"/>
      <c r="AL191" s="404"/>
    </row>
    <row r="192" spans="1:38" x14ac:dyDescent="0.25">
      <c r="A192" s="194">
        <v>187</v>
      </c>
      <c r="B192" s="12" t="s">
        <v>484</v>
      </c>
      <c r="E192" s="204">
        <f>'1501 Summary'!AD33</f>
        <v>1079.01</v>
      </c>
      <c r="F192" s="117"/>
      <c r="G192" s="204"/>
      <c r="H192" s="204"/>
      <c r="I192" s="204"/>
      <c r="J192" s="117"/>
      <c r="K192" s="202"/>
      <c r="L192" s="266"/>
      <c r="M192" s="204"/>
      <c r="N192" s="117"/>
      <c r="O192" s="204"/>
      <c r="P192" s="204"/>
      <c r="Q192" s="204"/>
      <c r="R192" s="117"/>
      <c r="S192" s="204"/>
      <c r="T192" s="204"/>
      <c r="U192" s="204"/>
      <c r="V192" s="117"/>
      <c r="W192" s="204"/>
      <c r="X192" s="204"/>
      <c r="Y192" s="204"/>
      <c r="Z192" s="117"/>
      <c r="AA192" s="204"/>
      <c r="AB192" s="204"/>
      <c r="AC192" s="204"/>
      <c r="AD192" s="117"/>
      <c r="AF192" s="204"/>
      <c r="AG192" s="204"/>
      <c r="AH192" s="117"/>
      <c r="AK192" s="25"/>
      <c r="AL192" s="404"/>
    </row>
    <row r="193" spans="1:38" x14ac:dyDescent="0.25">
      <c r="A193" s="194">
        <v>188</v>
      </c>
      <c r="B193" s="12" t="s">
        <v>115</v>
      </c>
      <c r="E193" s="204">
        <f>'1501 Summary'!AD34</f>
        <v>81.060000000000016</v>
      </c>
      <c r="F193" s="112"/>
      <c r="G193" s="203"/>
      <c r="H193" s="203"/>
      <c r="I193" s="203"/>
      <c r="J193" s="112"/>
      <c r="K193" s="202"/>
      <c r="L193" s="266"/>
      <c r="M193" s="204"/>
      <c r="N193" s="112"/>
      <c r="O193" s="204"/>
      <c r="P193" s="204"/>
      <c r="Q193" s="204"/>
      <c r="R193" s="112"/>
      <c r="S193" s="204"/>
      <c r="T193" s="204"/>
      <c r="U193" s="204"/>
      <c r="V193" s="112"/>
      <c r="W193" s="203"/>
      <c r="X193" s="203"/>
      <c r="Y193" s="203"/>
      <c r="Z193" s="112"/>
      <c r="AA193" s="229"/>
      <c r="AB193" s="229"/>
      <c r="AC193" s="229"/>
      <c r="AD193" s="112"/>
      <c r="AF193" s="203"/>
      <c r="AG193" s="203"/>
      <c r="AH193" s="112"/>
      <c r="AK193" s="12"/>
      <c r="AL193" s="404"/>
    </row>
    <row r="194" spans="1:38" x14ac:dyDescent="0.25">
      <c r="A194" s="194">
        <v>189</v>
      </c>
      <c r="B194" s="12" t="s">
        <v>116</v>
      </c>
      <c r="E194" s="204">
        <f>'1501 Summary'!AD35</f>
        <v>273.79000000000002</v>
      </c>
      <c r="F194" s="112"/>
      <c r="G194" s="203"/>
      <c r="H194" s="203"/>
      <c r="I194" s="203"/>
      <c r="J194" s="112"/>
      <c r="K194" s="202"/>
      <c r="L194" s="266"/>
      <c r="M194" s="204"/>
      <c r="N194" s="112"/>
      <c r="O194" s="204"/>
      <c r="P194" s="204"/>
      <c r="Q194" s="204"/>
      <c r="R194" s="112"/>
      <c r="S194" s="204"/>
      <c r="T194" s="204"/>
      <c r="U194" s="204"/>
      <c r="V194" s="112"/>
      <c r="W194" s="203"/>
      <c r="X194" s="203"/>
      <c r="Y194" s="203"/>
      <c r="Z194" s="112"/>
      <c r="AA194" s="226"/>
      <c r="AB194" s="226"/>
      <c r="AC194" s="226"/>
      <c r="AD194" s="112"/>
      <c r="AF194" s="203"/>
      <c r="AG194" s="203"/>
      <c r="AH194" s="112"/>
      <c r="AK194" s="11"/>
      <c r="AL194" s="404"/>
    </row>
    <row r="195" spans="1:38" x14ac:dyDescent="0.25">
      <c r="A195" s="194">
        <v>190</v>
      </c>
      <c r="B195" s="12" t="s">
        <v>117</v>
      </c>
      <c r="E195" s="204">
        <f>'1501 Summary'!AD36</f>
        <v>-779.09</v>
      </c>
      <c r="F195" s="112"/>
      <c r="G195" s="203"/>
      <c r="H195" s="203"/>
      <c r="I195" s="203"/>
      <c r="J195" s="112"/>
      <c r="K195" s="202"/>
      <c r="L195" s="266"/>
      <c r="M195" s="204"/>
      <c r="N195" s="112"/>
      <c r="O195" s="204"/>
      <c r="P195" s="204"/>
      <c r="Q195" s="204"/>
      <c r="R195" s="112"/>
      <c r="S195" s="204"/>
      <c r="T195" s="204"/>
      <c r="U195" s="204"/>
      <c r="V195" s="112"/>
      <c r="W195" s="203"/>
      <c r="X195" s="203"/>
      <c r="Y195" s="203"/>
      <c r="Z195" s="112"/>
      <c r="AA195" s="226"/>
      <c r="AB195" s="226"/>
      <c r="AC195" s="226"/>
      <c r="AD195" s="112"/>
      <c r="AF195" s="203"/>
      <c r="AG195" s="203"/>
      <c r="AH195" s="112"/>
      <c r="AK195" s="11"/>
      <c r="AL195" s="404"/>
    </row>
    <row r="196" spans="1:38" x14ac:dyDescent="0.25">
      <c r="A196" s="194">
        <v>191</v>
      </c>
      <c r="B196" s="12" t="s">
        <v>118</v>
      </c>
      <c r="E196" s="204">
        <f>'1501 Summary'!AD37</f>
        <v>198.85</v>
      </c>
      <c r="F196" s="112"/>
      <c r="G196" s="203"/>
      <c r="H196" s="203"/>
      <c r="I196" s="203"/>
      <c r="J196" s="112"/>
      <c r="K196" s="202"/>
      <c r="L196" s="266"/>
      <c r="M196" s="204"/>
      <c r="N196" s="112"/>
      <c r="O196" s="204"/>
      <c r="P196" s="204"/>
      <c r="Q196" s="204"/>
      <c r="R196" s="112"/>
      <c r="S196" s="204"/>
      <c r="T196" s="204"/>
      <c r="U196" s="204"/>
      <c r="V196" s="112"/>
      <c r="W196" s="203"/>
      <c r="X196" s="203"/>
      <c r="Y196" s="203"/>
      <c r="Z196" s="112"/>
      <c r="AA196" s="226"/>
      <c r="AB196" s="226"/>
      <c r="AC196" s="226"/>
      <c r="AD196" s="112"/>
      <c r="AF196" s="203"/>
      <c r="AG196" s="203"/>
      <c r="AH196" s="112"/>
      <c r="AK196" s="11"/>
      <c r="AL196" s="404"/>
    </row>
    <row r="197" spans="1:38" x14ac:dyDescent="0.25">
      <c r="A197" s="194">
        <v>192</v>
      </c>
      <c r="B197" s="12" t="s">
        <v>119</v>
      </c>
      <c r="E197" s="204">
        <f>'1501 Summary'!AD38</f>
        <v>811.63</v>
      </c>
      <c r="F197" s="112"/>
      <c r="G197" s="203"/>
      <c r="H197" s="203"/>
      <c r="I197" s="203"/>
      <c r="J197" s="112"/>
      <c r="K197" s="202"/>
      <c r="L197" s="266"/>
      <c r="M197" s="204"/>
      <c r="N197" s="112"/>
      <c r="O197" s="204"/>
      <c r="P197" s="204"/>
      <c r="Q197" s="204"/>
      <c r="R197" s="112"/>
      <c r="S197" s="204"/>
      <c r="T197" s="204"/>
      <c r="U197" s="204"/>
      <c r="V197" s="112"/>
      <c r="W197" s="203"/>
      <c r="X197" s="203"/>
      <c r="Y197" s="203"/>
      <c r="Z197" s="112"/>
      <c r="AA197" s="226"/>
      <c r="AB197" s="226"/>
      <c r="AC197" s="226"/>
      <c r="AD197" s="112"/>
      <c r="AF197" s="203"/>
      <c r="AG197" s="203"/>
      <c r="AH197" s="112"/>
      <c r="AK197" s="11"/>
      <c r="AL197" s="404"/>
    </row>
    <row r="198" spans="1:38" x14ac:dyDescent="0.25">
      <c r="A198" s="194">
        <v>193</v>
      </c>
      <c r="B198" s="50" t="s">
        <v>181</v>
      </c>
      <c r="E198" s="204">
        <f>'1501 Summary'!AD39</f>
        <v>-166.03999999999996</v>
      </c>
      <c r="F198" s="112"/>
      <c r="G198" s="203"/>
      <c r="H198" s="203"/>
      <c r="I198" s="203"/>
      <c r="J198" s="112"/>
      <c r="K198" s="202"/>
      <c r="L198" s="266"/>
      <c r="M198" s="204"/>
      <c r="N198" s="112"/>
      <c r="O198" s="204"/>
      <c r="P198" s="204"/>
      <c r="Q198" s="204"/>
      <c r="R198" s="112"/>
      <c r="S198" s="204"/>
      <c r="T198" s="204"/>
      <c r="U198" s="204"/>
      <c r="V198" s="112"/>
      <c r="W198" s="203"/>
      <c r="X198" s="203"/>
      <c r="Y198" s="203"/>
      <c r="Z198" s="112"/>
      <c r="AA198" s="415"/>
      <c r="AB198" s="415"/>
      <c r="AC198" s="415"/>
      <c r="AD198" s="112"/>
      <c r="AF198" s="203"/>
      <c r="AG198" s="203"/>
      <c r="AH198" s="112"/>
      <c r="AK198" s="408"/>
      <c r="AL198" s="404"/>
    </row>
    <row r="199" spans="1:38" x14ac:dyDescent="0.25">
      <c r="A199" s="194">
        <v>194</v>
      </c>
      <c r="B199" s="50" t="s">
        <v>182</v>
      </c>
      <c r="E199" s="204">
        <f>'1501 Summary'!AD40</f>
        <v>-74.87</v>
      </c>
      <c r="F199" s="112"/>
      <c r="G199" s="203"/>
      <c r="H199" s="203"/>
      <c r="I199" s="203"/>
      <c r="J199" s="112"/>
      <c r="K199" s="202"/>
      <c r="L199" s="266"/>
      <c r="M199" s="204"/>
      <c r="N199" s="112"/>
      <c r="O199" s="204"/>
      <c r="P199" s="204"/>
      <c r="Q199" s="204"/>
      <c r="R199" s="112"/>
      <c r="S199" s="204"/>
      <c r="T199" s="204"/>
      <c r="U199" s="204"/>
      <c r="V199" s="112"/>
      <c r="W199" s="203"/>
      <c r="X199" s="203"/>
      <c r="Y199" s="203"/>
      <c r="Z199" s="112"/>
      <c r="AA199" s="415"/>
      <c r="AB199" s="415"/>
      <c r="AC199" s="415"/>
      <c r="AD199" s="112"/>
      <c r="AF199" s="203"/>
      <c r="AG199" s="203"/>
      <c r="AH199" s="112"/>
      <c r="AK199" s="408"/>
      <c r="AL199" s="404"/>
    </row>
    <row r="200" spans="1:38" x14ac:dyDescent="0.25">
      <c r="A200" s="194">
        <v>195</v>
      </c>
      <c r="B200" s="50" t="s">
        <v>183</v>
      </c>
      <c r="E200" s="204">
        <f>'1501 Summary'!AD41</f>
        <v>-120.50000000000003</v>
      </c>
      <c r="F200" s="112"/>
      <c r="G200" s="203"/>
      <c r="H200" s="203"/>
      <c r="I200" s="203"/>
      <c r="J200" s="112"/>
      <c r="K200" s="202"/>
      <c r="L200" s="266"/>
      <c r="M200" s="204"/>
      <c r="N200" s="112"/>
      <c r="O200" s="204"/>
      <c r="P200" s="204"/>
      <c r="Q200" s="204"/>
      <c r="R200" s="112"/>
      <c r="S200" s="204"/>
      <c r="T200" s="204"/>
      <c r="U200" s="204"/>
      <c r="V200" s="112"/>
      <c r="W200" s="203"/>
      <c r="X200" s="203"/>
      <c r="Y200" s="203"/>
      <c r="Z200" s="112"/>
      <c r="AA200" s="415"/>
      <c r="AB200" s="415"/>
      <c r="AC200" s="415"/>
      <c r="AD200" s="112"/>
      <c r="AF200" s="203"/>
      <c r="AG200" s="203"/>
      <c r="AH200" s="112"/>
      <c r="AK200" s="408"/>
      <c r="AL200" s="404"/>
    </row>
    <row r="201" spans="1:38" x14ac:dyDescent="0.25">
      <c r="A201" s="194">
        <v>196</v>
      </c>
      <c r="B201" s="12" t="s">
        <v>120</v>
      </c>
      <c r="E201" s="204">
        <f>'1501 Summary'!AD42</f>
        <v>1270.4000000000001</v>
      </c>
      <c r="F201" s="112"/>
      <c r="G201" s="203"/>
      <c r="H201" s="203"/>
      <c r="I201" s="203"/>
      <c r="J201" s="112"/>
      <c r="K201" s="202"/>
      <c r="L201" s="266"/>
      <c r="M201" s="204"/>
      <c r="N201" s="112"/>
      <c r="O201" s="204"/>
      <c r="P201" s="204"/>
      <c r="Q201" s="204"/>
      <c r="R201" s="112"/>
      <c r="S201" s="204"/>
      <c r="T201" s="204"/>
      <c r="U201" s="204"/>
      <c r="V201" s="112"/>
      <c r="W201" s="203"/>
      <c r="X201" s="203"/>
      <c r="Y201" s="203"/>
      <c r="Z201" s="112"/>
      <c r="AA201" s="226"/>
      <c r="AB201" s="226"/>
      <c r="AC201" s="226"/>
      <c r="AD201" s="112"/>
      <c r="AF201" s="203"/>
      <c r="AG201" s="203"/>
      <c r="AH201" s="112"/>
      <c r="AK201" s="11"/>
      <c r="AL201" s="404"/>
    </row>
    <row r="202" spans="1:38" x14ac:dyDescent="0.25">
      <c r="A202" s="194">
        <v>197</v>
      </c>
      <c r="B202" s="12" t="s">
        <v>24</v>
      </c>
      <c r="E202" s="204"/>
      <c r="F202" s="112"/>
      <c r="G202" s="203"/>
      <c r="H202" s="203"/>
      <c r="I202" s="203"/>
      <c r="J202" s="112"/>
      <c r="K202" s="202"/>
      <c r="L202" s="266"/>
      <c r="M202" s="204"/>
      <c r="N202" s="112"/>
      <c r="O202" s="204"/>
      <c r="P202" s="204"/>
      <c r="Q202" s="204"/>
      <c r="R202" s="112"/>
      <c r="S202" s="204"/>
      <c r="T202" s="204"/>
      <c r="U202" s="204"/>
      <c r="V202" s="112"/>
      <c r="W202" s="203"/>
      <c r="X202" s="203"/>
      <c r="Y202" s="203"/>
      <c r="Z202" s="112"/>
      <c r="AA202" s="416"/>
      <c r="AB202" s="416"/>
      <c r="AC202" s="416"/>
      <c r="AD202" s="112"/>
      <c r="AF202" s="203"/>
      <c r="AG202" s="203"/>
      <c r="AH202" s="112"/>
      <c r="AK202" s="409"/>
      <c r="AL202" s="404"/>
    </row>
    <row r="203" spans="1:38" x14ac:dyDescent="0.25">
      <c r="A203" s="194">
        <v>198</v>
      </c>
      <c r="B203" s="12" t="s">
        <v>14</v>
      </c>
      <c r="E203" s="204">
        <f>'Revenue Reconcilliation'!Q134</f>
        <v>0</v>
      </c>
      <c r="F203" s="112"/>
      <c r="G203" s="203"/>
      <c r="H203" s="203"/>
      <c r="I203" s="203"/>
      <c r="J203" s="112"/>
      <c r="K203" s="202"/>
      <c r="L203" s="266"/>
      <c r="M203" s="204"/>
      <c r="N203" s="112"/>
      <c r="O203" s="204"/>
      <c r="P203" s="204"/>
      <c r="Q203" s="204"/>
      <c r="R203" s="112"/>
      <c r="S203" s="204"/>
      <c r="T203" s="204"/>
      <c r="U203" s="204"/>
      <c r="V203" s="112"/>
      <c r="W203" s="203"/>
      <c r="X203" s="203"/>
      <c r="Y203" s="203"/>
      <c r="Z203" s="112"/>
      <c r="AA203" s="416"/>
      <c r="AB203" s="416"/>
      <c r="AC203" s="416"/>
      <c r="AD203" s="112"/>
      <c r="AF203" s="203"/>
      <c r="AG203" s="203"/>
      <c r="AH203" s="112"/>
      <c r="AK203" s="409"/>
      <c r="AL203" s="404"/>
    </row>
    <row r="204" spans="1:38" x14ac:dyDescent="0.25">
      <c r="A204" s="194">
        <v>199</v>
      </c>
      <c r="B204" s="12" t="s">
        <v>15</v>
      </c>
      <c r="E204" s="204">
        <f>'Revenue Reconcilliation'!Q135</f>
        <v>0</v>
      </c>
      <c r="F204" s="112"/>
      <c r="G204" s="203"/>
      <c r="H204" s="203"/>
      <c r="I204" s="203"/>
      <c r="J204" s="112"/>
      <c r="K204" s="202"/>
      <c r="L204" s="266"/>
      <c r="M204" s="204"/>
      <c r="N204" s="112"/>
      <c r="O204" s="204"/>
      <c r="P204" s="204"/>
      <c r="Q204" s="204"/>
      <c r="R204" s="112"/>
      <c r="S204" s="204"/>
      <c r="T204" s="204"/>
      <c r="U204" s="204"/>
      <c r="V204" s="112"/>
      <c r="W204" s="203"/>
      <c r="X204" s="203"/>
      <c r="Y204" s="203"/>
      <c r="Z204" s="112"/>
      <c r="AA204" s="229"/>
      <c r="AB204" s="229"/>
      <c r="AC204" s="229"/>
      <c r="AD204" s="112"/>
      <c r="AF204" s="203"/>
      <c r="AG204" s="203"/>
      <c r="AH204" s="112"/>
      <c r="AK204" s="12"/>
      <c r="AL204" s="404"/>
    </row>
    <row r="205" spans="1:38" x14ac:dyDescent="0.25">
      <c r="A205" s="194">
        <v>200</v>
      </c>
      <c r="B205" s="12" t="s">
        <v>16</v>
      </c>
      <c r="E205" s="204">
        <f>'Revenue Reconcilliation'!Q136</f>
        <v>-6019.84</v>
      </c>
      <c r="F205" s="112"/>
      <c r="G205" s="203"/>
      <c r="H205" s="203"/>
      <c r="I205" s="203"/>
      <c r="J205" s="112"/>
      <c r="K205" s="202"/>
      <c r="L205" s="266"/>
      <c r="M205" s="204"/>
      <c r="N205" s="112"/>
      <c r="O205" s="204"/>
      <c r="P205" s="204"/>
      <c r="Q205" s="204"/>
      <c r="R205" s="112"/>
      <c r="S205" s="204"/>
      <c r="T205" s="204"/>
      <c r="U205" s="204"/>
      <c r="V205" s="112"/>
      <c r="W205" s="203"/>
      <c r="X205" s="203"/>
      <c r="Y205" s="203"/>
      <c r="Z205" s="112"/>
      <c r="AA205" s="204"/>
      <c r="AB205" s="204"/>
      <c r="AC205" s="204"/>
      <c r="AD205" s="112"/>
      <c r="AF205" s="203"/>
      <c r="AG205" s="203"/>
      <c r="AH205" s="112"/>
      <c r="AK205" s="25"/>
      <c r="AL205" s="404"/>
    </row>
    <row r="206" spans="1:38" x14ac:dyDescent="0.25">
      <c r="A206" s="194">
        <v>201</v>
      </c>
      <c r="B206" s="12" t="s">
        <v>17</v>
      </c>
      <c r="E206" s="204">
        <f>'Revenue Reconcilliation'!Q137</f>
        <v>548.26</v>
      </c>
      <c r="F206" s="112"/>
      <c r="G206" s="203"/>
      <c r="H206" s="203"/>
      <c r="I206" s="203"/>
      <c r="J206" s="112"/>
      <c r="K206" s="202"/>
      <c r="L206" s="266"/>
      <c r="M206" s="204"/>
      <c r="N206" s="112"/>
      <c r="O206" s="204"/>
      <c r="P206" s="204"/>
      <c r="Q206" s="204"/>
      <c r="R206" s="112"/>
      <c r="S206" s="204"/>
      <c r="T206" s="204"/>
      <c r="U206" s="204"/>
      <c r="V206" s="112"/>
      <c r="W206" s="203"/>
      <c r="X206" s="203"/>
      <c r="Y206" s="203"/>
      <c r="Z206" s="112"/>
      <c r="AA206" s="204"/>
      <c r="AB206" s="204"/>
      <c r="AC206" s="204"/>
      <c r="AD206" s="112"/>
      <c r="AF206" s="203"/>
      <c r="AG206" s="203"/>
      <c r="AH206" s="112"/>
      <c r="AK206" s="25"/>
      <c r="AL206" s="404"/>
    </row>
    <row r="207" spans="1:38" x14ac:dyDescent="0.25">
      <c r="A207" s="194">
        <v>202</v>
      </c>
      <c r="B207" s="12" t="s">
        <v>18</v>
      </c>
      <c r="E207" s="204">
        <f>'Revenue Reconcilliation'!Q138</f>
        <v>0</v>
      </c>
      <c r="F207" s="112"/>
      <c r="G207" s="203"/>
      <c r="H207" s="203"/>
      <c r="I207" s="203"/>
      <c r="J207" s="112"/>
      <c r="K207" s="202"/>
      <c r="L207" s="266"/>
      <c r="M207" s="204"/>
      <c r="N207" s="112"/>
      <c r="O207" s="204"/>
      <c r="P207" s="204"/>
      <c r="Q207" s="204"/>
      <c r="R207" s="112"/>
      <c r="S207" s="204"/>
      <c r="T207" s="204"/>
      <c r="U207" s="204"/>
      <c r="V207" s="112"/>
      <c r="W207" s="203"/>
      <c r="X207" s="203"/>
      <c r="Y207" s="203"/>
      <c r="Z207" s="112"/>
      <c r="AA207" s="204"/>
      <c r="AB207" s="204"/>
      <c r="AC207" s="204"/>
      <c r="AD207" s="112"/>
      <c r="AF207" s="203"/>
      <c r="AG207" s="203"/>
      <c r="AH207" s="112"/>
      <c r="AK207" s="25"/>
      <c r="AL207" s="404"/>
    </row>
    <row r="208" spans="1:38" x14ac:dyDescent="0.25">
      <c r="A208" s="194">
        <v>203</v>
      </c>
      <c r="B208" s="5" t="s">
        <v>13</v>
      </c>
      <c r="E208" s="204">
        <f>'Revenue Reconcilliation'!Q139</f>
        <v>0</v>
      </c>
      <c r="F208" s="112"/>
      <c r="G208" s="203"/>
      <c r="H208" s="203"/>
      <c r="I208" s="203"/>
      <c r="J208" s="112"/>
      <c r="K208" s="202"/>
      <c r="L208" s="266"/>
      <c r="M208" s="204"/>
      <c r="N208" s="112"/>
      <c r="O208" s="204"/>
      <c r="P208" s="204"/>
      <c r="Q208" s="204"/>
      <c r="R208" s="112"/>
      <c r="S208" s="204"/>
      <c r="T208" s="204"/>
      <c r="U208" s="204"/>
      <c r="V208" s="112"/>
      <c r="W208" s="203"/>
      <c r="X208" s="203"/>
      <c r="Y208" s="203"/>
      <c r="Z208" s="112"/>
      <c r="AA208" s="204"/>
      <c r="AB208" s="204"/>
      <c r="AC208" s="204"/>
      <c r="AD208" s="112"/>
      <c r="AF208" s="203"/>
      <c r="AG208" s="203"/>
      <c r="AH208" s="112"/>
      <c r="AK208" s="25"/>
      <c r="AL208" s="404"/>
    </row>
    <row r="209" spans="1:38" x14ac:dyDescent="0.25">
      <c r="A209" s="194">
        <v>204</v>
      </c>
      <c r="B209" s="5" t="s">
        <v>53</v>
      </c>
      <c r="E209" s="204">
        <f>'Revenue Reconcilliation'!Q140</f>
        <v>-22362.400000000001</v>
      </c>
      <c r="F209" s="112"/>
      <c r="G209" s="203"/>
      <c r="H209" s="203"/>
      <c r="I209" s="203"/>
      <c r="J209" s="112"/>
      <c r="K209" s="202"/>
      <c r="L209" s="266"/>
      <c r="M209" s="204"/>
      <c r="N209" s="112"/>
      <c r="O209" s="204"/>
      <c r="P209" s="204"/>
      <c r="Q209" s="204"/>
      <c r="R209" s="112"/>
      <c r="S209" s="204"/>
      <c r="T209" s="204"/>
      <c r="U209" s="204"/>
      <c r="V209" s="112"/>
      <c r="W209" s="203"/>
      <c r="X209" s="203"/>
      <c r="Y209" s="203"/>
      <c r="Z209" s="112"/>
      <c r="AA209" s="204"/>
      <c r="AB209" s="204"/>
      <c r="AC209" s="204"/>
      <c r="AD209" s="112"/>
      <c r="AF209" s="203"/>
      <c r="AG209" s="203"/>
      <c r="AH209" s="112"/>
      <c r="AK209" s="25"/>
      <c r="AL209" s="404"/>
    </row>
    <row r="210" spans="1:38" x14ac:dyDescent="0.25">
      <c r="A210" s="194">
        <v>205</v>
      </c>
      <c r="B210" s="5" t="s">
        <v>54</v>
      </c>
      <c r="E210" s="204">
        <f>'Revenue Reconcilliation'!Q141</f>
        <v>22904.080000000002</v>
      </c>
      <c r="F210" s="112"/>
      <c r="G210" s="203"/>
      <c r="H210" s="203"/>
      <c r="I210" s="203"/>
      <c r="J210" s="112"/>
      <c r="K210" s="202"/>
      <c r="L210" s="266"/>
      <c r="M210" s="204"/>
      <c r="N210" s="112"/>
      <c r="O210" s="204"/>
      <c r="P210" s="204"/>
      <c r="Q210" s="204"/>
      <c r="R210" s="112"/>
      <c r="S210" s="204"/>
      <c r="T210" s="204"/>
      <c r="U210" s="204"/>
      <c r="V210" s="112"/>
      <c r="W210" s="203"/>
      <c r="X210" s="203"/>
      <c r="Y210" s="203"/>
      <c r="Z210" s="112"/>
      <c r="AA210" s="204"/>
      <c r="AB210" s="204"/>
      <c r="AC210" s="204"/>
      <c r="AD210" s="112"/>
      <c r="AF210" s="203"/>
      <c r="AG210" s="203"/>
      <c r="AH210" s="112"/>
      <c r="AK210" s="25"/>
      <c r="AL210" s="404"/>
    </row>
    <row r="211" spans="1:38" x14ac:dyDescent="0.25">
      <c r="A211" s="194">
        <v>206</v>
      </c>
      <c r="B211" s="12" t="s">
        <v>91</v>
      </c>
      <c r="E211" s="204">
        <f>SUM(E192:E210)</f>
        <v>-2355.66</v>
      </c>
      <c r="F211" s="112"/>
      <c r="G211" s="203"/>
      <c r="H211" s="203"/>
      <c r="I211" s="203"/>
      <c r="J211" s="112"/>
      <c r="K211" s="202"/>
      <c r="L211" s="266"/>
      <c r="M211" s="204"/>
      <c r="N211" s="112"/>
      <c r="O211" s="204"/>
      <c r="P211" s="204"/>
      <c r="Q211" s="204"/>
      <c r="R211" s="112"/>
      <c r="S211" s="204"/>
      <c r="T211" s="204"/>
      <c r="U211" s="204"/>
      <c r="V211" s="112"/>
      <c r="W211" s="203"/>
      <c r="X211" s="203"/>
      <c r="Y211" s="203"/>
      <c r="Z211" s="112"/>
      <c r="AA211" s="204"/>
      <c r="AB211" s="204"/>
      <c r="AC211" s="204"/>
      <c r="AD211" s="112"/>
      <c r="AF211" s="203"/>
      <c r="AG211" s="203"/>
      <c r="AH211" s="112"/>
      <c r="AK211" s="25"/>
      <c r="AL211" s="404"/>
    </row>
    <row r="212" spans="1:38" x14ac:dyDescent="0.25">
      <c r="A212" s="194">
        <v>207</v>
      </c>
      <c r="E212" s="204"/>
      <c r="F212" s="112"/>
      <c r="G212" s="203"/>
      <c r="H212" s="203"/>
      <c r="I212" s="203"/>
      <c r="J212" s="112"/>
      <c r="K212" s="202"/>
      <c r="L212" s="266"/>
      <c r="M212" s="204"/>
      <c r="N212" s="112"/>
      <c r="O212" s="204"/>
      <c r="P212" s="204"/>
      <c r="Q212" s="204"/>
      <c r="R212" s="112"/>
      <c r="S212" s="204"/>
      <c r="T212" s="204"/>
      <c r="U212" s="204"/>
      <c r="V212" s="112"/>
      <c r="W212" s="203"/>
      <c r="X212" s="203"/>
      <c r="Y212" s="203"/>
      <c r="Z212" s="112"/>
      <c r="AA212" s="204"/>
      <c r="AB212" s="204"/>
      <c r="AC212" s="204"/>
      <c r="AD212" s="112"/>
      <c r="AF212" s="203"/>
      <c r="AG212" s="203"/>
      <c r="AH212" s="112"/>
      <c r="AK212" s="25"/>
      <c r="AL212" s="404"/>
    </row>
    <row r="213" spans="1:38" x14ac:dyDescent="0.25">
      <c r="A213" s="194">
        <v>208</v>
      </c>
      <c r="B213" s="51" t="s">
        <v>178</v>
      </c>
      <c r="C213" s="208">
        <f>E213-'Revenue Reconcilliation'!Q142</f>
        <v>0</v>
      </c>
      <c r="D213" s="209" t="s">
        <v>45</v>
      </c>
      <c r="E213" s="207">
        <f>SUM(E187,E189,E211)</f>
        <v>17513.560000000001</v>
      </c>
      <c r="F213" s="115"/>
      <c r="G213" s="208"/>
      <c r="H213" s="208"/>
      <c r="I213" s="208"/>
      <c r="J213" s="115"/>
      <c r="K213" s="239"/>
      <c r="L213" s="283"/>
      <c r="M213" s="207"/>
      <c r="N213" s="115"/>
      <c r="O213" s="207"/>
      <c r="P213" s="207"/>
      <c r="Q213" s="207"/>
      <c r="R213" s="115"/>
      <c r="S213" s="207"/>
      <c r="T213" s="207"/>
      <c r="U213" s="207"/>
      <c r="V213" s="115"/>
      <c r="W213" s="208"/>
      <c r="X213" s="208"/>
      <c r="Y213" s="208"/>
      <c r="Z213" s="115"/>
      <c r="AA213" s="207"/>
      <c r="AB213" s="207"/>
      <c r="AC213" s="207"/>
      <c r="AD213" s="115"/>
      <c r="AE213" s="239"/>
      <c r="AF213" s="208"/>
      <c r="AG213" s="208"/>
      <c r="AH213" s="115"/>
      <c r="AI213" s="35"/>
      <c r="AJ213" s="35"/>
      <c r="AK213" s="30"/>
      <c r="AL213" s="404"/>
    </row>
    <row r="214" spans="1:38" x14ac:dyDescent="0.25">
      <c r="A214" s="194">
        <v>209</v>
      </c>
      <c r="B214" s="179"/>
      <c r="C214" s="184"/>
      <c r="D214" s="185"/>
      <c r="E214" s="186"/>
      <c r="F214" s="181"/>
      <c r="G214" s="184"/>
      <c r="H214" s="184"/>
      <c r="I214" s="184"/>
      <c r="J214" s="181"/>
      <c r="K214" s="275"/>
      <c r="L214" s="284"/>
      <c r="M214" s="186"/>
      <c r="N214" s="181"/>
      <c r="O214" s="186"/>
      <c r="P214" s="186"/>
      <c r="Q214" s="186"/>
      <c r="R214" s="181"/>
      <c r="S214" s="186"/>
      <c r="T214" s="186"/>
      <c r="U214" s="186"/>
      <c r="V214" s="181"/>
      <c r="W214" s="184"/>
      <c r="X214" s="184"/>
      <c r="Y214" s="184"/>
      <c r="Z214" s="181"/>
      <c r="AA214" s="186"/>
      <c r="AB214" s="186"/>
      <c r="AC214" s="186"/>
      <c r="AD214" s="181"/>
      <c r="AE214" s="275"/>
      <c r="AF214" s="184"/>
      <c r="AG214" s="184"/>
      <c r="AH214" s="181"/>
      <c r="AI214" s="182"/>
      <c r="AJ214" s="182"/>
      <c r="AK214" s="180"/>
      <c r="AL214" s="404"/>
    </row>
    <row r="215" spans="1:38" x14ac:dyDescent="0.25">
      <c r="A215" s="194">
        <v>210</v>
      </c>
      <c r="B215" s="18" t="s">
        <v>167</v>
      </c>
      <c r="C215" s="187"/>
      <c r="E215" s="186"/>
      <c r="F215" s="181"/>
      <c r="G215" s="184" t="s">
        <v>520</v>
      </c>
      <c r="H215" s="184"/>
      <c r="I215" s="184"/>
      <c r="J215" s="181"/>
      <c r="K215" s="275"/>
      <c r="L215" s="284"/>
      <c r="M215" s="186"/>
      <c r="N215" s="181"/>
      <c r="O215" s="186"/>
      <c r="P215" s="186"/>
      <c r="Q215" s="186"/>
      <c r="R215" s="181"/>
      <c r="S215" s="186"/>
      <c r="T215" s="186"/>
      <c r="U215" s="186"/>
      <c r="V215" s="181"/>
      <c r="W215" s="184"/>
      <c r="X215" s="184"/>
      <c r="Y215" s="184"/>
      <c r="Z215" s="181"/>
      <c r="AA215" s="186"/>
      <c r="AB215" s="186"/>
      <c r="AC215" s="186"/>
      <c r="AD215" s="181"/>
      <c r="AE215" s="275"/>
      <c r="AF215" s="184"/>
      <c r="AG215" s="184"/>
      <c r="AH215" s="181"/>
      <c r="AI215" s="182"/>
      <c r="AJ215" s="182"/>
      <c r="AK215" s="180"/>
      <c r="AL215" s="404"/>
    </row>
    <row r="216" spans="1:38" x14ac:dyDescent="0.25">
      <c r="A216" s="194">
        <v>211</v>
      </c>
      <c r="B216" s="12" t="s">
        <v>9</v>
      </c>
      <c r="C216" s="220">
        <f>E216/D216</f>
        <v>12</v>
      </c>
      <c r="D216" s="203">
        <v>60</v>
      </c>
      <c r="E216" s="186">
        <f>'1501 Summary'!AD180</f>
        <v>720</v>
      </c>
      <c r="F216" s="181"/>
      <c r="G216" s="265">
        <f>-C216</f>
        <v>-12</v>
      </c>
      <c r="H216" s="203">
        <f>D216</f>
        <v>60</v>
      </c>
      <c r="I216" s="204">
        <f>H216*G216</f>
        <v>-720</v>
      </c>
      <c r="J216" s="181"/>
      <c r="K216" s="202">
        <f t="shared" ref="K216:K219" si="47">C216+G216</f>
        <v>0</v>
      </c>
      <c r="L216" s="203">
        <f t="shared" ref="L216" si="48">D216</f>
        <v>60</v>
      </c>
      <c r="M216" s="204">
        <f t="shared" ref="M216:M219" si="49">L216*K216</f>
        <v>0</v>
      </c>
      <c r="N216" s="181"/>
      <c r="O216" s="186"/>
      <c r="P216" s="186"/>
      <c r="Q216" s="186"/>
      <c r="R216" s="181"/>
      <c r="S216" s="186"/>
      <c r="T216" s="186"/>
      <c r="U216" s="186"/>
      <c r="V216" s="181"/>
      <c r="W216" s="184"/>
      <c r="X216" s="184"/>
      <c r="Y216" s="184"/>
      <c r="Z216" s="181"/>
      <c r="AA216" s="186"/>
      <c r="AB216" s="186"/>
      <c r="AC216" s="186"/>
      <c r="AD216" s="181"/>
      <c r="AE216" s="275"/>
      <c r="AF216" s="184"/>
      <c r="AG216" s="184"/>
      <c r="AH216" s="181"/>
      <c r="AI216" s="182"/>
      <c r="AJ216" s="182"/>
      <c r="AK216" s="180"/>
      <c r="AL216" s="404"/>
    </row>
    <row r="217" spans="1:38" x14ac:dyDescent="0.25">
      <c r="A217" s="194">
        <v>212</v>
      </c>
      <c r="B217" s="12" t="s">
        <v>514</v>
      </c>
      <c r="C217" s="220">
        <f>E217/D217</f>
        <v>1747.0729931096298</v>
      </c>
      <c r="D217" s="205">
        <v>0.17851</v>
      </c>
      <c r="E217" s="186">
        <f>'1501 Summary'!AD181</f>
        <v>311.87</v>
      </c>
      <c r="F217" s="181"/>
      <c r="G217" s="265">
        <f>-C217</f>
        <v>-1747.0729931096298</v>
      </c>
      <c r="H217" s="203">
        <f t="shared" ref="H217" si="50">D217</f>
        <v>0.17851</v>
      </c>
      <c r="I217" s="186">
        <f t="shared" ref="I217" si="51">H217*G217</f>
        <v>-311.87</v>
      </c>
      <c r="J217" s="181"/>
      <c r="K217" s="202">
        <f t="shared" si="47"/>
        <v>0</v>
      </c>
      <c r="L217" s="266">
        <v>0.20175999999999999</v>
      </c>
      <c r="M217" s="186">
        <f t="shared" si="49"/>
        <v>0</v>
      </c>
      <c r="N217" s="181"/>
      <c r="O217" s="186"/>
      <c r="P217" s="186"/>
      <c r="Q217" s="186"/>
      <c r="R217" s="181"/>
      <c r="S217" s="186"/>
      <c r="T217" s="186"/>
      <c r="U217" s="186"/>
      <c r="V217" s="181"/>
      <c r="W217" s="184"/>
      <c r="X217" s="184"/>
      <c r="Y217" s="184"/>
      <c r="Z217" s="181"/>
      <c r="AA217" s="186"/>
      <c r="AB217" s="186"/>
      <c r="AC217" s="186"/>
      <c r="AD217" s="181"/>
      <c r="AE217" s="275"/>
      <c r="AF217" s="184"/>
      <c r="AG217" s="184"/>
      <c r="AH217" s="181"/>
      <c r="AI217" s="182"/>
      <c r="AJ217" s="182"/>
      <c r="AK217" s="180"/>
      <c r="AL217" s="404"/>
    </row>
    <row r="218" spans="1:38" x14ac:dyDescent="0.25">
      <c r="A218" s="194">
        <v>213</v>
      </c>
      <c r="B218" s="190" t="s">
        <v>515</v>
      </c>
      <c r="C218" s="220">
        <f t="shared" ref="C218:C219" si="52">E218/D218</f>
        <v>621.01404164072767</v>
      </c>
      <c r="D218" s="205">
        <v>0.14457</v>
      </c>
      <c r="E218" s="186">
        <f>'1501 Summary'!AD182</f>
        <v>89.78</v>
      </c>
      <c r="F218" s="181"/>
      <c r="G218" s="265">
        <f t="shared" ref="G218:G219" si="53">-C218</f>
        <v>-621.01404164072767</v>
      </c>
      <c r="H218" s="203">
        <f t="shared" ref="H218:H219" si="54">D218</f>
        <v>0.14457</v>
      </c>
      <c r="I218" s="186">
        <f t="shared" ref="I218:I219" si="55">H218*G218</f>
        <v>-89.78</v>
      </c>
      <c r="J218" s="181"/>
      <c r="K218" s="202">
        <f t="shared" si="47"/>
        <v>0</v>
      </c>
      <c r="L218" s="284">
        <v>0.16481000000000001</v>
      </c>
      <c r="M218" s="186">
        <f t="shared" si="49"/>
        <v>0</v>
      </c>
      <c r="N218" s="181"/>
      <c r="O218" s="186"/>
      <c r="P218" s="186"/>
      <c r="Q218" s="186"/>
      <c r="R218" s="181"/>
      <c r="S218" s="186"/>
      <c r="T218" s="186"/>
      <c r="U218" s="186"/>
      <c r="V218" s="181"/>
      <c r="W218" s="184"/>
      <c r="X218" s="184"/>
      <c r="Y218" s="184"/>
      <c r="Z218" s="181"/>
      <c r="AA218" s="186"/>
      <c r="AB218" s="186"/>
      <c r="AC218" s="186"/>
      <c r="AD218" s="181"/>
      <c r="AE218" s="275"/>
      <c r="AF218" s="184"/>
      <c r="AG218" s="184"/>
      <c r="AH218" s="181"/>
      <c r="AI218" s="182"/>
      <c r="AJ218" s="182"/>
      <c r="AK218" s="180"/>
      <c r="AL218" s="404"/>
    </row>
    <row r="219" spans="1:38" x14ac:dyDescent="0.25">
      <c r="A219" s="194">
        <v>214</v>
      </c>
      <c r="B219" s="54" t="s">
        <v>162</v>
      </c>
      <c r="C219" s="220">
        <f t="shared" si="52"/>
        <v>0</v>
      </c>
      <c r="D219" s="221">
        <v>0.13944000000000001</v>
      </c>
      <c r="E219" s="207">
        <v>0</v>
      </c>
      <c r="F219" s="181"/>
      <c r="G219" s="265">
        <f t="shared" si="53"/>
        <v>0</v>
      </c>
      <c r="H219" s="203">
        <f t="shared" si="54"/>
        <v>0.13944000000000001</v>
      </c>
      <c r="I219" s="207">
        <f t="shared" si="55"/>
        <v>0</v>
      </c>
      <c r="J219" s="181"/>
      <c r="K219" s="202">
        <f t="shared" si="47"/>
        <v>0</v>
      </c>
      <c r="L219" s="284">
        <v>0.15923000000000001</v>
      </c>
      <c r="M219" s="207">
        <f t="shared" si="49"/>
        <v>0</v>
      </c>
      <c r="N219" s="181"/>
      <c r="O219" s="186"/>
      <c r="P219" s="186"/>
      <c r="Q219" s="186"/>
      <c r="R219" s="181"/>
      <c r="S219" s="186"/>
      <c r="T219" s="186"/>
      <c r="U219" s="186"/>
      <c r="V219" s="181"/>
      <c r="W219" s="184"/>
      <c r="X219" s="184"/>
      <c r="Y219" s="184"/>
      <c r="Z219" s="181"/>
      <c r="AA219" s="186"/>
      <c r="AB219" s="186"/>
      <c r="AC219" s="186"/>
      <c r="AD219" s="181"/>
      <c r="AE219" s="275"/>
      <c r="AF219" s="184"/>
      <c r="AG219" s="184"/>
      <c r="AH219" s="181"/>
      <c r="AI219" s="182"/>
      <c r="AJ219" s="182"/>
      <c r="AK219" s="180"/>
      <c r="AL219" s="404"/>
    </row>
    <row r="220" spans="1:38" x14ac:dyDescent="0.25">
      <c r="A220" s="194">
        <v>215</v>
      </c>
      <c r="B220" s="12" t="s">
        <v>10</v>
      </c>
      <c r="C220" s="184"/>
      <c r="E220" s="186">
        <f>SUM(E216:E219)</f>
        <v>1121.6499999999999</v>
      </c>
      <c r="F220" s="181"/>
      <c r="G220" s="184"/>
      <c r="H220" s="184"/>
      <c r="I220" s="186">
        <f>SUM(I216:I219)</f>
        <v>-1121.6499999999999</v>
      </c>
      <c r="J220" s="181"/>
      <c r="K220" s="275"/>
      <c r="L220" s="284"/>
      <c r="M220" s="186">
        <f>SUM(M216:M219)</f>
        <v>0</v>
      </c>
      <c r="N220" s="181"/>
      <c r="O220" s="186"/>
      <c r="P220" s="186"/>
      <c r="Q220" s="186"/>
      <c r="R220" s="181"/>
      <c r="S220" s="186"/>
      <c r="T220" s="186"/>
      <c r="U220" s="186"/>
      <c r="V220" s="181"/>
      <c r="W220" s="184"/>
      <c r="X220" s="184"/>
      <c r="Y220" s="184"/>
      <c r="Z220" s="181"/>
      <c r="AA220" s="186"/>
      <c r="AB220" s="186"/>
      <c r="AC220" s="186"/>
      <c r="AD220" s="181"/>
      <c r="AE220" s="275"/>
      <c r="AF220" s="184"/>
      <c r="AG220" s="184"/>
      <c r="AH220" s="181"/>
      <c r="AI220" s="182"/>
      <c r="AJ220" s="182"/>
      <c r="AK220" s="180"/>
      <c r="AL220" s="404"/>
    </row>
    <row r="221" spans="1:38" x14ac:dyDescent="0.25">
      <c r="A221" s="194">
        <v>216</v>
      </c>
      <c r="C221" s="187"/>
      <c r="D221" s="185"/>
      <c r="E221" s="186"/>
      <c r="F221" s="181"/>
      <c r="G221" s="184"/>
      <c r="H221" s="184"/>
      <c r="I221" s="184"/>
      <c r="J221" s="181"/>
      <c r="K221" s="275"/>
      <c r="L221" s="284"/>
      <c r="M221" s="186"/>
      <c r="N221" s="181"/>
      <c r="O221" s="186"/>
      <c r="P221" s="186"/>
      <c r="Q221" s="186"/>
      <c r="R221" s="181"/>
      <c r="S221" s="186"/>
      <c r="T221" s="186"/>
      <c r="U221" s="186"/>
      <c r="V221" s="181"/>
      <c r="W221" s="184"/>
      <c r="X221" s="184"/>
      <c r="Y221" s="184"/>
      <c r="Z221" s="181"/>
      <c r="AA221" s="186"/>
      <c r="AB221" s="186"/>
      <c r="AC221" s="186"/>
      <c r="AD221" s="181"/>
      <c r="AE221" s="275"/>
      <c r="AF221" s="184"/>
      <c r="AG221" s="184"/>
      <c r="AH221" s="181"/>
      <c r="AI221" s="182"/>
      <c r="AJ221" s="182"/>
      <c r="AK221" s="180"/>
      <c r="AL221" s="404"/>
    </row>
    <row r="222" spans="1:38" x14ac:dyDescent="0.25">
      <c r="A222" s="194">
        <v>217</v>
      </c>
      <c r="B222" s="12" t="s">
        <v>11</v>
      </c>
      <c r="C222" s="184"/>
      <c r="D222" s="185"/>
      <c r="E222" s="186">
        <f>'1501 Summary'!AD183</f>
        <v>654.19000000000005</v>
      </c>
      <c r="F222" s="181"/>
      <c r="G222" s="184"/>
      <c r="H222" s="184"/>
      <c r="I222" s="184"/>
      <c r="J222" s="181"/>
      <c r="K222" s="275"/>
      <c r="L222" s="284"/>
      <c r="M222" s="186"/>
      <c r="N222" s="181"/>
      <c r="O222" s="186"/>
      <c r="P222" s="186"/>
      <c r="Q222" s="186"/>
      <c r="R222" s="181"/>
      <c r="S222" s="186"/>
      <c r="T222" s="186"/>
      <c r="U222" s="186"/>
      <c r="V222" s="181"/>
      <c r="W222" s="184"/>
      <c r="X222" s="184"/>
      <c r="Y222" s="184"/>
      <c r="Z222" s="181"/>
      <c r="AA222" s="186"/>
      <c r="AB222" s="186"/>
      <c r="AC222" s="186"/>
      <c r="AD222" s="181"/>
      <c r="AE222" s="275"/>
      <c r="AF222" s="184"/>
      <c r="AG222" s="184"/>
      <c r="AH222" s="181"/>
      <c r="AI222" s="182"/>
      <c r="AJ222" s="182"/>
      <c r="AK222" s="180"/>
      <c r="AL222" s="404"/>
    </row>
    <row r="223" spans="1:38" x14ac:dyDescent="0.25">
      <c r="A223" s="194">
        <v>218</v>
      </c>
      <c r="C223" s="187"/>
      <c r="D223" s="185"/>
      <c r="E223" s="186"/>
      <c r="F223" s="181"/>
      <c r="G223" s="184"/>
      <c r="H223" s="184"/>
      <c r="I223" s="184"/>
      <c r="J223" s="181"/>
      <c r="K223" s="275"/>
      <c r="L223" s="284"/>
      <c r="M223" s="186"/>
      <c r="N223" s="181"/>
      <c r="O223" s="186"/>
      <c r="P223" s="186"/>
      <c r="Q223" s="186"/>
      <c r="R223" s="181"/>
      <c r="S223" s="186"/>
      <c r="T223" s="186"/>
      <c r="U223" s="186"/>
      <c r="V223" s="181"/>
      <c r="W223" s="184"/>
      <c r="X223" s="184"/>
      <c r="Y223" s="184"/>
      <c r="Z223" s="181"/>
      <c r="AA223" s="186"/>
      <c r="AB223" s="186"/>
      <c r="AC223" s="186"/>
      <c r="AD223" s="181"/>
      <c r="AE223" s="275"/>
      <c r="AF223" s="184"/>
      <c r="AG223" s="184"/>
      <c r="AH223" s="181"/>
      <c r="AI223" s="182"/>
      <c r="AJ223" s="182"/>
      <c r="AK223" s="180"/>
      <c r="AL223" s="404"/>
    </row>
    <row r="224" spans="1:38" x14ac:dyDescent="0.25">
      <c r="A224" s="194">
        <v>219</v>
      </c>
      <c r="B224" s="12" t="s">
        <v>12</v>
      </c>
      <c r="C224" s="184"/>
      <c r="D224" s="185"/>
      <c r="E224" s="186"/>
      <c r="F224" s="181"/>
      <c r="G224" s="184"/>
      <c r="H224" s="184"/>
      <c r="I224" s="184"/>
      <c r="J224" s="181"/>
      <c r="K224" s="275"/>
      <c r="L224" s="284"/>
      <c r="M224" s="186"/>
      <c r="N224" s="181"/>
      <c r="O224" s="186"/>
      <c r="P224" s="186"/>
      <c r="Q224" s="186"/>
      <c r="R224" s="181"/>
      <c r="S224" s="186"/>
      <c r="T224" s="186"/>
      <c r="U224" s="186"/>
      <c r="V224" s="181"/>
      <c r="W224" s="184"/>
      <c r="X224" s="184"/>
      <c r="Y224" s="184"/>
      <c r="Z224" s="181"/>
      <c r="AA224" s="186"/>
      <c r="AB224" s="186"/>
      <c r="AC224" s="186"/>
      <c r="AD224" s="181"/>
      <c r="AE224" s="275"/>
      <c r="AF224" s="184"/>
      <c r="AG224" s="184"/>
      <c r="AH224" s="181"/>
      <c r="AI224" s="182"/>
      <c r="AJ224" s="182"/>
      <c r="AK224" s="180"/>
      <c r="AL224" s="404"/>
    </row>
    <row r="225" spans="1:38" x14ac:dyDescent="0.25">
      <c r="A225" s="194">
        <v>220</v>
      </c>
      <c r="B225" s="12" t="s">
        <v>484</v>
      </c>
      <c r="C225" s="187"/>
      <c r="D225" s="185"/>
      <c r="E225" s="186">
        <f>'1501 Summary'!AD184</f>
        <v>145.78</v>
      </c>
      <c r="F225" s="181"/>
      <c r="G225" s="184"/>
      <c r="H225" s="184"/>
      <c r="I225" s="184"/>
      <c r="J225" s="181"/>
      <c r="K225" s="275"/>
      <c r="L225" s="284"/>
      <c r="M225" s="186"/>
      <c r="N225" s="181"/>
      <c r="O225" s="186"/>
      <c r="P225" s="186"/>
      <c r="Q225" s="186"/>
      <c r="R225" s="181"/>
      <c r="S225" s="186"/>
      <c r="T225" s="186"/>
      <c r="U225" s="186"/>
      <c r="V225" s="181"/>
      <c r="W225" s="184"/>
      <c r="X225" s="184"/>
      <c r="Y225" s="184"/>
      <c r="Z225" s="181"/>
      <c r="AA225" s="186"/>
      <c r="AB225" s="186"/>
      <c r="AC225" s="186"/>
      <c r="AD225" s="181"/>
      <c r="AE225" s="275"/>
      <c r="AF225" s="184"/>
      <c r="AG225" s="184"/>
      <c r="AH225" s="181"/>
      <c r="AI225" s="182"/>
      <c r="AJ225" s="182"/>
      <c r="AK225" s="180"/>
      <c r="AL225" s="404"/>
    </row>
    <row r="226" spans="1:38" x14ac:dyDescent="0.25">
      <c r="A226" s="194">
        <v>221</v>
      </c>
      <c r="B226" s="12" t="s">
        <v>115</v>
      </c>
      <c r="C226" s="184"/>
      <c r="D226" s="185"/>
      <c r="E226" s="186">
        <f>'1501 Summary'!AD185</f>
        <v>3.4099999999999997</v>
      </c>
      <c r="F226" s="181"/>
      <c r="G226" s="184"/>
      <c r="H226" s="184"/>
      <c r="I226" s="184"/>
      <c r="J226" s="181"/>
      <c r="K226" s="275"/>
      <c r="L226" s="284"/>
      <c r="M226" s="186"/>
      <c r="N226" s="181"/>
      <c r="O226" s="186"/>
      <c r="P226" s="186"/>
      <c r="Q226" s="186"/>
      <c r="R226" s="181"/>
      <c r="S226" s="186"/>
      <c r="T226" s="186"/>
      <c r="U226" s="186"/>
      <c r="V226" s="181"/>
      <c r="W226" s="184"/>
      <c r="X226" s="184"/>
      <c r="Y226" s="184"/>
      <c r="Z226" s="181"/>
      <c r="AA226" s="186"/>
      <c r="AB226" s="186"/>
      <c r="AC226" s="186"/>
      <c r="AD226" s="181"/>
      <c r="AE226" s="275"/>
      <c r="AF226" s="184"/>
      <c r="AG226" s="184"/>
      <c r="AH226" s="181"/>
      <c r="AI226" s="182"/>
      <c r="AJ226" s="182"/>
      <c r="AK226" s="180"/>
      <c r="AL226" s="404"/>
    </row>
    <row r="227" spans="1:38" x14ac:dyDescent="0.25">
      <c r="A227" s="194">
        <v>222</v>
      </c>
      <c r="B227" s="12" t="s">
        <v>116</v>
      </c>
      <c r="C227" s="187"/>
      <c r="D227" s="185"/>
      <c r="E227" s="186">
        <f>'1501 Summary'!AD186</f>
        <v>12.46</v>
      </c>
      <c r="F227" s="181"/>
      <c r="G227" s="184"/>
      <c r="H227" s="184"/>
      <c r="I227" s="184"/>
      <c r="J227" s="181"/>
      <c r="K227" s="275"/>
      <c r="L227" s="284"/>
      <c r="M227" s="186"/>
      <c r="N227" s="181"/>
      <c r="O227" s="186"/>
      <c r="P227" s="186"/>
      <c r="Q227" s="186"/>
      <c r="R227" s="181"/>
      <c r="S227" s="186"/>
      <c r="T227" s="186"/>
      <c r="U227" s="186"/>
      <c r="V227" s="181"/>
      <c r="W227" s="184"/>
      <c r="X227" s="184"/>
      <c r="Y227" s="184"/>
      <c r="Z227" s="181"/>
      <c r="AA227" s="186"/>
      <c r="AB227" s="186"/>
      <c r="AC227" s="186"/>
      <c r="AD227" s="181"/>
      <c r="AE227" s="275"/>
      <c r="AF227" s="184"/>
      <c r="AG227" s="184"/>
      <c r="AH227" s="181"/>
      <c r="AI227" s="182"/>
      <c r="AJ227" s="182"/>
      <c r="AK227" s="180"/>
      <c r="AL227" s="404"/>
    </row>
    <row r="228" spans="1:38" x14ac:dyDescent="0.25">
      <c r="A228" s="194">
        <v>223</v>
      </c>
      <c r="B228" s="12" t="s">
        <v>117</v>
      </c>
      <c r="C228" s="184"/>
      <c r="D228" s="185"/>
      <c r="E228" s="186">
        <f>'1501 Summary'!AD187</f>
        <v>1.54</v>
      </c>
      <c r="F228" s="181"/>
      <c r="G228" s="184"/>
      <c r="H228" s="184"/>
      <c r="I228" s="184"/>
      <c r="J228" s="181"/>
      <c r="K228" s="275"/>
      <c r="L228" s="284"/>
      <c r="M228" s="186"/>
      <c r="N228" s="181"/>
      <c r="O228" s="186"/>
      <c r="P228" s="186"/>
      <c r="Q228" s="186"/>
      <c r="R228" s="181"/>
      <c r="S228" s="186"/>
      <c r="T228" s="186"/>
      <c r="U228" s="186"/>
      <c r="V228" s="181"/>
      <c r="W228" s="184"/>
      <c r="X228" s="184"/>
      <c r="Y228" s="184"/>
      <c r="Z228" s="181"/>
      <c r="AA228" s="186"/>
      <c r="AB228" s="186"/>
      <c r="AC228" s="186"/>
      <c r="AD228" s="181"/>
      <c r="AE228" s="275"/>
      <c r="AF228" s="184"/>
      <c r="AG228" s="184"/>
      <c r="AH228" s="181"/>
      <c r="AI228" s="182"/>
      <c r="AJ228" s="182"/>
      <c r="AK228" s="180"/>
      <c r="AL228" s="404"/>
    </row>
    <row r="229" spans="1:38" x14ac:dyDescent="0.25">
      <c r="A229" s="194">
        <v>224</v>
      </c>
      <c r="B229" s="12" t="s">
        <v>118</v>
      </c>
      <c r="C229" s="187"/>
      <c r="D229" s="185"/>
      <c r="E229" s="186">
        <f>'1501 Summary'!AD188</f>
        <v>11.420000000000002</v>
      </c>
      <c r="F229" s="181"/>
      <c r="G229" s="184"/>
      <c r="H229" s="184"/>
      <c r="I229" s="184"/>
      <c r="J229" s="181"/>
      <c r="K229" s="275"/>
      <c r="L229" s="284"/>
      <c r="M229" s="186"/>
      <c r="N229" s="181"/>
      <c r="O229" s="186"/>
      <c r="P229" s="186"/>
      <c r="Q229" s="186"/>
      <c r="R229" s="181"/>
      <c r="S229" s="186"/>
      <c r="T229" s="186"/>
      <c r="U229" s="186"/>
      <c r="V229" s="181"/>
      <c r="W229" s="184"/>
      <c r="X229" s="184"/>
      <c r="Y229" s="184"/>
      <c r="Z229" s="181"/>
      <c r="AA229" s="186"/>
      <c r="AB229" s="186"/>
      <c r="AC229" s="186"/>
      <c r="AD229" s="181"/>
      <c r="AE229" s="275"/>
      <c r="AF229" s="184"/>
      <c r="AG229" s="184"/>
      <c r="AH229" s="181"/>
      <c r="AI229" s="182"/>
      <c r="AJ229" s="182"/>
      <c r="AK229" s="180"/>
      <c r="AL229" s="404"/>
    </row>
    <row r="230" spans="1:38" x14ac:dyDescent="0.25">
      <c r="A230" s="194">
        <v>225</v>
      </c>
      <c r="B230" s="12" t="s">
        <v>119</v>
      </c>
      <c r="C230" s="184"/>
      <c r="D230" s="185"/>
      <c r="E230" s="186">
        <f>'1501 Summary'!AD189</f>
        <v>44.84</v>
      </c>
      <c r="F230" s="181"/>
      <c r="G230" s="184"/>
      <c r="H230" s="184"/>
      <c r="I230" s="184"/>
      <c r="J230" s="181"/>
      <c r="K230" s="275"/>
      <c r="L230" s="284"/>
      <c r="M230" s="186"/>
      <c r="N230" s="181"/>
      <c r="O230" s="186"/>
      <c r="P230" s="186"/>
      <c r="Q230" s="186"/>
      <c r="R230" s="181"/>
      <c r="S230" s="186"/>
      <c r="T230" s="186"/>
      <c r="U230" s="186"/>
      <c r="V230" s="181"/>
      <c r="W230" s="184"/>
      <c r="X230" s="184"/>
      <c r="Y230" s="184"/>
      <c r="Z230" s="181"/>
      <c r="AA230" s="186"/>
      <c r="AB230" s="186"/>
      <c r="AC230" s="186"/>
      <c r="AD230" s="181"/>
      <c r="AE230" s="275"/>
      <c r="AF230" s="184"/>
      <c r="AG230" s="184"/>
      <c r="AH230" s="181"/>
      <c r="AI230" s="182"/>
      <c r="AJ230" s="182"/>
      <c r="AK230" s="180"/>
      <c r="AL230" s="404"/>
    </row>
    <row r="231" spans="1:38" x14ac:dyDescent="0.25">
      <c r="A231" s="194">
        <v>226</v>
      </c>
      <c r="B231" s="50" t="s">
        <v>181</v>
      </c>
      <c r="C231" s="187"/>
      <c r="D231" s="185"/>
      <c r="E231" s="186">
        <f>'1501 Summary'!AD190</f>
        <v>-6.15</v>
      </c>
      <c r="F231" s="181"/>
      <c r="G231" s="184"/>
      <c r="H231" s="184"/>
      <c r="I231" s="184"/>
      <c r="J231" s="181"/>
      <c r="K231" s="275"/>
      <c r="L231" s="284"/>
      <c r="M231" s="186"/>
      <c r="N231" s="181"/>
      <c r="O231" s="186"/>
      <c r="P231" s="186"/>
      <c r="Q231" s="186"/>
      <c r="R231" s="181"/>
      <c r="S231" s="186"/>
      <c r="T231" s="186"/>
      <c r="U231" s="186"/>
      <c r="V231" s="181"/>
      <c r="W231" s="184"/>
      <c r="X231" s="184"/>
      <c r="Y231" s="184"/>
      <c r="Z231" s="181"/>
      <c r="AA231" s="186"/>
      <c r="AB231" s="186"/>
      <c r="AC231" s="186"/>
      <c r="AD231" s="181"/>
      <c r="AE231" s="275"/>
      <c r="AF231" s="184"/>
      <c r="AG231" s="184"/>
      <c r="AH231" s="181"/>
      <c r="AI231" s="182"/>
      <c r="AJ231" s="182"/>
      <c r="AK231" s="180"/>
      <c r="AL231" s="404"/>
    </row>
    <row r="232" spans="1:38" x14ac:dyDescent="0.25">
      <c r="A232" s="194">
        <v>227</v>
      </c>
      <c r="B232" s="50" t="s">
        <v>182</v>
      </c>
      <c r="C232" s="184"/>
      <c r="D232" s="185"/>
      <c r="E232" s="186">
        <f>'1501 Summary'!AD191</f>
        <v>-2.8599999999999994</v>
      </c>
      <c r="F232" s="181"/>
      <c r="G232" s="184"/>
      <c r="H232" s="184"/>
      <c r="I232" s="184"/>
      <c r="J232" s="181"/>
      <c r="K232" s="275"/>
      <c r="L232" s="284"/>
      <c r="M232" s="186"/>
      <c r="N232" s="181"/>
      <c r="O232" s="186"/>
      <c r="P232" s="186"/>
      <c r="Q232" s="186"/>
      <c r="R232" s="181"/>
      <c r="S232" s="186"/>
      <c r="T232" s="186"/>
      <c r="U232" s="186"/>
      <c r="V232" s="181"/>
      <c r="W232" s="184"/>
      <c r="X232" s="184"/>
      <c r="Y232" s="184"/>
      <c r="Z232" s="181"/>
      <c r="AA232" s="186"/>
      <c r="AB232" s="186"/>
      <c r="AC232" s="186"/>
      <c r="AD232" s="181"/>
      <c r="AE232" s="275"/>
      <c r="AF232" s="184"/>
      <c r="AG232" s="184"/>
      <c r="AH232" s="181"/>
      <c r="AI232" s="182"/>
      <c r="AJ232" s="182"/>
      <c r="AK232" s="180"/>
      <c r="AL232" s="404"/>
    </row>
    <row r="233" spans="1:38" x14ac:dyDescent="0.25">
      <c r="A233" s="194">
        <v>228</v>
      </c>
      <c r="B233" s="50" t="s">
        <v>183</v>
      </c>
      <c r="C233" s="187"/>
      <c r="D233" s="185"/>
      <c r="E233" s="186">
        <f>'1501 Summary'!AD192</f>
        <v>-3.47</v>
      </c>
      <c r="F233" s="181"/>
      <c r="G233" s="184"/>
      <c r="H233" s="184"/>
      <c r="I233" s="184"/>
      <c r="J233" s="181"/>
      <c r="K233" s="275"/>
      <c r="L233" s="284"/>
      <c r="M233" s="186"/>
      <c r="N233" s="181"/>
      <c r="O233" s="186"/>
      <c r="P233" s="186"/>
      <c r="Q233" s="186"/>
      <c r="R233" s="181"/>
      <c r="S233" s="186"/>
      <c r="T233" s="186"/>
      <c r="U233" s="186"/>
      <c r="V233" s="181"/>
      <c r="W233" s="184"/>
      <c r="X233" s="184"/>
      <c r="Y233" s="184"/>
      <c r="Z233" s="181"/>
      <c r="AA233" s="186"/>
      <c r="AB233" s="186"/>
      <c r="AC233" s="186"/>
      <c r="AD233" s="181"/>
      <c r="AE233" s="275"/>
      <c r="AF233" s="184"/>
      <c r="AG233" s="184"/>
      <c r="AH233" s="181"/>
      <c r="AI233" s="182"/>
      <c r="AJ233" s="182"/>
      <c r="AK233" s="180"/>
      <c r="AL233" s="404"/>
    </row>
    <row r="234" spans="1:38" x14ac:dyDescent="0.25">
      <c r="A234" s="194">
        <v>229</v>
      </c>
      <c r="B234" s="12" t="s">
        <v>120</v>
      </c>
      <c r="C234" s="184"/>
      <c r="D234" s="185"/>
      <c r="E234" s="186"/>
      <c r="F234" s="181"/>
      <c r="G234" s="184"/>
      <c r="H234" s="184"/>
      <c r="I234" s="184"/>
      <c r="J234" s="181"/>
      <c r="K234" s="275"/>
      <c r="L234" s="284"/>
      <c r="M234" s="186"/>
      <c r="N234" s="181"/>
      <c r="O234" s="186"/>
      <c r="P234" s="186"/>
      <c r="Q234" s="186"/>
      <c r="R234" s="181"/>
      <c r="S234" s="186"/>
      <c r="T234" s="186"/>
      <c r="U234" s="186"/>
      <c r="V234" s="181"/>
      <c r="W234" s="184"/>
      <c r="X234" s="184"/>
      <c r="Y234" s="184"/>
      <c r="Z234" s="181"/>
      <c r="AA234" s="186"/>
      <c r="AB234" s="186"/>
      <c r="AC234" s="186"/>
      <c r="AD234" s="181"/>
      <c r="AE234" s="275"/>
      <c r="AF234" s="184"/>
      <c r="AG234" s="184"/>
      <c r="AH234" s="181"/>
      <c r="AI234" s="182"/>
      <c r="AJ234" s="182"/>
      <c r="AK234" s="180"/>
      <c r="AL234" s="404"/>
    </row>
    <row r="235" spans="1:38" x14ac:dyDescent="0.25">
      <c r="A235" s="194">
        <v>230</v>
      </c>
      <c r="B235" s="12" t="s">
        <v>24</v>
      </c>
      <c r="C235" s="187"/>
      <c r="D235" s="185"/>
      <c r="E235" s="186"/>
      <c r="F235" s="181"/>
      <c r="G235" s="184"/>
      <c r="H235" s="184"/>
      <c r="I235" s="184"/>
      <c r="J235" s="181"/>
      <c r="K235" s="275"/>
      <c r="L235" s="284"/>
      <c r="M235" s="186"/>
      <c r="N235" s="181"/>
      <c r="O235" s="186"/>
      <c r="P235" s="186"/>
      <c r="Q235" s="186"/>
      <c r="R235" s="181"/>
      <c r="S235" s="186"/>
      <c r="T235" s="186"/>
      <c r="U235" s="186"/>
      <c r="V235" s="181"/>
      <c r="W235" s="184"/>
      <c r="X235" s="184"/>
      <c r="Y235" s="184"/>
      <c r="Z235" s="181"/>
      <c r="AA235" s="186"/>
      <c r="AB235" s="186"/>
      <c r="AC235" s="186"/>
      <c r="AD235" s="181"/>
      <c r="AE235" s="275"/>
      <c r="AF235" s="184"/>
      <c r="AG235" s="184"/>
      <c r="AH235" s="181"/>
      <c r="AI235" s="182"/>
      <c r="AJ235" s="182"/>
      <c r="AK235" s="180"/>
      <c r="AL235" s="404"/>
    </row>
    <row r="236" spans="1:38" x14ac:dyDescent="0.25">
      <c r="A236" s="194">
        <v>231</v>
      </c>
      <c r="B236" s="12" t="s">
        <v>14</v>
      </c>
      <c r="C236" s="184"/>
      <c r="D236" s="185"/>
      <c r="E236" s="186">
        <f>'Revenue Reconcilliation'!Q154</f>
        <v>0</v>
      </c>
      <c r="F236" s="181"/>
      <c r="G236" s="184"/>
      <c r="H236" s="184"/>
      <c r="I236" s="184"/>
      <c r="J236" s="181"/>
      <c r="K236" s="275"/>
      <c r="L236" s="284"/>
      <c r="M236" s="186"/>
      <c r="N236" s="181"/>
      <c r="O236" s="186"/>
      <c r="P236" s="186"/>
      <c r="Q236" s="186"/>
      <c r="R236" s="181"/>
      <c r="S236" s="186"/>
      <c r="T236" s="186"/>
      <c r="U236" s="186"/>
      <c r="V236" s="181"/>
      <c r="W236" s="184"/>
      <c r="X236" s="184"/>
      <c r="Y236" s="184"/>
      <c r="Z236" s="181"/>
      <c r="AA236" s="186"/>
      <c r="AB236" s="186"/>
      <c r="AC236" s="186"/>
      <c r="AD236" s="181"/>
      <c r="AE236" s="275"/>
      <c r="AF236" s="184"/>
      <c r="AG236" s="184"/>
      <c r="AH236" s="181"/>
      <c r="AI236" s="182"/>
      <c r="AJ236" s="182"/>
      <c r="AK236" s="180"/>
      <c r="AL236" s="404"/>
    </row>
    <row r="237" spans="1:38" x14ac:dyDescent="0.25">
      <c r="A237" s="194">
        <v>232</v>
      </c>
      <c r="B237" s="12" t="s">
        <v>15</v>
      </c>
      <c r="C237" s="187"/>
      <c r="D237" s="185"/>
      <c r="E237" s="186">
        <f>'Revenue Reconcilliation'!Q155</f>
        <v>0</v>
      </c>
      <c r="F237" s="181"/>
      <c r="G237" s="184"/>
      <c r="H237" s="184"/>
      <c r="I237" s="184"/>
      <c r="J237" s="181"/>
      <c r="K237" s="275"/>
      <c r="L237" s="284"/>
      <c r="M237" s="186"/>
      <c r="N237" s="181"/>
      <c r="O237" s="186"/>
      <c r="P237" s="186"/>
      <c r="Q237" s="186"/>
      <c r="R237" s="181"/>
      <c r="S237" s="186"/>
      <c r="T237" s="186"/>
      <c r="U237" s="186"/>
      <c r="V237" s="181"/>
      <c r="W237" s="184"/>
      <c r="X237" s="184"/>
      <c r="Y237" s="184"/>
      <c r="Z237" s="181"/>
      <c r="AA237" s="186"/>
      <c r="AB237" s="186"/>
      <c r="AC237" s="186"/>
      <c r="AD237" s="181"/>
      <c r="AE237" s="275"/>
      <c r="AF237" s="184"/>
      <c r="AG237" s="184"/>
      <c r="AH237" s="181"/>
      <c r="AI237" s="182"/>
      <c r="AJ237" s="182"/>
      <c r="AK237" s="180"/>
      <c r="AL237" s="404"/>
    </row>
    <row r="238" spans="1:38" x14ac:dyDescent="0.25">
      <c r="A238" s="194">
        <v>233</v>
      </c>
      <c r="B238" s="12" t="s">
        <v>16</v>
      </c>
      <c r="C238" s="184"/>
      <c r="D238" s="185"/>
      <c r="E238" s="186">
        <f>'Revenue Reconcilliation'!Q156</f>
        <v>3356.48</v>
      </c>
      <c r="F238" s="181"/>
      <c r="G238" s="184"/>
      <c r="H238" s="184"/>
      <c r="I238" s="184"/>
      <c r="J238" s="181"/>
      <c r="K238" s="275"/>
      <c r="L238" s="284"/>
      <c r="M238" s="186"/>
      <c r="N238" s="181"/>
      <c r="O238" s="186"/>
      <c r="P238" s="186"/>
      <c r="Q238" s="186"/>
      <c r="R238" s="181"/>
      <c r="S238" s="186"/>
      <c r="T238" s="186"/>
      <c r="U238" s="186"/>
      <c r="V238" s="181"/>
      <c r="W238" s="184"/>
      <c r="X238" s="184"/>
      <c r="Y238" s="184"/>
      <c r="Z238" s="181"/>
      <c r="AA238" s="186"/>
      <c r="AB238" s="186"/>
      <c r="AC238" s="186"/>
      <c r="AD238" s="181"/>
      <c r="AE238" s="275"/>
      <c r="AF238" s="184"/>
      <c r="AG238" s="184"/>
      <c r="AH238" s="181"/>
      <c r="AI238" s="182"/>
      <c r="AJ238" s="182"/>
      <c r="AK238" s="180"/>
      <c r="AL238" s="404"/>
    </row>
    <row r="239" spans="1:38" x14ac:dyDescent="0.25">
      <c r="A239" s="194">
        <v>234</v>
      </c>
      <c r="B239" s="12" t="s">
        <v>17</v>
      </c>
      <c r="C239" s="187"/>
      <c r="D239" s="185"/>
      <c r="E239" s="186">
        <f>'Revenue Reconcilliation'!Q157</f>
        <v>-2.1899999999999995</v>
      </c>
      <c r="F239" s="181"/>
      <c r="G239" s="184"/>
      <c r="H239" s="184"/>
      <c r="I239" s="184"/>
      <c r="J239" s="181"/>
      <c r="K239" s="275"/>
      <c r="L239" s="284"/>
      <c r="M239" s="186"/>
      <c r="N239" s="181"/>
      <c r="O239" s="186"/>
      <c r="P239" s="186"/>
      <c r="Q239" s="186"/>
      <c r="R239" s="181"/>
      <c r="S239" s="186"/>
      <c r="T239" s="186"/>
      <c r="U239" s="186"/>
      <c r="V239" s="181"/>
      <c r="W239" s="184"/>
      <c r="X239" s="184"/>
      <c r="Y239" s="184"/>
      <c r="Z239" s="181"/>
      <c r="AA239" s="186"/>
      <c r="AB239" s="186"/>
      <c r="AC239" s="186"/>
      <c r="AD239" s="181"/>
      <c r="AE239" s="275"/>
      <c r="AF239" s="184"/>
      <c r="AG239" s="184"/>
      <c r="AH239" s="181"/>
      <c r="AI239" s="182"/>
      <c r="AJ239" s="182"/>
      <c r="AK239" s="180"/>
      <c r="AL239" s="404"/>
    </row>
    <row r="240" spans="1:38" x14ac:dyDescent="0.25">
      <c r="A240" s="194">
        <v>235</v>
      </c>
      <c r="B240" s="12" t="s">
        <v>18</v>
      </c>
      <c r="C240" s="184"/>
      <c r="D240" s="185"/>
      <c r="E240" s="186">
        <f>'Revenue Reconcilliation'!Q158</f>
        <v>0</v>
      </c>
      <c r="F240" s="181"/>
      <c r="G240" s="184"/>
      <c r="H240" s="184"/>
      <c r="I240" s="184"/>
      <c r="J240" s="181"/>
      <c r="K240" s="275"/>
      <c r="L240" s="284"/>
      <c r="M240" s="186"/>
      <c r="N240" s="181"/>
      <c r="O240" s="186"/>
      <c r="P240" s="186"/>
      <c r="Q240" s="186"/>
      <c r="R240" s="181"/>
      <c r="S240" s="186"/>
      <c r="T240" s="186"/>
      <c r="U240" s="186"/>
      <c r="V240" s="181"/>
      <c r="W240" s="184"/>
      <c r="X240" s="184"/>
      <c r="Y240" s="184"/>
      <c r="Z240" s="181"/>
      <c r="AA240" s="186"/>
      <c r="AB240" s="186"/>
      <c r="AC240" s="186"/>
      <c r="AD240" s="181"/>
      <c r="AE240" s="275"/>
      <c r="AF240" s="184"/>
      <c r="AG240" s="184"/>
      <c r="AH240" s="181"/>
      <c r="AI240" s="182"/>
      <c r="AJ240" s="182"/>
      <c r="AK240" s="180"/>
      <c r="AL240" s="404"/>
    </row>
    <row r="241" spans="1:38" x14ac:dyDescent="0.25">
      <c r="A241" s="194">
        <v>236</v>
      </c>
      <c r="B241" s="5" t="s">
        <v>13</v>
      </c>
      <c r="C241" s="187"/>
      <c r="D241" s="185"/>
      <c r="E241" s="186">
        <f>'Revenue Reconcilliation'!Q159</f>
        <v>0</v>
      </c>
      <c r="F241" s="181"/>
      <c r="G241" s="184"/>
      <c r="H241" s="184"/>
      <c r="I241" s="184"/>
      <c r="J241" s="181"/>
      <c r="K241" s="275"/>
      <c r="L241" s="284"/>
      <c r="M241" s="186"/>
      <c r="N241" s="181"/>
      <c r="O241" s="186"/>
      <c r="P241" s="186"/>
      <c r="Q241" s="186"/>
      <c r="R241" s="181"/>
      <c r="S241" s="186"/>
      <c r="T241" s="186"/>
      <c r="U241" s="186"/>
      <c r="V241" s="181"/>
      <c r="W241" s="184"/>
      <c r="X241" s="184"/>
      <c r="Y241" s="184"/>
      <c r="Z241" s="181"/>
      <c r="AA241" s="186"/>
      <c r="AB241" s="186"/>
      <c r="AC241" s="186"/>
      <c r="AD241" s="181"/>
      <c r="AE241" s="275"/>
      <c r="AF241" s="184"/>
      <c r="AG241" s="184"/>
      <c r="AH241" s="181"/>
      <c r="AI241" s="182"/>
      <c r="AJ241" s="182"/>
      <c r="AK241" s="180"/>
      <c r="AL241" s="404"/>
    </row>
    <row r="242" spans="1:38" x14ac:dyDescent="0.25">
      <c r="A242" s="194">
        <v>237</v>
      </c>
      <c r="B242" s="5" t="s">
        <v>53</v>
      </c>
      <c r="C242" s="184"/>
      <c r="D242" s="185"/>
      <c r="E242" s="186">
        <f>'Revenue Reconcilliation'!Q160</f>
        <v>-1979.85</v>
      </c>
      <c r="F242" s="181"/>
      <c r="G242" s="184"/>
      <c r="H242" s="184"/>
      <c r="I242" s="184"/>
      <c r="J242" s="181"/>
      <c r="K242" s="275"/>
      <c r="L242" s="284"/>
      <c r="M242" s="186"/>
      <c r="N242" s="181"/>
      <c r="O242" s="186"/>
      <c r="P242" s="186"/>
      <c r="Q242" s="186"/>
      <c r="R242" s="181"/>
      <c r="S242" s="186"/>
      <c r="T242" s="186"/>
      <c r="U242" s="186"/>
      <c r="V242" s="181"/>
      <c r="W242" s="184"/>
      <c r="X242" s="184"/>
      <c r="Y242" s="184"/>
      <c r="Z242" s="181"/>
      <c r="AA242" s="186"/>
      <c r="AB242" s="186"/>
      <c r="AC242" s="186"/>
      <c r="AD242" s="181"/>
      <c r="AE242" s="275"/>
      <c r="AF242" s="184"/>
      <c r="AG242" s="184"/>
      <c r="AH242" s="181"/>
      <c r="AI242" s="182"/>
      <c r="AJ242" s="182"/>
      <c r="AK242" s="180"/>
      <c r="AL242" s="404"/>
    </row>
    <row r="243" spans="1:38" x14ac:dyDescent="0.25">
      <c r="A243" s="194">
        <v>238</v>
      </c>
      <c r="B243" s="5" t="s">
        <v>54</v>
      </c>
      <c r="C243" s="187"/>
      <c r="D243" s="185"/>
      <c r="E243" s="207">
        <f>'Revenue Reconcilliation'!Q161</f>
        <v>2127.86</v>
      </c>
      <c r="F243" s="181"/>
      <c r="G243" s="184"/>
      <c r="H243" s="184"/>
      <c r="I243" s="184"/>
      <c r="J243" s="181"/>
      <c r="K243" s="275"/>
      <c r="L243" s="284"/>
      <c r="M243" s="186"/>
      <c r="N243" s="181"/>
      <c r="O243" s="186"/>
      <c r="P243" s="186"/>
      <c r="Q243" s="186"/>
      <c r="R243" s="181"/>
      <c r="S243" s="186"/>
      <c r="T243" s="186"/>
      <c r="U243" s="186"/>
      <c r="V243" s="181"/>
      <c r="W243" s="184"/>
      <c r="X243" s="184"/>
      <c r="Y243" s="184"/>
      <c r="Z243" s="181"/>
      <c r="AA243" s="186"/>
      <c r="AB243" s="186"/>
      <c r="AC243" s="186"/>
      <c r="AD243" s="181"/>
      <c r="AE243" s="275"/>
      <c r="AF243" s="184"/>
      <c r="AG243" s="184"/>
      <c r="AH243" s="181"/>
      <c r="AI243" s="182"/>
      <c r="AJ243" s="182"/>
      <c r="AK243" s="180"/>
      <c r="AL243" s="404"/>
    </row>
    <row r="244" spans="1:38" x14ac:dyDescent="0.25">
      <c r="A244" s="194">
        <v>239</v>
      </c>
      <c r="B244" s="12" t="s">
        <v>91</v>
      </c>
      <c r="C244" s="184"/>
      <c r="D244" s="185"/>
      <c r="E244" s="186">
        <f>SUM(E225:E243)</f>
        <v>3709.27</v>
      </c>
      <c r="F244" s="181"/>
      <c r="G244" s="184"/>
      <c r="H244" s="184"/>
      <c r="I244" s="184"/>
      <c r="J244" s="181"/>
      <c r="K244" s="275"/>
      <c r="L244" s="284"/>
      <c r="M244" s="186"/>
      <c r="N244" s="181"/>
      <c r="O244" s="186"/>
      <c r="P244" s="186"/>
      <c r="Q244" s="186"/>
      <c r="R244" s="181"/>
      <c r="S244" s="186"/>
      <c r="T244" s="186"/>
      <c r="U244" s="186"/>
      <c r="V244" s="181"/>
      <c r="W244" s="184"/>
      <c r="X244" s="184"/>
      <c r="Y244" s="184"/>
      <c r="Z244" s="181"/>
      <c r="AA244" s="186"/>
      <c r="AB244" s="186"/>
      <c r="AC244" s="186"/>
      <c r="AD244" s="181"/>
      <c r="AE244" s="275"/>
      <c r="AF244" s="184"/>
      <c r="AG244" s="184"/>
      <c r="AH244" s="181"/>
      <c r="AI244" s="182"/>
      <c r="AJ244" s="182"/>
      <c r="AK244" s="180"/>
      <c r="AL244" s="404"/>
    </row>
    <row r="245" spans="1:38" x14ac:dyDescent="0.25">
      <c r="A245" s="194">
        <v>240</v>
      </c>
      <c r="C245" s="187"/>
      <c r="D245" s="185"/>
      <c r="E245" s="186"/>
      <c r="F245" s="181"/>
      <c r="G245" s="184"/>
      <c r="H245" s="184"/>
      <c r="I245" s="184"/>
      <c r="J245" s="181"/>
      <c r="K245" s="275"/>
      <c r="L245" s="284"/>
      <c r="M245" s="186"/>
      <c r="N245" s="181"/>
      <c r="O245" s="186"/>
      <c r="P245" s="186"/>
      <c r="Q245" s="186"/>
      <c r="R245" s="181"/>
      <c r="S245" s="186"/>
      <c r="T245" s="186"/>
      <c r="U245" s="186"/>
      <c r="V245" s="181"/>
      <c r="W245" s="184"/>
      <c r="X245" s="184"/>
      <c r="Y245" s="184"/>
      <c r="Z245" s="181"/>
      <c r="AA245" s="186"/>
      <c r="AB245" s="186"/>
      <c r="AC245" s="186"/>
      <c r="AD245" s="181"/>
      <c r="AE245" s="275"/>
      <c r="AF245" s="184"/>
      <c r="AG245" s="184"/>
      <c r="AH245" s="181"/>
      <c r="AI245" s="182"/>
      <c r="AJ245" s="182"/>
      <c r="AK245" s="180"/>
      <c r="AL245" s="404"/>
    </row>
    <row r="246" spans="1:38" x14ac:dyDescent="0.25">
      <c r="A246" s="194">
        <v>241</v>
      </c>
      <c r="B246" s="51" t="s">
        <v>513</v>
      </c>
      <c r="C246" s="184">
        <f>E246-'Revenue Reconcilliation'!Q162</f>
        <v>0</v>
      </c>
      <c r="D246" s="185" t="s">
        <v>45</v>
      </c>
      <c r="E246" s="186">
        <f>SUM(E220,E222,E244)</f>
        <v>5485.11</v>
      </c>
      <c r="F246" s="181"/>
      <c r="G246" s="184"/>
      <c r="H246" s="184"/>
      <c r="I246" s="184"/>
      <c r="J246" s="181"/>
      <c r="K246" s="275"/>
      <c r="L246" s="284"/>
      <c r="M246" s="186"/>
      <c r="N246" s="181"/>
      <c r="O246" s="186"/>
      <c r="P246" s="186"/>
      <c r="Q246" s="186"/>
      <c r="R246" s="181"/>
      <c r="S246" s="186"/>
      <c r="T246" s="186"/>
      <c r="U246" s="186"/>
      <c r="V246" s="181"/>
      <c r="W246" s="184"/>
      <c r="X246" s="184"/>
      <c r="Y246" s="184"/>
      <c r="Z246" s="181"/>
      <c r="AA246" s="186"/>
      <c r="AB246" s="186"/>
      <c r="AC246" s="186"/>
      <c r="AD246" s="181"/>
      <c r="AE246" s="275"/>
      <c r="AF246" s="184"/>
      <c r="AG246" s="184"/>
      <c r="AH246" s="181"/>
      <c r="AI246" s="182"/>
      <c r="AJ246" s="182"/>
      <c r="AK246" s="180"/>
      <c r="AL246" s="404"/>
    </row>
    <row r="247" spans="1:38" x14ac:dyDescent="0.25">
      <c r="A247" s="194">
        <v>242</v>
      </c>
      <c r="B247" s="179"/>
      <c r="C247" s="187"/>
      <c r="D247" s="185"/>
      <c r="E247" s="186"/>
      <c r="F247" s="181"/>
      <c r="G247" s="184"/>
      <c r="H247" s="184"/>
      <c r="I247" s="184"/>
      <c r="J247" s="181"/>
      <c r="K247" s="275"/>
      <c r="L247" s="284"/>
      <c r="M247" s="186"/>
      <c r="N247" s="181"/>
      <c r="O247" s="186"/>
      <c r="P247" s="186"/>
      <c r="Q247" s="186"/>
      <c r="R247" s="181"/>
      <c r="S247" s="186"/>
      <c r="T247" s="186"/>
      <c r="U247" s="186"/>
      <c r="V247" s="181"/>
      <c r="W247" s="184"/>
      <c r="X247" s="184"/>
      <c r="Y247" s="184"/>
      <c r="Z247" s="181"/>
      <c r="AA247" s="186"/>
      <c r="AB247" s="186"/>
      <c r="AC247" s="186"/>
      <c r="AD247" s="181"/>
      <c r="AE247" s="275"/>
      <c r="AF247" s="184"/>
      <c r="AG247" s="184"/>
      <c r="AH247" s="181"/>
      <c r="AI247" s="182"/>
      <c r="AJ247" s="182"/>
      <c r="AK247" s="180"/>
      <c r="AL247" s="404"/>
    </row>
    <row r="248" spans="1:38" x14ac:dyDescent="0.25">
      <c r="A248" s="194">
        <v>243</v>
      </c>
      <c r="B248" s="18" t="s">
        <v>509</v>
      </c>
      <c r="E248" s="204"/>
      <c r="F248" s="117"/>
      <c r="G248" s="274" t="s">
        <v>538</v>
      </c>
      <c r="H248" s="204"/>
      <c r="I248" s="204"/>
      <c r="J248" s="117"/>
      <c r="K248" s="202"/>
      <c r="L248" s="266"/>
      <c r="M248" s="204"/>
      <c r="N248" s="117"/>
      <c r="P248" s="204"/>
      <c r="Q248" s="204"/>
      <c r="R248" s="117"/>
      <c r="T248" s="204"/>
      <c r="U248" s="204"/>
      <c r="V248" s="117"/>
      <c r="W248" s="204"/>
      <c r="X248" s="204"/>
      <c r="Y248" s="204"/>
      <c r="Z248" s="117"/>
      <c r="AD248" s="117"/>
      <c r="AF248" s="204"/>
      <c r="AG248" s="204"/>
      <c r="AH248" s="117"/>
      <c r="AL248" s="404"/>
    </row>
    <row r="249" spans="1:38" x14ac:dyDescent="0.25">
      <c r="A249" s="194">
        <v>244</v>
      </c>
      <c r="B249" s="12" t="s">
        <v>9</v>
      </c>
      <c r="C249" s="220">
        <f>E249/D249</f>
        <v>14</v>
      </c>
      <c r="D249" s="222">
        <v>125</v>
      </c>
      <c r="E249" s="186">
        <f>'1501 Summary'!AD74</f>
        <v>1750</v>
      </c>
      <c r="F249" s="181"/>
      <c r="G249" s="265">
        <f>-C249</f>
        <v>-14</v>
      </c>
      <c r="H249" s="203">
        <f>D249</f>
        <v>125</v>
      </c>
      <c r="I249" s="204">
        <f>H249*G249</f>
        <v>-1750</v>
      </c>
      <c r="J249" s="181"/>
      <c r="K249" s="202">
        <f t="shared" ref="K249:K250" si="56">C249+G249</f>
        <v>0</v>
      </c>
      <c r="L249" s="203">
        <f t="shared" ref="L249" si="57">D249</f>
        <v>125</v>
      </c>
      <c r="M249" s="204">
        <f t="shared" ref="M249:M250" si="58">L249*K249</f>
        <v>0</v>
      </c>
      <c r="N249" s="181"/>
      <c r="P249" s="186"/>
      <c r="Q249" s="186"/>
      <c r="R249" s="181"/>
      <c r="T249" s="186"/>
      <c r="U249" s="186"/>
      <c r="V249" s="181"/>
      <c r="Z249" s="181"/>
      <c r="AA249" s="186"/>
      <c r="AB249" s="186"/>
      <c r="AC249" s="186"/>
      <c r="AD249" s="181"/>
      <c r="AE249" s="275"/>
      <c r="AF249" s="184"/>
      <c r="AG249" s="184"/>
      <c r="AH249" s="181"/>
      <c r="AI249" s="182"/>
      <c r="AJ249" s="182"/>
      <c r="AK249" s="180"/>
      <c r="AL249" s="404"/>
    </row>
    <row r="250" spans="1:38" x14ac:dyDescent="0.25">
      <c r="A250" s="194">
        <v>245</v>
      </c>
      <c r="B250" s="12" t="s">
        <v>163</v>
      </c>
      <c r="C250" s="220">
        <f>E250/D250</f>
        <v>267361.96789951151</v>
      </c>
      <c r="D250" s="413">
        <v>0.14330000000000001</v>
      </c>
      <c r="E250" s="186">
        <f>'1501 Summary'!AD75</f>
        <v>38312.97</v>
      </c>
      <c r="F250" s="117"/>
      <c r="G250" s="265">
        <f>-C250</f>
        <v>-267361.96789951151</v>
      </c>
      <c r="H250" s="203">
        <f t="shared" ref="H250" si="59">D250</f>
        <v>0.14330000000000001</v>
      </c>
      <c r="I250" s="186">
        <f t="shared" ref="I250" si="60">H250*G250</f>
        <v>-38312.97</v>
      </c>
      <c r="J250" s="117"/>
      <c r="K250" s="202">
        <f t="shared" si="56"/>
        <v>0</v>
      </c>
      <c r="L250" s="266">
        <v>0.16113</v>
      </c>
      <c r="M250" s="207">
        <f t="shared" si="58"/>
        <v>0</v>
      </c>
      <c r="N250" s="117"/>
      <c r="P250" s="204"/>
      <c r="Q250" s="204"/>
      <c r="R250" s="117"/>
      <c r="T250" s="204"/>
      <c r="U250" s="204"/>
      <c r="V250" s="117"/>
      <c r="Z250" s="117"/>
      <c r="AD250" s="117"/>
      <c r="AF250" s="204"/>
      <c r="AG250" s="204"/>
      <c r="AH250" s="117"/>
      <c r="AL250" s="404"/>
    </row>
    <row r="251" spans="1:38" x14ac:dyDescent="0.25">
      <c r="A251" s="194">
        <v>246</v>
      </c>
      <c r="B251" s="12" t="s">
        <v>164</v>
      </c>
      <c r="C251" s="220">
        <f t="shared" ref="C251:C252" si="61">E251/D251</f>
        <v>681100.96504005836</v>
      </c>
      <c r="D251" s="205">
        <v>0.10983999999999999</v>
      </c>
      <c r="E251" s="186">
        <f>'1501 Summary'!AD76</f>
        <v>74812.13</v>
      </c>
      <c r="F251" s="117"/>
      <c r="G251" s="265">
        <f t="shared" ref="G251:G253" si="62">-C251</f>
        <v>-681100.96504005836</v>
      </c>
      <c r="H251" s="203">
        <f t="shared" ref="H251:H252" si="63">D251</f>
        <v>0.10983999999999999</v>
      </c>
      <c r="I251" s="186">
        <f t="shared" ref="I251:I252" si="64">H251*G251</f>
        <v>-74812.13</v>
      </c>
      <c r="J251" s="117"/>
      <c r="K251" s="202"/>
      <c r="L251" s="266"/>
      <c r="M251" s="186"/>
      <c r="N251" s="117"/>
      <c r="P251" s="204"/>
      <c r="Q251" s="204"/>
      <c r="R251" s="117"/>
      <c r="T251" s="204"/>
      <c r="U251" s="204"/>
      <c r="V251" s="117"/>
      <c r="Z251" s="117"/>
      <c r="AD251" s="117"/>
      <c r="AF251" s="204"/>
      <c r="AG251" s="204"/>
      <c r="AH251" s="117"/>
      <c r="AL251" s="404"/>
    </row>
    <row r="252" spans="1:38" x14ac:dyDescent="0.25">
      <c r="A252" s="194">
        <v>247</v>
      </c>
      <c r="B252" s="54" t="s">
        <v>506</v>
      </c>
      <c r="C252" s="420">
        <f t="shared" si="61"/>
        <v>1897641.5651531932</v>
      </c>
      <c r="D252" s="205">
        <v>2.7089999999999999E-2</v>
      </c>
      <c r="E252" s="207">
        <f>'1501 Summary'!AD77</f>
        <v>51407.11</v>
      </c>
      <c r="F252" s="117"/>
      <c r="G252" s="265">
        <f t="shared" si="62"/>
        <v>-1897641.5651531932</v>
      </c>
      <c r="H252" s="203">
        <f t="shared" si="63"/>
        <v>2.7089999999999999E-2</v>
      </c>
      <c r="I252" s="186">
        <f t="shared" si="64"/>
        <v>-51407.11</v>
      </c>
      <c r="J252" s="117"/>
      <c r="K252" s="202"/>
      <c r="L252" s="266"/>
      <c r="M252" s="186"/>
      <c r="N252" s="117"/>
      <c r="P252" s="204"/>
      <c r="Q252" s="204"/>
      <c r="R252" s="117"/>
      <c r="T252" s="204"/>
      <c r="U252" s="204"/>
      <c r="V252" s="117"/>
      <c r="Z252" s="117"/>
      <c r="AD252" s="117"/>
      <c r="AF252" s="204"/>
      <c r="AG252" s="204"/>
      <c r="AH252" s="117"/>
      <c r="AL252" s="404"/>
    </row>
    <row r="253" spans="1:38" x14ac:dyDescent="0.25">
      <c r="A253" s="194">
        <v>248</v>
      </c>
      <c r="C253" s="219">
        <f>SUM(C250:C252)</f>
        <v>2846104.4980927631</v>
      </c>
      <c r="D253" s="185"/>
      <c r="E253" s="186">
        <f>SUM(E249:E252)</f>
        <v>166282.21000000002</v>
      </c>
      <c r="F253" s="181"/>
      <c r="G253" s="642">
        <f t="shared" si="62"/>
        <v>-2846104.4980927631</v>
      </c>
      <c r="H253" s="184"/>
      <c r="I253" s="184">
        <f>SUM(I249:I252)</f>
        <v>-166282.21000000002</v>
      </c>
      <c r="J253" s="181"/>
      <c r="K253" s="184"/>
      <c r="L253" s="185"/>
      <c r="M253" s="186">
        <f>SUM(M249:M250)</f>
        <v>0</v>
      </c>
      <c r="N253" s="181"/>
      <c r="P253" s="186"/>
      <c r="Q253" s="186"/>
      <c r="R253" s="181"/>
      <c r="T253" s="186"/>
      <c r="U253" s="186"/>
      <c r="V253" s="181"/>
      <c r="Z253" s="181"/>
      <c r="AA253" s="186"/>
      <c r="AB253" s="186"/>
      <c r="AC253" s="186"/>
      <c r="AD253" s="181"/>
      <c r="AE253" s="275"/>
      <c r="AF253" s="184"/>
      <c r="AG253" s="184"/>
      <c r="AH253" s="181"/>
      <c r="AI253" s="182"/>
      <c r="AJ253" s="182"/>
      <c r="AK253" s="180"/>
      <c r="AL253" s="404"/>
    </row>
    <row r="254" spans="1:38" x14ac:dyDescent="0.25">
      <c r="A254" s="194">
        <v>249</v>
      </c>
      <c r="E254" s="204"/>
      <c r="F254" s="117"/>
      <c r="G254" s="204"/>
      <c r="H254" s="204"/>
      <c r="I254" s="204"/>
      <c r="J254" s="117"/>
      <c r="K254" s="202"/>
      <c r="L254" s="266"/>
      <c r="M254" s="204"/>
      <c r="N254" s="117"/>
      <c r="O254" s="204"/>
      <c r="P254" s="204"/>
      <c r="Q254" s="204"/>
      <c r="R254" s="117"/>
      <c r="S254" s="204"/>
      <c r="T254" s="204"/>
      <c r="U254" s="204"/>
      <c r="V254" s="117"/>
      <c r="W254" s="204"/>
      <c r="X254" s="204"/>
      <c r="Y254" s="204"/>
      <c r="Z254" s="117"/>
      <c r="AD254" s="117"/>
      <c r="AF254" s="204"/>
      <c r="AG254" s="204"/>
      <c r="AH254" s="117"/>
      <c r="AL254" s="404"/>
    </row>
    <row r="255" spans="1:38" x14ac:dyDescent="0.25">
      <c r="A255" s="194">
        <v>250</v>
      </c>
      <c r="B255" s="12" t="s">
        <v>11</v>
      </c>
      <c r="C255" s="187"/>
      <c r="D255" s="185"/>
      <c r="E255" s="186">
        <f>'1501 Summary'!AD78</f>
        <v>1197642.52</v>
      </c>
      <c r="F255" s="181"/>
      <c r="G255" s="184"/>
      <c r="H255" s="184"/>
      <c r="I255" s="184"/>
      <c r="J255" s="181"/>
      <c r="K255" s="275"/>
      <c r="L255" s="284"/>
      <c r="M255" s="186"/>
      <c r="N255" s="181"/>
      <c r="O255" s="186"/>
      <c r="P255" s="186"/>
      <c r="Q255" s="186"/>
      <c r="R255" s="181"/>
      <c r="S255" s="186"/>
      <c r="T255" s="186"/>
      <c r="U255" s="186"/>
      <c r="V255" s="181"/>
      <c r="W255" s="184"/>
      <c r="X255" s="184"/>
      <c r="Y255" s="184"/>
      <c r="Z255" s="181"/>
      <c r="AA255" s="186"/>
      <c r="AB255" s="186"/>
      <c r="AC255" s="186"/>
      <c r="AD255" s="181"/>
      <c r="AE255" s="275"/>
      <c r="AF255" s="184"/>
      <c r="AG255" s="184"/>
      <c r="AH255" s="181"/>
      <c r="AI255" s="182"/>
      <c r="AJ255" s="182"/>
      <c r="AK255" s="180"/>
      <c r="AL255" s="404"/>
    </row>
    <row r="256" spans="1:38" x14ac:dyDescent="0.25">
      <c r="A256" s="194">
        <v>251</v>
      </c>
      <c r="E256" s="204"/>
      <c r="F256" s="117"/>
      <c r="G256" s="204"/>
      <c r="H256" s="204"/>
      <c r="I256" s="204"/>
      <c r="J256" s="117"/>
      <c r="K256" s="202"/>
      <c r="L256" s="266"/>
      <c r="M256" s="204"/>
      <c r="N256" s="117"/>
      <c r="O256" s="204"/>
      <c r="P256" s="204"/>
      <c r="Q256" s="204"/>
      <c r="R256" s="117"/>
      <c r="S256" s="204"/>
      <c r="T256" s="204"/>
      <c r="U256" s="204"/>
      <c r="V256" s="117"/>
      <c r="W256" s="204"/>
      <c r="X256" s="204"/>
      <c r="Y256" s="204"/>
      <c r="Z256" s="117"/>
      <c r="AD256" s="117"/>
      <c r="AF256" s="204"/>
      <c r="AG256" s="204"/>
      <c r="AH256" s="117"/>
      <c r="AL256" s="404"/>
    </row>
    <row r="257" spans="1:38" x14ac:dyDescent="0.25">
      <c r="A257" s="194">
        <v>252</v>
      </c>
      <c r="B257" s="12" t="s">
        <v>12</v>
      </c>
      <c r="C257" s="187"/>
      <c r="D257" s="185"/>
      <c r="E257" s="186"/>
      <c r="F257" s="181"/>
      <c r="G257" s="184"/>
      <c r="H257" s="184"/>
      <c r="I257" s="184"/>
      <c r="J257" s="181"/>
      <c r="K257" s="275"/>
      <c r="L257" s="284"/>
      <c r="M257" s="186"/>
      <c r="N257" s="181"/>
      <c r="O257" s="186"/>
      <c r="P257" s="186"/>
      <c r="Q257" s="186"/>
      <c r="R257" s="181"/>
      <c r="S257" s="186"/>
      <c r="T257" s="186"/>
      <c r="U257" s="186"/>
      <c r="V257" s="181"/>
      <c r="W257" s="184"/>
      <c r="X257" s="184"/>
      <c r="Y257" s="184"/>
      <c r="Z257" s="181"/>
      <c r="AA257" s="186"/>
      <c r="AB257" s="186"/>
      <c r="AC257" s="186"/>
      <c r="AD257" s="181"/>
      <c r="AE257" s="275"/>
      <c r="AF257" s="184"/>
      <c r="AG257" s="184"/>
      <c r="AH257" s="181"/>
      <c r="AI257" s="182"/>
      <c r="AJ257" s="182"/>
      <c r="AK257" s="180"/>
      <c r="AL257" s="404"/>
    </row>
    <row r="258" spans="1:38" x14ac:dyDescent="0.25">
      <c r="A258" s="194">
        <v>253</v>
      </c>
      <c r="B258" s="12" t="s">
        <v>484</v>
      </c>
      <c r="E258" s="204">
        <f>'1501 Summary'!AD79</f>
        <v>305381.45999999996</v>
      </c>
      <c r="F258" s="117"/>
      <c r="G258" s="204"/>
      <c r="H258" s="204"/>
      <c r="I258" s="204"/>
      <c r="J258" s="117"/>
      <c r="K258" s="202"/>
      <c r="L258" s="266"/>
      <c r="M258" s="204"/>
      <c r="N258" s="117"/>
      <c r="O258" s="204"/>
      <c r="P258" s="204"/>
      <c r="Q258" s="204"/>
      <c r="R258" s="117"/>
      <c r="S258" s="204"/>
      <c r="T258" s="204"/>
      <c r="U258" s="204"/>
      <c r="V258" s="117"/>
      <c r="W258" s="204"/>
      <c r="X258" s="204"/>
      <c r="Y258" s="204"/>
      <c r="Z258" s="117"/>
      <c r="AD258" s="117"/>
      <c r="AF258" s="204"/>
      <c r="AG258" s="204"/>
      <c r="AH258" s="117"/>
      <c r="AL258" s="404"/>
    </row>
    <row r="259" spans="1:38" x14ac:dyDescent="0.25">
      <c r="A259" s="194">
        <v>254</v>
      </c>
      <c r="B259" s="12" t="s">
        <v>115</v>
      </c>
      <c r="C259" s="187"/>
      <c r="D259" s="185"/>
      <c r="E259" s="204">
        <f>'1501 Summary'!AD80</f>
        <v>4053.45</v>
      </c>
      <c r="F259" s="181"/>
      <c r="G259" s="184"/>
      <c r="H259" s="184"/>
      <c r="I259" s="184"/>
      <c r="J259" s="181"/>
      <c r="K259" s="275"/>
      <c r="L259" s="284"/>
      <c r="M259" s="186"/>
      <c r="N259" s="181"/>
      <c r="O259" s="186"/>
      <c r="P259" s="186"/>
      <c r="Q259" s="186"/>
      <c r="R259" s="181"/>
      <c r="S259" s="186"/>
      <c r="T259" s="186"/>
      <c r="U259" s="186"/>
      <c r="V259" s="181"/>
      <c r="W259" s="184"/>
      <c r="X259" s="184"/>
      <c r="Y259" s="184"/>
      <c r="Z259" s="181"/>
      <c r="AA259" s="186"/>
      <c r="AB259" s="186"/>
      <c r="AC259" s="186"/>
      <c r="AD259" s="181"/>
      <c r="AE259" s="275"/>
      <c r="AF259" s="184"/>
      <c r="AG259" s="184"/>
      <c r="AH259" s="181"/>
      <c r="AI259" s="182"/>
      <c r="AJ259" s="182"/>
      <c r="AK259" s="180"/>
      <c r="AL259" s="404"/>
    </row>
    <row r="260" spans="1:38" x14ac:dyDescent="0.25">
      <c r="A260" s="194">
        <v>255</v>
      </c>
      <c r="B260" s="12" t="s">
        <v>116</v>
      </c>
      <c r="E260" s="204">
        <f>'1501 Summary'!AD81</f>
        <v>14885.89</v>
      </c>
      <c r="F260" s="117"/>
      <c r="G260" s="204"/>
      <c r="H260" s="204"/>
      <c r="I260" s="204"/>
      <c r="J260" s="117"/>
      <c r="K260" s="202"/>
      <c r="L260" s="266"/>
      <c r="M260" s="204"/>
      <c r="N260" s="117"/>
      <c r="O260" s="204"/>
      <c r="P260" s="204"/>
      <c r="Q260" s="204"/>
      <c r="R260" s="117"/>
      <c r="S260" s="204"/>
      <c r="T260" s="204"/>
      <c r="U260" s="204"/>
      <c r="V260" s="117"/>
      <c r="W260" s="204"/>
      <c r="X260" s="204"/>
      <c r="Y260" s="204"/>
      <c r="Z260" s="117"/>
      <c r="AD260" s="117"/>
      <c r="AF260" s="204"/>
      <c r="AG260" s="204"/>
      <c r="AH260" s="117"/>
      <c r="AL260" s="404"/>
    </row>
    <row r="261" spans="1:38" x14ac:dyDescent="0.25">
      <c r="A261" s="194">
        <v>256</v>
      </c>
      <c r="B261" s="12" t="s">
        <v>117</v>
      </c>
      <c r="C261" s="187"/>
      <c r="D261" s="185"/>
      <c r="E261" s="204">
        <f>'1501 Summary'!AD82</f>
        <v>-97569.7</v>
      </c>
      <c r="F261" s="181"/>
      <c r="G261" s="184"/>
      <c r="H261" s="184"/>
      <c r="I261" s="184"/>
      <c r="J261" s="181"/>
      <c r="K261" s="275"/>
      <c r="L261" s="284"/>
      <c r="M261" s="186"/>
      <c r="N261" s="181"/>
      <c r="O261" s="186"/>
      <c r="P261" s="186"/>
      <c r="Q261" s="186"/>
      <c r="R261" s="181"/>
      <c r="S261" s="186"/>
      <c r="T261" s="186"/>
      <c r="U261" s="186"/>
      <c r="V261" s="181"/>
      <c r="W261" s="184"/>
      <c r="X261" s="184"/>
      <c r="Y261" s="184"/>
      <c r="Z261" s="181"/>
      <c r="AA261" s="186"/>
      <c r="AB261" s="186"/>
      <c r="AC261" s="186"/>
      <c r="AD261" s="181"/>
      <c r="AE261" s="275"/>
      <c r="AF261" s="184"/>
      <c r="AG261" s="184"/>
      <c r="AH261" s="181"/>
      <c r="AI261" s="182"/>
      <c r="AJ261" s="182"/>
      <c r="AK261" s="180"/>
      <c r="AL261" s="404"/>
    </row>
    <row r="262" spans="1:38" x14ac:dyDescent="0.25">
      <c r="A262" s="194">
        <v>257</v>
      </c>
      <c r="B262" s="12" t="s">
        <v>118</v>
      </c>
      <c r="E262" s="204">
        <f>'1501 Summary'!AD83</f>
        <v>10428.570000000002</v>
      </c>
      <c r="F262" s="117"/>
      <c r="G262" s="204"/>
      <c r="H262" s="204"/>
      <c r="I262" s="204"/>
      <c r="J262" s="117"/>
      <c r="K262" s="202"/>
      <c r="L262" s="266"/>
      <c r="M262" s="204"/>
      <c r="N262" s="117"/>
      <c r="O262" s="204"/>
      <c r="P262" s="204"/>
      <c r="Q262" s="204"/>
      <c r="R262" s="117"/>
      <c r="S262" s="204"/>
      <c r="T262" s="204"/>
      <c r="U262" s="204"/>
      <c r="V262" s="117"/>
      <c r="W262" s="204"/>
      <c r="X262" s="204"/>
      <c r="Y262" s="204"/>
      <c r="Z262" s="117"/>
      <c r="AD262" s="117"/>
      <c r="AF262" s="204"/>
      <c r="AG262" s="204"/>
      <c r="AH262" s="117"/>
      <c r="AL262" s="404"/>
    </row>
    <row r="263" spans="1:38" x14ac:dyDescent="0.25">
      <c r="A263" s="194">
        <v>258</v>
      </c>
      <c r="B263" s="12" t="s">
        <v>119</v>
      </c>
      <c r="C263" s="187"/>
      <c r="D263" s="185"/>
      <c r="E263" s="204">
        <f>'1501 Summary'!AD84</f>
        <v>76523.260000000009</v>
      </c>
      <c r="F263" s="181"/>
      <c r="G263" s="184"/>
      <c r="H263" s="184"/>
      <c r="I263" s="184"/>
      <c r="J263" s="181"/>
      <c r="K263" s="275"/>
      <c r="L263" s="284"/>
      <c r="M263" s="186"/>
      <c r="N263" s="181"/>
      <c r="O263" s="186"/>
      <c r="P263" s="186"/>
      <c r="Q263" s="186"/>
      <c r="R263" s="181"/>
      <c r="S263" s="186"/>
      <c r="T263" s="186"/>
      <c r="U263" s="186"/>
      <c r="V263" s="181"/>
      <c r="W263" s="184"/>
      <c r="X263" s="184"/>
      <c r="Y263" s="184"/>
      <c r="Z263" s="181"/>
      <c r="AA263" s="186"/>
      <c r="AB263" s="186"/>
      <c r="AC263" s="186"/>
      <c r="AD263" s="181"/>
      <c r="AE263" s="275"/>
      <c r="AF263" s="184"/>
      <c r="AG263" s="184"/>
      <c r="AH263" s="181"/>
      <c r="AI263" s="182"/>
      <c r="AJ263" s="182"/>
      <c r="AK263" s="180"/>
      <c r="AL263" s="404"/>
    </row>
    <row r="264" spans="1:38" x14ac:dyDescent="0.25">
      <c r="A264" s="194">
        <v>259</v>
      </c>
      <c r="B264" s="50" t="s">
        <v>181</v>
      </c>
      <c r="E264" s="204">
        <f>'1501 Summary'!AD85</f>
        <v>-8664.41</v>
      </c>
      <c r="F264" s="117"/>
      <c r="G264" s="204"/>
      <c r="H264" s="204"/>
      <c r="I264" s="204"/>
      <c r="J264" s="117"/>
      <c r="K264" s="202"/>
      <c r="L264" s="266"/>
      <c r="M264" s="204"/>
      <c r="N264" s="117"/>
      <c r="O264" s="204"/>
      <c r="P264" s="204"/>
      <c r="Q264" s="204"/>
      <c r="R264" s="117"/>
      <c r="S264" s="204"/>
      <c r="T264" s="204"/>
      <c r="U264" s="204"/>
      <c r="V264" s="117"/>
      <c r="W264" s="204"/>
      <c r="X264" s="204"/>
      <c r="Y264" s="204"/>
      <c r="Z264" s="117"/>
      <c r="AD264" s="117"/>
      <c r="AF264" s="204"/>
      <c r="AG264" s="204"/>
      <c r="AH264" s="117"/>
      <c r="AL264" s="404"/>
    </row>
    <row r="265" spans="1:38" x14ac:dyDescent="0.25">
      <c r="A265" s="194">
        <v>260</v>
      </c>
      <c r="B265" s="50" t="s">
        <v>182</v>
      </c>
      <c r="C265" s="187"/>
      <c r="D265" s="185"/>
      <c r="E265" s="204">
        <f>'1501 Summary'!AD86</f>
        <v>-3585.9799999999996</v>
      </c>
      <c r="F265" s="181"/>
      <c r="G265" s="184"/>
      <c r="H265" s="184"/>
      <c r="I265" s="184"/>
      <c r="J265" s="181"/>
      <c r="K265" s="275"/>
      <c r="L265" s="284"/>
      <c r="M265" s="186"/>
      <c r="N265" s="181"/>
      <c r="O265" s="186"/>
      <c r="P265" s="186"/>
      <c r="Q265" s="186"/>
      <c r="R265" s="181"/>
      <c r="S265" s="186"/>
      <c r="T265" s="186"/>
      <c r="U265" s="186"/>
      <c r="V265" s="181"/>
      <c r="W265" s="184"/>
      <c r="X265" s="184"/>
      <c r="Y265" s="184"/>
      <c r="Z265" s="181"/>
      <c r="AA265" s="186"/>
      <c r="AB265" s="186"/>
      <c r="AC265" s="186"/>
      <c r="AD265" s="181"/>
      <c r="AE265" s="275"/>
      <c r="AF265" s="184"/>
      <c r="AG265" s="184"/>
      <c r="AH265" s="181"/>
      <c r="AI265" s="182"/>
      <c r="AJ265" s="182"/>
      <c r="AK265" s="180"/>
      <c r="AL265" s="404"/>
    </row>
    <row r="266" spans="1:38" x14ac:dyDescent="0.25">
      <c r="A266" s="194">
        <v>261</v>
      </c>
      <c r="B266" s="50" t="s">
        <v>183</v>
      </c>
      <c r="E266" s="204">
        <f>'1501 Summary'!AD87</f>
        <v>-3274.0999999999995</v>
      </c>
      <c r="F266" s="117"/>
      <c r="G266" s="204"/>
      <c r="H266" s="204"/>
      <c r="I266" s="204"/>
      <c r="J266" s="117"/>
      <c r="K266" s="202"/>
      <c r="L266" s="266"/>
      <c r="M266" s="204"/>
      <c r="N266" s="117"/>
      <c r="O266" s="204"/>
      <c r="P266" s="204"/>
      <c r="Q266" s="204"/>
      <c r="R266" s="117"/>
      <c r="S266" s="204"/>
      <c r="T266" s="204"/>
      <c r="U266" s="204"/>
      <c r="V266" s="117"/>
      <c r="W266" s="204"/>
      <c r="X266" s="204"/>
      <c r="Y266" s="204"/>
      <c r="Z266" s="117"/>
      <c r="AD266" s="117"/>
      <c r="AF266" s="204"/>
      <c r="AG266" s="204"/>
      <c r="AH266" s="117"/>
      <c r="AL266" s="404"/>
    </row>
    <row r="267" spans="1:38" x14ac:dyDescent="0.25">
      <c r="A267" s="194">
        <v>262</v>
      </c>
      <c r="B267" s="12" t="s">
        <v>120</v>
      </c>
      <c r="C267" s="187"/>
      <c r="D267" s="185"/>
      <c r="E267" s="204">
        <f>'1501 Summary'!AD88</f>
        <v>64837.789999999994</v>
      </c>
      <c r="F267" s="181"/>
      <c r="G267" s="184"/>
      <c r="H267" s="184"/>
      <c r="I267" s="184"/>
      <c r="J267" s="181"/>
      <c r="K267" s="275"/>
      <c r="L267" s="284"/>
      <c r="M267" s="186"/>
      <c r="N267" s="181"/>
      <c r="O267" s="186"/>
      <c r="P267" s="186"/>
      <c r="Q267" s="186"/>
      <c r="R267" s="181"/>
      <c r="S267" s="186"/>
      <c r="T267" s="186"/>
      <c r="U267" s="186"/>
      <c r="V267" s="181"/>
      <c r="W267" s="184"/>
      <c r="X267" s="184"/>
      <c r="Y267" s="184"/>
      <c r="Z267" s="181"/>
      <c r="AA267" s="186"/>
      <c r="AB267" s="186"/>
      <c r="AC267" s="186"/>
      <c r="AD267" s="181"/>
      <c r="AE267" s="275"/>
      <c r="AF267" s="184"/>
      <c r="AG267" s="184"/>
      <c r="AH267" s="181"/>
      <c r="AI267" s="182"/>
      <c r="AJ267" s="182"/>
      <c r="AK267" s="180"/>
      <c r="AL267" s="404"/>
    </row>
    <row r="268" spans="1:38" x14ac:dyDescent="0.25">
      <c r="A268" s="194">
        <v>263</v>
      </c>
      <c r="B268" s="12" t="s">
        <v>24</v>
      </c>
      <c r="E268" s="204">
        <f>'1501 Summary'!AD89</f>
        <v>0</v>
      </c>
      <c r="F268" s="117"/>
      <c r="G268" s="204"/>
      <c r="H268" s="204"/>
      <c r="I268" s="204"/>
      <c r="J268" s="117"/>
      <c r="K268" s="202"/>
      <c r="L268" s="266"/>
      <c r="M268" s="204"/>
      <c r="N268" s="117"/>
      <c r="O268" s="204"/>
      <c r="P268" s="204"/>
      <c r="Q268" s="204"/>
      <c r="R268" s="117"/>
      <c r="S268" s="204"/>
      <c r="T268" s="204"/>
      <c r="U268" s="204"/>
      <c r="V268" s="117"/>
      <c r="W268" s="204"/>
      <c r="X268" s="204"/>
      <c r="Y268" s="204"/>
      <c r="Z268" s="117"/>
      <c r="AD268" s="117"/>
      <c r="AF268" s="204"/>
      <c r="AG268" s="204"/>
      <c r="AH268" s="117"/>
      <c r="AL268" s="404"/>
    </row>
    <row r="269" spans="1:38" x14ac:dyDescent="0.25">
      <c r="A269" s="194">
        <v>264</v>
      </c>
      <c r="B269" s="12" t="s">
        <v>14</v>
      </c>
      <c r="C269" s="187"/>
      <c r="D269" s="185"/>
      <c r="E269" s="204">
        <f>'Revenue Reconcilliation'!Q54</f>
        <v>0</v>
      </c>
      <c r="F269" s="181"/>
      <c r="G269" s="184"/>
      <c r="H269" s="184"/>
      <c r="I269" s="184"/>
      <c r="J269" s="181"/>
      <c r="K269" s="275"/>
      <c r="L269" s="284"/>
      <c r="M269" s="186"/>
      <c r="N269" s="181"/>
      <c r="O269" s="186"/>
      <c r="P269" s="186"/>
      <c r="Q269" s="186"/>
      <c r="R269" s="181"/>
      <c r="S269" s="186"/>
      <c r="T269" s="186"/>
      <c r="U269" s="186"/>
      <c r="V269" s="181"/>
      <c r="W269" s="184"/>
      <c r="X269" s="184"/>
      <c r="Y269" s="184"/>
      <c r="Z269" s="181"/>
      <c r="AA269" s="186"/>
      <c r="AB269" s="186"/>
      <c r="AC269" s="186"/>
      <c r="AD269" s="181"/>
      <c r="AE269" s="275"/>
      <c r="AF269" s="184"/>
      <c r="AG269" s="184"/>
      <c r="AH269" s="181"/>
      <c r="AI269" s="182"/>
      <c r="AJ269" s="182"/>
      <c r="AK269" s="180"/>
      <c r="AL269" s="404"/>
    </row>
    <row r="270" spans="1:38" x14ac:dyDescent="0.25">
      <c r="A270" s="194">
        <v>265</v>
      </c>
      <c r="B270" s="12" t="s">
        <v>15</v>
      </c>
      <c r="E270" s="204">
        <f>'Revenue Reconcilliation'!Q55</f>
        <v>0</v>
      </c>
      <c r="F270" s="117"/>
      <c r="G270" s="204"/>
      <c r="H270" s="204"/>
      <c r="I270" s="204"/>
      <c r="J270" s="117"/>
      <c r="K270" s="202"/>
      <c r="L270" s="266"/>
      <c r="M270" s="204"/>
      <c r="N270" s="117"/>
      <c r="O270" s="204"/>
      <c r="P270" s="204"/>
      <c r="Q270" s="204"/>
      <c r="R270" s="117"/>
      <c r="S270" s="204"/>
      <c r="T270" s="204"/>
      <c r="U270" s="204"/>
      <c r="V270" s="117"/>
      <c r="W270" s="204"/>
      <c r="X270" s="204"/>
      <c r="Y270" s="204"/>
      <c r="Z270" s="117"/>
      <c r="AD270" s="117"/>
      <c r="AF270" s="204"/>
      <c r="AG270" s="204"/>
      <c r="AH270" s="117"/>
      <c r="AL270" s="404"/>
    </row>
    <row r="271" spans="1:38" x14ac:dyDescent="0.25">
      <c r="A271" s="194">
        <v>266</v>
      </c>
      <c r="B271" s="12" t="s">
        <v>16</v>
      </c>
      <c r="C271" s="187"/>
      <c r="D271" s="185"/>
      <c r="E271" s="204">
        <f>'Revenue Reconcilliation'!Q56</f>
        <v>-230570.27000000002</v>
      </c>
      <c r="F271" s="181"/>
      <c r="G271" s="184"/>
      <c r="H271" s="184"/>
      <c r="I271" s="184"/>
      <c r="J271" s="181"/>
      <c r="K271" s="275"/>
      <c r="L271" s="284"/>
      <c r="M271" s="186"/>
      <c r="N271" s="181"/>
      <c r="O271" s="186"/>
      <c r="P271" s="186"/>
      <c r="Q271" s="186"/>
      <c r="R271" s="181"/>
      <c r="S271" s="186"/>
      <c r="T271" s="186"/>
      <c r="U271" s="186"/>
      <c r="V271" s="181"/>
      <c r="W271" s="184"/>
      <c r="X271" s="184"/>
      <c r="Y271" s="184"/>
      <c r="Z271" s="181"/>
      <c r="AA271" s="186"/>
      <c r="AB271" s="186"/>
      <c r="AC271" s="186"/>
      <c r="AD271" s="181"/>
      <c r="AE271" s="275"/>
      <c r="AF271" s="184"/>
      <c r="AG271" s="184"/>
      <c r="AH271" s="181"/>
      <c r="AI271" s="182"/>
      <c r="AJ271" s="182"/>
      <c r="AK271" s="180"/>
      <c r="AL271" s="404"/>
    </row>
    <row r="272" spans="1:38" x14ac:dyDescent="0.25">
      <c r="A272" s="194">
        <v>267</v>
      </c>
      <c r="B272" s="12" t="s">
        <v>17</v>
      </c>
      <c r="E272" s="204">
        <f>'Revenue Reconcilliation'!Q57</f>
        <v>0</v>
      </c>
      <c r="F272" s="117"/>
      <c r="G272" s="204"/>
      <c r="H272" s="204"/>
      <c r="I272" s="204"/>
      <c r="J272" s="117"/>
      <c r="K272" s="202"/>
      <c r="L272" s="266"/>
      <c r="M272" s="204"/>
      <c r="N272" s="117"/>
      <c r="O272" s="204"/>
      <c r="P272" s="204"/>
      <c r="Q272" s="204"/>
      <c r="R272" s="117"/>
      <c r="S272" s="204"/>
      <c r="T272" s="204"/>
      <c r="U272" s="204"/>
      <c r="V272" s="117"/>
      <c r="W272" s="204"/>
      <c r="X272" s="204"/>
      <c r="Y272" s="204"/>
      <c r="Z272" s="117"/>
      <c r="AD272" s="117"/>
      <c r="AF272" s="204"/>
      <c r="AG272" s="204"/>
      <c r="AH272" s="117"/>
      <c r="AL272" s="404"/>
    </row>
    <row r="273" spans="1:38" x14ac:dyDescent="0.25">
      <c r="A273" s="194">
        <v>268</v>
      </c>
      <c r="B273" s="12" t="s">
        <v>18</v>
      </c>
      <c r="C273" s="187"/>
      <c r="D273" s="185"/>
      <c r="E273" s="204">
        <f>'Revenue Reconcilliation'!Q58</f>
        <v>0</v>
      </c>
      <c r="F273" s="181"/>
      <c r="G273" s="184"/>
      <c r="H273" s="184"/>
      <c r="I273" s="184"/>
      <c r="J273" s="181"/>
      <c r="K273" s="275"/>
      <c r="L273" s="284"/>
      <c r="M273" s="186"/>
      <c r="N273" s="181"/>
      <c r="O273" s="186"/>
      <c r="P273" s="186"/>
      <c r="Q273" s="186"/>
      <c r="R273" s="181"/>
      <c r="S273" s="186"/>
      <c r="T273" s="186"/>
      <c r="U273" s="186"/>
      <c r="V273" s="181"/>
      <c r="W273" s="184"/>
      <c r="X273" s="184"/>
      <c r="Y273" s="184"/>
      <c r="Z273" s="181"/>
      <c r="AA273" s="186"/>
      <c r="AB273" s="186"/>
      <c r="AC273" s="186"/>
      <c r="AD273" s="181"/>
      <c r="AE273" s="275"/>
      <c r="AF273" s="184"/>
      <c r="AG273" s="184"/>
      <c r="AH273" s="181"/>
      <c r="AI273" s="182"/>
      <c r="AJ273" s="182"/>
      <c r="AK273" s="180"/>
      <c r="AL273" s="404"/>
    </row>
    <row r="274" spans="1:38" x14ac:dyDescent="0.25">
      <c r="A274" s="194">
        <v>269</v>
      </c>
      <c r="B274" s="5" t="s">
        <v>13</v>
      </c>
      <c r="E274" s="204">
        <f>'Revenue Reconcilliation'!Q59</f>
        <v>0</v>
      </c>
      <c r="F274" s="117"/>
      <c r="G274" s="204"/>
      <c r="H274" s="204"/>
      <c r="I274" s="204"/>
      <c r="J274" s="117"/>
      <c r="K274" s="202"/>
      <c r="L274" s="266"/>
      <c r="M274" s="204"/>
      <c r="N274" s="117"/>
      <c r="O274" s="204"/>
      <c r="P274" s="204"/>
      <c r="Q274" s="204"/>
      <c r="R274" s="117"/>
      <c r="S274" s="204"/>
      <c r="T274" s="204"/>
      <c r="U274" s="204"/>
      <c r="V274" s="117"/>
      <c r="W274" s="204"/>
      <c r="X274" s="204"/>
      <c r="Y274" s="204"/>
      <c r="Z274" s="117"/>
      <c r="AD274" s="117"/>
      <c r="AF274" s="204"/>
      <c r="AG274" s="204"/>
      <c r="AH274" s="117"/>
      <c r="AL274" s="404"/>
    </row>
    <row r="275" spans="1:38" x14ac:dyDescent="0.25">
      <c r="A275" s="194">
        <v>270</v>
      </c>
      <c r="B275" s="5" t="s">
        <v>53</v>
      </c>
      <c r="C275" s="187"/>
      <c r="D275" s="185"/>
      <c r="E275" s="204">
        <f>'Revenue Reconcilliation'!Q60</f>
        <v>-1722887.51</v>
      </c>
      <c r="F275" s="181"/>
      <c r="G275" s="184"/>
      <c r="H275" s="184"/>
      <c r="I275" s="184"/>
      <c r="J275" s="181"/>
      <c r="K275" s="275"/>
      <c r="L275" s="284"/>
      <c r="M275" s="186"/>
      <c r="N275" s="181"/>
      <c r="O275" s="186"/>
      <c r="P275" s="186"/>
      <c r="Q275" s="186"/>
      <c r="R275" s="181"/>
      <c r="S275" s="186"/>
      <c r="T275" s="186"/>
      <c r="U275" s="186"/>
      <c r="V275" s="181"/>
      <c r="W275" s="184"/>
      <c r="X275" s="184"/>
      <c r="Y275" s="184"/>
      <c r="Z275" s="181"/>
      <c r="AA275" s="186"/>
      <c r="AB275" s="186"/>
      <c r="AC275" s="186"/>
      <c r="AD275" s="181"/>
      <c r="AE275" s="275"/>
      <c r="AF275" s="184"/>
      <c r="AG275" s="184"/>
      <c r="AH275" s="181"/>
      <c r="AI275" s="182"/>
      <c r="AJ275" s="182"/>
      <c r="AK275" s="180"/>
      <c r="AL275" s="404"/>
    </row>
    <row r="276" spans="1:38" x14ac:dyDescent="0.25">
      <c r="A276" s="194">
        <v>271</v>
      </c>
      <c r="B276" s="5" t="s">
        <v>54</v>
      </c>
      <c r="E276" s="207">
        <f>'Revenue Reconcilliation'!Q61</f>
        <v>2813362.21</v>
      </c>
      <c r="F276" s="117"/>
      <c r="G276" s="204"/>
      <c r="H276" s="204"/>
      <c r="I276" s="204"/>
      <c r="J276" s="117"/>
      <c r="K276" s="202"/>
      <c r="L276" s="266"/>
      <c r="M276" s="204"/>
      <c r="N276" s="117"/>
      <c r="O276" s="204"/>
      <c r="P276" s="204"/>
      <c r="Q276" s="204"/>
      <c r="R276" s="117"/>
      <c r="S276" s="204"/>
      <c r="T276" s="204"/>
      <c r="U276" s="204"/>
      <c r="V276" s="117"/>
      <c r="W276" s="204"/>
      <c r="X276" s="204"/>
      <c r="Y276" s="204"/>
      <c r="Z276" s="117"/>
      <c r="AD276" s="117"/>
      <c r="AF276" s="204"/>
      <c r="AG276" s="204"/>
      <c r="AH276" s="117"/>
      <c r="AL276" s="404"/>
    </row>
    <row r="277" spans="1:38" x14ac:dyDescent="0.25">
      <c r="A277" s="194">
        <v>272</v>
      </c>
      <c r="B277" s="12" t="s">
        <v>91</v>
      </c>
      <c r="C277" s="187"/>
      <c r="D277" s="185"/>
      <c r="E277" s="204">
        <f>SUM(E258:E276)</f>
        <v>1222920.6599999999</v>
      </c>
      <c r="F277" s="181"/>
      <c r="G277" s="184"/>
      <c r="H277" s="184"/>
      <c r="I277" s="184"/>
      <c r="J277" s="181"/>
      <c r="K277" s="275"/>
      <c r="L277" s="284"/>
      <c r="M277" s="186"/>
      <c r="N277" s="181"/>
      <c r="O277" s="186"/>
      <c r="P277" s="186"/>
      <c r="Q277" s="186"/>
      <c r="R277" s="181"/>
      <c r="S277" s="186"/>
      <c r="T277" s="186"/>
      <c r="U277" s="186"/>
      <c r="V277" s="181"/>
      <c r="W277" s="184"/>
      <c r="X277" s="184"/>
      <c r="Y277" s="184"/>
      <c r="Z277" s="181"/>
      <c r="AA277" s="186"/>
      <c r="AB277" s="186"/>
      <c r="AC277" s="186"/>
      <c r="AD277" s="181"/>
      <c r="AE277" s="275"/>
      <c r="AF277" s="184"/>
      <c r="AG277" s="184"/>
      <c r="AH277" s="181"/>
      <c r="AI277" s="182"/>
      <c r="AJ277" s="182"/>
      <c r="AK277" s="180"/>
      <c r="AL277" s="404"/>
    </row>
    <row r="278" spans="1:38" x14ac:dyDescent="0.25">
      <c r="A278" s="194">
        <v>273</v>
      </c>
      <c r="E278" s="204"/>
      <c r="F278" s="117"/>
      <c r="G278" s="204"/>
      <c r="H278" s="204"/>
      <c r="I278" s="204"/>
      <c r="J278" s="117"/>
      <c r="K278" s="202"/>
      <c r="L278" s="266"/>
      <c r="M278" s="204"/>
      <c r="N278" s="117"/>
      <c r="O278" s="204"/>
      <c r="P278" s="204"/>
      <c r="Q278" s="204"/>
      <c r="R278" s="117"/>
      <c r="S278" s="204"/>
      <c r="T278" s="204"/>
      <c r="U278" s="204"/>
      <c r="V278" s="117"/>
      <c r="W278" s="204"/>
      <c r="X278" s="204"/>
      <c r="Y278" s="204"/>
      <c r="Z278" s="117"/>
      <c r="AD278" s="117"/>
      <c r="AF278" s="204"/>
      <c r="AG278" s="204"/>
      <c r="AH278" s="117"/>
      <c r="AL278" s="404"/>
    </row>
    <row r="279" spans="1:38" x14ac:dyDescent="0.25">
      <c r="A279" s="194">
        <v>274</v>
      </c>
      <c r="B279" s="51" t="s">
        <v>510</v>
      </c>
      <c r="C279" s="184">
        <f>E279-'Revenue Reconcilliation'!Q62</f>
        <v>0</v>
      </c>
      <c r="D279" s="185" t="s">
        <v>45</v>
      </c>
      <c r="E279" s="186">
        <f>SUM(E253,E255,E277)</f>
        <v>2586845.3899999997</v>
      </c>
      <c r="F279" s="181"/>
      <c r="G279" s="184"/>
      <c r="H279" s="184"/>
      <c r="I279" s="184"/>
      <c r="J279" s="181"/>
      <c r="K279" s="275"/>
      <c r="L279" s="284"/>
      <c r="M279" s="186"/>
      <c r="N279" s="181"/>
      <c r="O279" s="186"/>
      <c r="P279" s="186"/>
      <c r="Q279" s="186"/>
      <c r="R279" s="181"/>
      <c r="S279" s="186"/>
      <c r="T279" s="186"/>
      <c r="U279" s="186"/>
      <c r="V279" s="181"/>
      <c r="W279" s="184"/>
      <c r="X279" s="184"/>
      <c r="Y279" s="184"/>
      <c r="Z279" s="181"/>
      <c r="AA279" s="186"/>
      <c r="AB279" s="186"/>
      <c r="AC279" s="186"/>
      <c r="AD279" s="181"/>
      <c r="AE279" s="275"/>
      <c r="AF279" s="184"/>
      <c r="AG279" s="184"/>
      <c r="AH279" s="181"/>
      <c r="AI279" s="182"/>
      <c r="AJ279" s="182"/>
      <c r="AK279" s="180"/>
      <c r="AL279" s="404"/>
    </row>
    <row r="280" spans="1:38" x14ac:dyDescent="0.25">
      <c r="A280" s="194">
        <v>275</v>
      </c>
      <c r="E280" s="204"/>
      <c r="F280" s="117"/>
      <c r="G280" s="204"/>
      <c r="H280" s="204"/>
      <c r="I280" s="204"/>
      <c r="J280" s="117"/>
      <c r="K280" s="202"/>
      <c r="L280" s="266"/>
      <c r="M280" s="204"/>
      <c r="N280" s="117"/>
      <c r="O280" s="204"/>
      <c r="P280" s="204"/>
      <c r="Q280" s="204"/>
      <c r="R280" s="117"/>
      <c r="S280" s="204"/>
      <c r="T280" s="204"/>
      <c r="U280" s="204"/>
      <c r="V280" s="117"/>
      <c r="W280" s="204"/>
      <c r="X280" s="204"/>
      <c r="Y280" s="204"/>
      <c r="Z280" s="117"/>
      <c r="AD280" s="117"/>
      <c r="AF280" s="204"/>
      <c r="AG280" s="204"/>
      <c r="AH280" s="117"/>
      <c r="AL280" s="404"/>
    </row>
    <row r="281" spans="1:38" x14ac:dyDescent="0.25">
      <c r="A281" s="194">
        <v>276</v>
      </c>
      <c r="B281" s="18" t="s">
        <v>95</v>
      </c>
      <c r="G281" s="264"/>
      <c r="K281" s="202"/>
      <c r="L281" s="266"/>
      <c r="M281" s="204"/>
      <c r="O281" s="204"/>
      <c r="P281" s="204"/>
      <c r="Q281" s="204"/>
      <c r="S281" s="204"/>
      <c r="T281" s="204"/>
      <c r="U281" s="204"/>
      <c r="AL281" s="404"/>
    </row>
    <row r="282" spans="1:38" x14ac:dyDescent="0.25">
      <c r="A282" s="194">
        <v>277</v>
      </c>
      <c r="B282" s="12" t="s">
        <v>9</v>
      </c>
      <c r="C282" s="223">
        <f t="shared" ref="C282:C284" si="65">E282/D282</f>
        <v>93</v>
      </c>
      <c r="D282" s="203">
        <v>163</v>
      </c>
      <c r="E282" s="224">
        <f>'1501 Summary'!AD199</f>
        <v>15159</v>
      </c>
      <c r="F282" s="117"/>
      <c r="G282" s="265"/>
      <c r="H282" s="255"/>
      <c r="I282" s="224"/>
      <c r="J282" s="117"/>
      <c r="K282" s="202">
        <f t="shared" ref="K282:K284" si="66">C282+G282</f>
        <v>93</v>
      </c>
      <c r="L282" s="203">
        <f t="shared" ref="L282" si="67">D282</f>
        <v>163</v>
      </c>
      <c r="M282" s="204">
        <f>L282*K282</f>
        <v>15159</v>
      </c>
      <c r="N282" s="117"/>
      <c r="O282" s="202"/>
      <c r="P282" s="204"/>
      <c r="Q282" s="204"/>
      <c r="R282" s="117"/>
      <c r="S282" s="202">
        <f>'End of Period Calculations'!AB112</f>
        <v>96</v>
      </c>
      <c r="T282" s="204">
        <f>S282*L282</f>
        <v>15648</v>
      </c>
      <c r="U282" s="204">
        <f>T282-M282</f>
        <v>489</v>
      </c>
      <c r="V282" s="117"/>
      <c r="W282" s="204"/>
      <c r="X282" s="204"/>
      <c r="Y282" s="204"/>
      <c r="Z282" s="117"/>
      <c r="AA282" s="216"/>
      <c r="AB282" s="216"/>
      <c r="AC282" s="216"/>
      <c r="AD282" s="117"/>
      <c r="AF282" s="32">
        <v>0</v>
      </c>
      <c r="AG282" s="203"/>
      <c r="AH282" s="117"/>
      <c r="AI282" s="698">
        <f>L282</f>
        <v>163</v>
      </c>
      <c r="AJ282" s="689">
        <f>AI282*S282</f>
        <v>15648</v>
      </c>
      <c r="AK282" s="689">
        <f>AJ282-T282</f>
        <v>0</v>
      </c>
      <c r="AL282" s="404"/>
    </row>
    <row r="283" spans="1:38" x14ac:dyDescent="0.25">
      <c r="A283" s="194">
        <v>278</v>
      </c>
      <c r="B283" s="12" t="s">
        <v>168</v>
      </c>
      <c r="C283" s="202">
        <f t="shared" si="65"/>
        <v>1262436.7321089301</v>
      </c>
      <c r="D283" s="205">
        <v>7.8950000000000006E-2</v>
      </c>
      <c r="E283" s="224">
        <f>'1501 Summary'!AD200</f>
        <v>99669.380000000034</v>
      </c>
      <c r="F283" s="117"/>
      <c r="G283" s="265"/>
      <c r="H283" s="255"/>
      <c r="I283" s="204"/>
      <c r="J283" s="117"/>
      <c r="K283" s="202">
        <f t="shared" si="66"/>
        <v>1262436.7321089301</v>
      </c>
      <c r="L283" s="266">
        <v>8.9639999999999997E-2</v>
      </c>
      <c r="M283" s="204">
        <f t="shared" ref="M283:M284" si="68">L283*K283</f>
        <v>113164.82866624449</v>
      </c>
      <c r="N283" s="117"/>
      <c r="O283" s="202"/>
      <c r="P283" s="204"/>
      <c r="Q283" s="204"/>
      <c r="R283" s="117"/>
      <c r="S283" s="202">
        <f>'End of Period Calculations'!AA112</f>
        <v>1301512.7114810457</v>
      </c>
      <c r="T283" s="204">
        <f>S283*L283</f>
        <v>116667.59945716093</v>
      </c>
      <c r="U283" s="204">
        <f>T283-M283</f>
        <v>3502.7707909164455</v>
      </c>
      <c r="V283" s="117"/>
      <c r="W283" s="204"/>
      <c r="X283" s="204"/>
      <c r="Y283" s="204"/>
      <c r="Z283" s="117"/>
      <c r="AA283" s="202">
        <f>S283</f>
        <v>1301512.7114810457</v>
      </c>
      <c r="AB283" s="413">
        <v>1.1900000000000001E-3</v>
      </c>
      <c r="AC283" s="216">
        <f>AB283*AA283</f>
        <v>1548.8001266624444</v>
      </c>
      <c r="AD283" s="117"/>
      <c r="AF283" s="32">
        <v>0</v>
      </c>
      <c r="AG283" s="203"/>
      <c r="AH283" s="117"/>
      <c r="AI283" s="691">
        <f>'Exh IDM-9 -Revenue Distribution'!F27</f>
        <v>0.10484672173858856</v>
      </c>
      <c r="AJ283" s="689">
        <f t="shared" ref="AJ283:AJ284" si="69">AI283*S283</f>
        <v>136459.34109988908</v>
      </c>
      <c r="AK283" s="689">
        <f>AJ283-T283</f>
        <v>19791.741642728142</v>
      </c>
      <c r="AL283" s="404"/>
    </row>
    <row r="284" spans="1:38" x14ac:dyDescent="0.25">
      <c r="A284" s="194">
        <v>279</v>
      </c>
      <c r="B284" s="54" t="s">
        <v>169</v>
      </c>
      <c r="C284" s="202">
        <f t="shared" si="65"/>
        <v>1008044.4839857651</v>
      </c>
      <c r="D284" s="205">
        <v>2.248E-2</v>
      </c>
      <c r="E284" s="224">
        <f>'1501 Summary'!AD201</f>
        <v>22660.84</v>
      </c>
      <c r="F284" s="117"/>
      <c r="G284" s="265"/>
      <c r="H284" s="255"/>
      <c r="I284" s="204"/>
      <c r="J284" s="117"/>
      <c r="K284" s="202">
        <f t="shared" si="66"/>
        <v>1008044.4839857651</v>
      </c>
      <c r="L284" s="266">
        <v>2.8170000000000001E-2</v>
      </c>
      <c r="M284" s="207">
        <f t="shared" si="68"/>
        <v>28396.613113879004</v>
      </c>
      <c r="N284" s="117"/>
      <c r="O284" s="202"/>
      <c r="P284" s="207"/>
      <c r="Q284" s="207"/>
      <c r="R284" s="117"/>
      <c r="S284" s="202">
        <f>'End of Period Calculations'!AA113</f>
        <v>1032498.538383325</v>
      </c>
      <c r="T284" s="207">
        <f>S284*L284</f>
        <v>29085.483826258267</v>
      </c>
      <c r="U284" s="207">
        <f>T284-M284</f>
        <v>688.87071237926284</v>
      </c>
      <c r="V284" s="117"/>
      <c r="W284" s="204"/>
      <c r="X284" s="204"/>
      <c r="Y284" s="204"/>
      <c r="Z284" s="117"/>
      <c r="AA284" s="202">
        <f>S284</f>
        <v>1032498.538383325</v>
      </c>
      <c r="AB284" s="413">
        <v>1.1900000000000001E-3</v>
      </c>
      <c r="AC284" s="254">
        <f>AB284*AA284</f>
        <v>1228.6732606761568</v>
      </c>
      <c r="AD284" s="117"/>
      <c r="AF284" s="38">
        <v>0</v>
      </c>
      <c r="AG284" s="208"/>
      <c r="AH284" s="117"/>
      <c r="AI284" s="691">
        <f>'Exh IDM-9 -Revenue Distribution'!F28</f>
        <v>3.2948819180901825E-2</v>
      </c>
      <c r="AJ284" s="690">
        <f t="shared" si="69"/>
        <v>34019.607645737597</v>
      </c>
      <c r="AK284" s="690">
        <f t="shared" ref="AK284" si="70">AJ284-T284</f>
        <v>4934.1238194793295</v>
      </c>
      <c r="AL284" s="404"/>
    </row>
    <row r="285" spans="1:38" x14ac:dyDescent="0.25">
      <c r="A285" s="194">
        <v>280</v>
      </c>
      <c r="B285" s="12" t="s">
        <v>10</v>
      </c>
      <c r="E285" s="225">
        <f>SUM(E282:E284)</f>
        <v>137489.22000000003</v>
      </c>
      <c r="F285" s="117"/>
      <c r="G285" s="204"/>
      <c r="H285" s="204"/>
      <c r="I285" s="204"/>
      <c r="J285" s="117"/>
      <c r="K285" s="202"/>
      <c r="L285" s="266"/>
      <c r="M285" s="204">
        <f>SUM(M282:M284)</f>
        <v>156720.44178012348</v>
      </c>
      <c r="N285" s="117"/>
      <c r="O285" s="204"/>
      <c r="P285" s="204"/>
      <c r="Q285" s="204"/>
      <c r="R285" s="117"/>
      <c r="S285" s="204"/>
      <c r="T285" s="204">
        <f>SUM(T282:T284)</f>
        <v>161401.0832834192</v>
      </c>
      <c r="U285" s="204">
        <f>T285-M285</f>
        <v>4680.6415032957157</v>
      </c>
      <c r="V285" s="117"/>
      <c r="W285" s="204"/>
      <c r="X285" s="204"/>
      <c r="Y285" s="204"/>
      <c r="Z285" s="117"/>
      <c r="AA285" s="216"/>
      <c r="AB285" s="216"/>
      <c r="AC285" s="216">
        <f>SUM(AC283:AC284)</f>
        <v>2777.4733873386012</v>
      </c>
      <c r="AD285" s="117"/>
      <c r="AF285" s="204">
        <v>0</v>
      </c>
      <c r="AG285" s="204"/>
      <c r="AH285" s="117"/>
      <c r="AI285" s="692"/>
      <c r="AJ285" s="689">
        <f>SUM(AJ282:AJ284)</f>
        <v>186126.94874562667</v>
      </c>
      <c r="AK285" s="689">
        <f>SUM(AK282:AK284)</f>
        <v>24725.865462207472</v>
      </c>
      <c r="AL285" s="404"/>
    </row>
    <row r="286" spans="1:38" x14ac:dyDescent="0.25">
      <c r="A286" s="194">
        <v>281</v>
      </c>
      <c r="E286" s="224"/>
      <c r="K286" s="202"/>
      <c r="L286" s="266"/>
      <c r="M286" s="204"/>
      <c r="O286" s="204"/>
      <c r="P286" s="204"/>
      <c r="Q286" s="204"/>
      <c r="S286" s="204"/>
      <c r="T286" s="204"/>
      <c r="U286" s="204"/>
      <c r="AL286" s="404"/>
    </row>
    <row r="287" spans="1:38" x14ac:dyDescent="0.25">
      <c r="A287" s="194">
        <v>282</v>
      </c>
      <c r="B287" s="12" t="s">
        <v>11</v>
      </c>
      <c r="E287" s="224">
        <f>'1501 Summary'!AD202</f>
        <v>922163.82000000007</v>
      </c>
      <c r="F287" s="117"/>
      <c r="G287" s="204"/>
      <c r="H287" s="204"/>
      <c r="I287" s="204"/>
      <c r="J287" s="117"/>
      <c r="K287" s="202"/>
      <c r="L287" s="266"/>
      <c r="M287" s="204"/>
      <c r="N287" s="117"/>
      <c r="O287" s="204"/>
      <c r="P287" s="204"/>
      <c r="Q287" s="204"/>
      <c r="R287" s="117"/>
      <c r="S287" s="204"/>
      <c r="T287" s="204"/>
      <c r="U287" s="204"/>
      <c r="V287" s="117"/>
      <c r="W287" s="204"/>
      <c r="X287" s="204"/>
      <c r="Y287" s="204"/>
      <c r="Z287" s="117"/>
      <c r="AD287" s="117"/>
      <c r="AF287" s="204"/>
      <c r="AG287" s="204"/>
      <c r="AH287" s="117"/>
      <c r="AL287" s="404"/>
    </row>
    <row r="288" spans="1:38" x14ac:dyDescent="0.25">
      <c r="A288" s="194">
        <v>283</v>
      </c>
      <c r="E288" s="224"/>
      <c r="K288" s="202"/>
      <c r="L288" s="266"/>
      <c r="M288" s="204"/>
      <c r="O288" s="204"/>
      <c r="P288" s="204"/>
      <c r="Q288" s="204"/>
      <c r="S288" s="204"/>
      <c r="T288" s="204"/>
      <c r="U288" s="204"/>
      <c r="AL288" s="404"/>
    </row>
    <row r="289" spans="1:38" x14ac:dyDescent="0.25">
      <c r="A289" s="194">
        <v>284</v>
      </c>
      <c r="B289" s="12" t="s">
        <v>12</v>
      </c>
      <c r="E289" s="224"/>
      <c r="K289" s="202"/>
      <c r="L289" s="266"/>
      <c r="M289" s="204"/>
      <c r="O289" s="204"/>
      <c r="P289" s="204"/>
      <c r="Q289" s="204"/>
      <c r="S289" s="204"/>
      <c r="T289" s="204"/>
      <c r="U289" s="204"/>
      <c r="AL289" s="404"/>
    </row>
    <row r="290" spans="1:38" x14ac:dyDescent="0.25">
      <c r="A290" s="194">
        <v>285</v>
      </c>
      <c r="B290" s="12" t="s">
        <v>484</v>
      </c>
      <c r="E290" s="224">
        <f>'1501 Summary'!AD203</f>
        <v>107500.48999999999</v>
      </c>
      <c r="K290" s="202"/>
      <c r="L290" s="266"/>
      <c r="M290" s="204"/>
      <c r="O290" s="204"/>
      <c r="P290" s="204"/>
      <c r="Q290" s="204"/>
      <c r="S290" s="204"/>
      <c r="T290" s="204"/>
      <c r="U290" s="204"/>
      <c r="AL290" s="404"/>
    </row>
    <row r="291" spans="1:38" x14ac:dyDescent="0.25">
      <c r="A291" s="194">
        <v>286</v>
      </c>
      <c r="B291" s="12" t="s">
        <v>115</v>
      </c>
      <c r="E291" s="224">
        <f>'1501 Summary'!AD204</f>
        <v>1155.6599999999999</v>
      </c>
      <c r="F291" s="117"/>
      <c r="G291" s="204"/>
      <c r="H291" s="204"/>
      <c r="I291" s="204"/>
      <c r="J291" s="117"/>
      <c r="K291" s="202"/>
      <c r="L291" s="266"/>
      <c r="M291" s="204"/>
      <c r="N291" s="117"/>
      <c r="O291" s="204"/>
      <c r="P291" s="204"/>
      <c r="Q291" s="204"/>
      <c r="R291" s="117"/>
      <c r="S291" s="204"/>
      <c r="T291" s="204"/>
      <c r="U291" s="204"/>
      <c r="V291" s="117"/>
      <c r="W291" s="204"/>
      <c r="X291" s="204"/>
      <c r="Y291" s="204"/>
      <c r="Z291" s="117"/>
      <c r="AD291" s="117"/>
      <c r="AF291" s="204"/>
      <c r="AG291" s="204"/>
      <c r="AH291" s="117"/>
      <c r="AI291" s="12"/>
      <c r="AJ291" s="12"/>
      <c r="AL291" s="404"/>
    </row>
    <row r="292" spans="1:38" x14ac:dyDescent="0.25">
      <c r="A292" s="194">
        <v>287</v>
      </c>
      <c r="B292" s="12" t="s">
        <v>116</v>
      </c>
      <c r="E292" s="224">
        <f>'1501 Summary'!AD205</f>
        <v>8166.31</v>
      </c>
      <c r="F292" s="117"/>
      <c r="G292" s="204"/>
      <c r="H292" s="204"/>
      <c r="I292" s="204"/>
      <c r="J292" s="117"/>
      <c r="K292" s="202"/>
      <c r="L292" s="266"/>
      <c r="M292" s="204"/>
      <c r="N292" s="117"/>
      <c r="O292" s="204"/>
      <c r="P292" s="204"/>
      <c r="Q292" s="204"/>
      <c r="R292" s="117"/>
      <c r="S292" s="204"/>
      <c r="T292" s="204"/>
      <c r="U292" s="204"/>
      <c r="V292" s="117"/>
      <c r="W292" s="204"/>
      <c r="X292" s="204"/>
      <c r="Y292" s="204"/>
      <c r="Z292" s="117"/>
      <c r="AD292" s="117"/>
      <c r="AF292" s="204"/>
      <c r="AG292" s="204"/>
      <c r="AH292" s="117"/>
      <c r="AI292" s="12"/>
      <c r="AJ292" s="12"/>
      <c r="AL292" s="404"/>
    </row>
    <row r="293" spans="1:38" x14ac:dyDescent="0.25">
      <c r="A293" s="194">
        <v>288</v>
      </c>
      <c r="B293" s="12" t="s">
        <v>117</v>
      </c>
      <c r="E293" s="224">
        <f>'1501 Summary'!AD206</f>
        <v>19710.559999999998</v>
      </c>
      <c r="F293" s="117"/>
      <c r="G293" s="204"/>
      <c r="H293" s="204"/>
      <c r="I293" s="204"/>
      <c r="J293" s="117"/>
      <c r="K293" s="202"/>
      <c r="L293" s="266"/>
      <c r="M293" s="204"/>
      <c r="N293" s="117"/>
      <c r="O293" s="204"/>
      <c r="P293" s="204"/>
      <c r="Q293" s="204"/>
      <c r="R293" s="117"/>
      <c r="S293" s="204"/>
      <c r="T293" s="204"/>
      <c r="U293" s="204"/>
      <c r="V293" s="117"/>
      <c r="W293" s="204"/>
      <c r="X293" s="204"/>
      <c r="Y293" s="204"/>
      <c r="Z293" s="117"/>
      <c r="AD293" s="117"/>
      <c r="AF293" s="204"/>
      <c r="AG293" s="204"/>
      <c r="AH293" s="117"/>
      <c r="AI293" s="12"/>
      <c r="AJ293" s="12"/>
      <c r="AL293" s="404"/>
    </row>
    <row r="294" spans="1:38" x14ac:dyDescent="0.25">
      <c r="A294" s="194">
        <v>289</v>
      </c>
      <c r="B294" s="12" t="s">
        <v>118</v>
      </c>
      <c r="E294" s="224">
        <f>'1501 Summary'!AD207</f>
        <v>15791.570000000002</v>
      </c>
      <c r="F294" s="117"/>
      <c r="G294" s="204"/>
      <c r="H294" s="204"/>
      <c r="I294" s="204"/>
      <c r="J294" s="117"/>
      <c r="K294" s="202"/>
      <c r="L294" s="266"/>
      <c r="M294" s="204"/>
      <c r="N294" s="117"/>
      <c r="O294" s="204"/>
      <c r="P294" s="204"/>
      <c r="Q294" s="204"/>
      <c r="R294" s="117"/>
      <c r="S294" s="204"/>
      <c r="T294" s="204"/>
      <c r="U294" s="204"/>
      <c r="V294" s="117"/>
      <c r="W294" s="204"/>
      <c r="X294" s="204"/>
      <c r="Y294" s="204"/>
      <c r="Z294" s="117"/>
      <c r="AD294" s="117"/>
      <c r="AF294" s="204"/>
      <c r="AG294" s="204"/>
      <c r="AH294" s="117"/>
      <c r="AI294" s="12"/>
      <c r="AJ294" s="12"/>
      <c r="AL294" s="404"/>
    </row>
    <row r="295" spans="1:38" x14ac:dyDescent="0.25">
      <c r="A295" s="194">
        <v>290</v>
      </c>
      <c r="B295" s="12" t="s">
        <v>119</v>
      </c>
      <c r="E295" s="224">
        <f>'1501 Summary'!AD208</f>
        <v>62243.55000000001</v>
      </c>
      <c r="F295" s="117"/>
      <c r="G295" s="204"/>
      <c r="H295" s="204"/>
      <c r="I295" s="204"/>
      <c r="J295" s="117"/>
      <c r="K295" s="202"/>
      <c r="L295" s="266"/>
      <c r="M295" s="204"/>
      <c r="N295" s="117"/>
      <c r="O295" s="204"/>
      <c r="P295" s="204"/>
      <c r="Q295" s="204"/>
      <c r="R295" s="117"/>
      <c r="S295" s="204"/>
      <c r="T295" s="204"/>
      <c r="U295" s="204"/>
      <c r="V295" s="117"/>
      <c r="W295" s="204"/>
      <c r="X295" s="204"/>
      <c r="Y295" s="204"/>
      <c r="Z295" s="117"/>
      <c r="AD295" s="117"/>
      <c r="AF295" s="204"/>
      <c r="AG295" s="204"/>
      <c r="AH295" s="117"/>
      <c r="AI295" s="12"/>
      <c r="AJ295" s="12"/>
      <c r="AL295" s="404"/>
    </row>
    <row r="296" spans="1:38" x14ac:dyDescent="0.25">
      <c r="A296" s="194">
        <v>291</v>
      </c>
      <c r="B296" s="12" t="s">
        <v>181</v>
      </c>
      <c r="E296" s="224">
        <f>'1501 Summary'!AD209</f>
        <v>-2436.6400000000003</v>
      </c>
      <c r="F296" s="117"/>
      <c r="G296" s="204"/>
      <c r="H296" s="204"/>
      <c r="I296" s="204"/>
      <c r="J296" s="117"/>
      <c r="K296" s="202"/>
      <c r="L296" s="266"/>
      <c r="M296" s="204"/>
      <c r="N296" s="117"/>
      <c r="O296" s="204"/>
      <c r="P296" s="204"/>
      <c r="Q296" s="204"/>
      <c r="R296" s="117"/>
      <c r="S296" s="204"/>
      <c r="T296" s="204"/>
      <c r="U296" s="204"/>
      <c r="V296" s="117"/>
      <c r="W296" s="204"/>
      <c r="X296" s="204"/>
      <c r="Y296" s="204"/>
      <c r="Z296" s="117"/>
      <c r="AD296" s="117"/>
      <c r="AF296" s="204"/>
      <c r="AG296" s="204"/>
      <c r="AH296" s="117"/>
      <c r="AI296" s="12"/>
      <c r="AJ296" s="12"/>
      <c r="AL296" s="404"/>
    </row>
    <row r="297" spans="1:38" x14ac:dyDescent="0.25">
      <c r="A297" s="194">
        <v>292</v>
      </c>
      <c r="B297" s="12" t="s">
        <v>182</v>
      </c>
      <c r="E297" s="224">
        <f>'1501 Summary'!AD210</f>
        <v>-1101.2900000000002</v>
      </c>
      <c r="F297" s="117"/>
      <c r="G297" s="204"/>
      <c r="H297" s="204"/>
      <c r="I297" s="204"/>
      <c r="J297" s="117"/>
      <c r="K297" s="202"/>
      <c r="L297" s="266"/>
      <c r="M297" s="204"/>
      <c r="N297" s="117"/>
      <c r="O297" s="204"/>
      <c r="P297" s="204"/>
      <c r="Q297" s="204"/>
      <c r="R297" s="117"/>
      <c r="S297" s="204"/>
      <c r="T297" s="204"/>
      <c r="U297" s="204"/>
      <c r="V297" s="117"/>
      <c r="W297" s="204"/>
      <c r="X297" s="204"/>
      <c r="Y297" s="204"/>
      <c r="Z297" s="117"/>
      <c r="AD297" s="117"/>
      <c r="AF297" s="204"/>
      <c r="AG297" s="204"/>
      <c r="AH297" s="117"/>
      <c r="AI297" s="12"/>
      <c r="AJ297" s="12"/>
      <c r="AL297" s="404"/>
    </row>
    <row r="298" spans="1:38" x14ac:dyDescent="0.25">
      <c r="A298" s="194">
        <v>293</v>
      </c>
      <c r="B298" s="12" t="s">
        <v>183</v>
      </c>
      <c r="E298" s="224">
        <f>'1501 Summary'!AD211</f>
        <v>-1836.2099999999998</v>
      </c>
      <c r="F298" s="117"/>
      <c r="G298" s="204"/>
      <c r="H298" s="204"/>
      <c r="I298" s="204"/>
      <c r="J298" s="117"/>
      <c r="K298" s="202"/>
      <c r="L298" s="266"/>
      <c r="M298" s="204"/>
      <c r="N298" s="117"/>
      <c r="O298" s="204"/>
      <c r="P298" s="204"/>
      <c r="Q298" s="204"/>
      <c r="R298" s="117"/>
      <c r="S298" s="204"/>
      <c r="T298" s="204"/>
      <c r="U298" s="204"/>
      <c r="V298" s="117"/>
      <c r="W298" s="204"/>
      <c r="X298" s="204"/>
      <c r="Y298" s="204"/>
      <c r="Z298" s="117"/>
      <c r="AD298" s="117"/>
      <c r="AF298" s="204"/>
      <c r="AG298" s="204"/>
      <c r="AH298" s="117"/>
      <c r="AI298" s="12"/>
      <c r="AJ298" s="12"/>
      <c r="AL298" s="404"/>
    </row>
    <row r="299" spans="1:38" x14ac:dyDescent="0.25">
      <c r="A299" s="194">
        <v>294</v>
      </c>
      <c r="B299" s="12" t="s">
        <v>120</v>
      </c>
      <c r="E299" s="224">
        <f>'1501 Summary'!AD212</f>
        <v>18554.189999999999</v>
      </c>
      <c r="F299" s="117"/>
      <c r="G299" s="204"/>
      <c r="H299" s="204"/>
      <c r="I299" s="204"/>
      <c r="J299" s="117"/>
      <c r="K299" s="202"/>
      <c r="L299" s="266"/>
      <c r="M299" s="204"/>
      <c r="N299" s="117"/>
      <c r="O299" s="204"/>
      <c r="P299" s="204"/>
      <c r="Q299" s="204"/>
      <c r="R299" s="117"/>
      <c r="S299" s="204"/>
      <c r="T299" s="204"/>
      <c r="U299" s="204"/>
      <c r="V299" s="117"/>
      <c r="W299" s="204"/>
      <c r="X299" s="204"/>
      <c r="Y299" s="204"/>
      <c r="Z299" s="117"/>
      <c r="AD299" s="117"/>
      <c r="AF299" s="204"/>
      <c r="AG299" s="204"/>
      <c r="AH299" s="117"/>
      <c r="AI299" s="12"/>
      <c r="AJ299" s="12"/>
      <c r="AL299" s="404"/>
    </row>
    <row r="300" spans="1:38" x14ac:dyDescent="0.25">
      <c r="A300" s="194">
        <v>295</v>
      </c>
      <c r="B300" s="11" t="s">
        <v>124</v>
      </c>
      <c r="E300" s="224">
        <f>'1501 Summary'!AD213</f>
        <v>988.82</v>
      </c>
      <c r="F300" s="117"/>
      <c r="G300" s="204"/>
      <c r="H300" s="204"/>
      <c r="I300" s="204"/>
      <c r="J300" s="117"/>
      <c r="K300" s="202"/>
      <c r="L300" s="266"/>
      <c r="M300" s="204"/>
      <c r="N300" s="117"/>
      <c r="O300" s="204"/>
      <c r="P300" s="204"/>
      <c r="Q300" s="204"/>
      <c r="R300" s="117"/>
      <c r="S300" s="204"/>
      <c r="T300" s="204"/>
      <c r="U300" s="204"/>
      <c r="V300" s="117"/>
      <c r="W300" s="204"/>
      <c r="X300" s="204"/>
      <c r="Y300" s="204"/>
      <c r="Z300" s="117"/>
      <c r="AD300" s="117"/>
      <c r="AF300" s="204"/>
      <c r="AG300" s="204"/>
      <c r="AH300" s="117"/>
      <c r="AI300" s="12"/>
      <c r="AJ300" s="12"/>
      <c r="AL300" s="404"/>
    </row>
    <row r="301" spans="1:38" x14ac:dyDescent="0.25">
      <c r="A301" s="194">
        <v>296</v>
      </c>
      <c r="B301" s="11" t="s">
        <v>14</v>
      </c>
      <c r="C301" s="226"/>
      <c r="E301" s="224">
        <f>'Revenue Reconcilliation'!Q174</f>
        <v>0</v>
      </c>
      <c r="F301" s="117"/>
      <c r="G301" s="204"/>
      <c r="H301" s="204"/>
      <c r="I301" s="204"/>
      <c r="J301" s="117"/>
      <c r="K301" s="202"/>
      <c r="L301" s="266"/>
      <c r="M301" s="204"/>
      <c r="N301" s="117"/>
      <c r="O301" s="204"/>
      <c r="P301" s="204"/>
      <c r="Q301" s="204"/>
      <c r="R301" s="117"/>
      <c r="S301" s="204"/>
      <c r="T301" s="204"/>
      <c r="U301" s="204"/>
      <c r="V301" s="117"/>
      <c r="W301" s="204"/>
      <c r="X301" s="204"/>
      <c r="Y301" s="204"/>
      <c r="Z301" s="117"/>
      <c r="AD301" s="117"/>
      <c r="AF301" s="204"/>
      <c r="AG301" s="204"/>
      <c r="AH301" s="117"/>
      <c r="AI301" s="12"/>
      <c r="AJ301" s="12"/>
      <c r="AL301" s="404"/>
    </row>
    <row r="302" spans="1:38" x14ac:dyDescent="0.25">
      <c r="A302" s="194">
        <v>297</v>
      </c>
      <c r="B302" s="11" t="s">
        <v>15</v>
      </c>
      <c r="E302" s="224">
        <f>'Revenue Reconcilliation'!Q175</f>
        <v>0</v>
      </c>
      <c r="F302" s="117"/>
      <c r="G302" s="204"/>
      <c r="H302" s="204"/>
      <c r="I302" s="204"/>
      <c r="J302" s="117"/>
      <c r="K302" s="202"/>
      <c r="L302" s="266"/>
      <c r="M302" s="204"/>
      <c r="N302" s="117"/>
      <c r="O302" s="204"/>
      <c r="P302" s="204"/>
      <c r="Q302" s="204"/>
      <c r="R302" s="117"/>
      <c r="S302" s="204"/>
      <c r="T302" s="204"/>
      <c r="U302" s="204"/>
      <c r="V302" s="117"/>
      <c r="W302" s="204"/>
      <c r="X302" s="204"/>
      <c r="Y302" s="204"/>
      <c r="Z302" s="117"/>
      <c r="AD302" s="117"/>
      <c r="AF302" s="204"/>
      <c r="AG302" s="204"/>
      <c r="AH302" s="117"/>
      <c r="AI302" s="12"/>
      <c r="AJ302" s="12"/>
      <c r="AL302" s="404"/>
    </row>
    <row r="303" spans="1:38" x14ac:dyDescent="0.25">
      <c r="A303" s="194">
        <v>298</v>
      </c>
      <c r="B303" s="11" t="s">
        <v>16</v>
      </c>
      <c r="E303" s="224">
        <f>'Revenue Reconcilliation'!Q176</f>
        <v>20059.57</v>
      </c>
      <c r="F303" s="117"/>
      <c r="G303" s="204"/>
      <c r="H303" s="204"/>
      <c r="I303" s="204"/>
      <c r="J303" s="117"/>
      <c r="K303" s="202"/>
      <c r="L303" s="266"/>
      <c r="M303" s="204"/>
      <c r="N303" s="117"/>
      <c r="O303" s="204"/>
      <c r="P303" s="204"/>
      <c r="Q303" s="204"/>
      <c r="R303" s="117"/>
      <c r="S303" s="204"/>
      <c r="T303" s="204"/>
      <c r="U303" s="204"/>
      <c r="V303" s="117"/>
      <c r="W303" s="204"/>
      <c r="X303" s="204"/>
      <c r="Y303" s="204"/>
      <c r="Z303" s="117"/>
      <c r="AD303" s="117"/>
      <c r="AF303" s="204"/>
      <c r="AG303" s="204"/>
      <c r="AH303" s="117"/>
      <c r="AI303" s="12"/>
      <c r="AJ303" s="12"/>
      <c r="AL303" s="404"/>
    </row>
    <row r="304" spans="1:38" x14ac:dyDescent="0.25">
      <c r="A304" s="194">
        <v>299</v>
      </c>
      <c r="B304" s="11" t="s">
        <v>17</v>
      </c>
      <c r="E304" s="224">
        <f>'Revenue Reconcilliation'!Q177</f>
        <v>-23706.05</v>
      </c>
      <c r="F304" s="117"/>
      <c r="G304" s="204"/>
      <c r="H304" s="204"/>
      <c r="I304" s="204"/>
      <c r="J304" s="117"/>
      <c r="K304" s="202"/>
      <c r="L304" s="266"/>
      <c r="M304" s="204"/>
      <c r="N304" s="117"/>
      <c r="O304" s="204"/>
      <c r="P304" s="204"/>
      <c r="Q304" s="204"/>
      <c r="R304" s="117"/>
      <c r="S304" s="204"/>
      <c r="T304" s="204"/>
      <c r="U304" s="204"/>
      <c r="V304" s="117"/>
      <c r="W304" s="204"/>
      <c r="X304" s="204"/>
      <c r="Y304" s="204"/>
      <c r="Z304" s="117"/>
      <c r="AD304" s="117"/>
      <c r="AF304" s="204"/>
      <c r="AG304" s="204"/>
      <c r="AH304" s="117"/>
      <c r="AI304" s="12"/>
      <c r="AJ304" s="12"/>
      <c r="AL304" s="404"/>
    </row>
    <row r="305" spans="1:38" x14ac:dyDescent="0.25">
      <c r="A305" s="194">
        <v>300</v>
      </c>
      <c r="B305" s="11" t="s">
        <v>18</v>
      </c>
      <c r="E305" s="224">
        <f>'Revenue Reconcilliation'!Q178</f>
        <v>0</v>
      </c>
      <c r="F305" s="117"/>
      <c r="G305" s="204"/>
      <c r="H305" s="204"/>
      <c r="I305" s="204"/>
      <c r="J305" s="117"/>
      <c r="K305" s="202"/>
      <c r="L305" s="266"/>
      <c r="M305" s="204"/>
      <c r="N305" s="117"/>
      <c r="O305" s="204"/>
      <c r="P305" s="204"/>
      <c r="Q305" s="204"/>
      <c r="R305" s="117"/>
      <c r="S305" s="204"/>
      <c r="T305" s="204"/>
      <c r="U305" s="204"/>
      <c r="V305" s="117"/>
      <c r="W305" s="204"/>
      <c r="X305" s="204"/>
      <c r="Y305" s="204"/>
      <c r="Z305" s="117"/>
      <c r="AD305" s="117"/>
      <c r="AF305" s="204"/>
      <c r="AG305" s="204"/>
      <c r="AH305" s="117"/>
      <c r="AI305" s="12"/>
      <c r="AJ305" s="12"/>
      <c r="AL305" s="404"/>
    </row>
    <row r="306" spans="1:38" x14ac:dyDescent="0.25">
      <c r="A306" s="194">
        <v>301</v>
      </c>
      <c r="B306" s="11" t="s">
        <v>24</v>
      </c>
      <c r="E306" s="224">
        <f>'Revenue Reconcilliation'!Q179</f>
        <v>0</v>
      </c>
      <c r="F306" s="117"/>
      <c r="G306" s="204"/>
      <c r="H306" s="204"/>
      <c r="I306" s="204"/>
      <c r="J306" s="117"/>
      <c r="K306" s="202"/>
      <c r="L306" s="266"/>
      <c r="M306" s="204"/>
      <c r="N306" s="117"/>
      <c r="O306" s="204"/>
      <c r="P306" s="204"/>
      <c r="Q306" s="204"/>
      <c r="R306" s="117"/>
      <c r="S306" s="204"/>
      <c r="T306" s="204"/>
      <c r="U306" s="204"/>
      <c r="V306" s="117"/>
      <c r="W306" s="204"/>
      <c r="X306" s="204"/>
      <c r="Y306" s="204"/>
      <c r="Z306" s="117"/>
      <c r="AD306" s="117"/>
      <c r="AF306" s="204"/>
      <c r="AG306" s="204"/>
      <c r="AH306" s="117"/>
      <c r="AI306" s="12"/>
      <c r="AJ306" s="12"/>
      <c r="AL306" s="404"/>
    </row>
    <row r="307" spans="1:38" x14ac:dyDescent="0.25">
      <c r="A307" s="194">
        <v>302</v>
      </c>
      <c r="B307" s="5" t="s">
        <v>53</v>
      </c>
      <c r="E307" s="224">
        <f>'Revenue Reconcilliation'!Q180</f>
        <v>-1287066.5</v>
      </c>
      <c r="F307" s="117"/>
      <c r="G307" s="204"/>
      <c r="H307" s="204"/>
      <c r="I307" s="204"/>
      <c r="J307" s="117"/>
      <c r="K307" s="202"/>
      <c r="L307" s="266"/>
      <c r="M307" s="204"/>
      <c r="N307" s="117"/>
      <c r="O307" s="204"/>
      <c r="P307" s="204"/>
      <c r="Q307" s="204"/>
      <c r="R307" s="117"/>
      <c r="S307" s="204"/>
      <c r="T307" s="204"/>
      <c r="U307" s="204"/>
      <c r="V307" s="117"/>
      <c r="W307" s="204"/>
      <c r="X307" s="204"/>
      <c r="Y307" s="204"/>
      <c r="Z307" s="117"/>
      <c r="AD307" s="117"/>
      <c r="AF307" s="204"/>
      <c r="AG307" s="204"/>
      <c r="AH307" s="117"/>
      <c r="AI307" s="12"/>
      <c r="AJ307" s="12"/>
      <c r="AL307" s="404"/>
    </row>
    <row r="308" spans="1:38" x14ac:dyDescent="0.25">
      <c r="A308" s="194">
        <v>303</v>
      </c>
      <c r="B308" s="5" t="s">
        <v>54</v>
      </c>
      <c r="E308" s="224">
        <f>'Revenue Reconcilliation'!Q181</f>
        <v>1320741.78</v>
      </c>
      <c r="F308" s="117"/>
      <c r="G308" s="204"/>
      <c r="H308" s="204"/>
      <c r="I308" s="204"/>
      <c r="J308" s="117"/>
      <c r="K308" s="202"/>
      <c r="L308" s="266"/>
      <c r="M308" s="204"/>
      <c r="N308" s="117"/>
      <c r="O308" s="204"/>
      <c r="P308" s="204"/>
      <c r="Q308" s="204"/>
      <c r="R308" s="117"/>
      <c r="S308" s="204"/>
      <c r="T308" s="204"/>
      <c r="U308" s="204"/>
      <c r="V308" s="117"/>
      <c r="W308" s="204"/>
      <c r="X308" s="204"/>
      <c r="Y308" s="204"/>
      <c r="Z308" s="117"/>
      <c r="AD308" s="117"/>
      <c r="AF308" s="204"/>
      <c r="AG308" s="204"/>
      <c r="AH308" s="117"/>
      <c r="AI308" s="12"/>
      <c r="AJ308" s="12"/>
      <c r="AL308" s="404"/>
    </row>
    <row r="309" spans="1:38" x14ac:dyDescent="0.25">
      <c r="A309" s="194">
        <v>304</v>
      </c>
      <c r="B309" s="11" t="s">
        <v>91</v>
      </c>
      <c r="E309" s="224">
        <f>SUM(E290:E308)</f>
        <v>258765.81000000006</v>
      </c>
      <c r="F309" s="117"/>
      <c r="G309" s="204"/>
      <c r="H309" s="204"/>
      <c r="I309" s="204"/>
      <c r="J309" s="117"/>
      <c r="K309" s="202"/>
      <c r="L309" s="266"/>
      <c r="M309" s="204"/>
      <c r="N309" s="117"/>
      <c r="O309" s="204"/>
      <c r="P309" s="204"/>
      <c r="Q309" s="204"/>
      <c r="R309" s="117"/>
      <c r="S309" s="204"/>
      <c r="T309" s="204"/>
      <c r="U309" s="204"/>
      <c r="V309" s="117"/>
      <c r="W309" s="204"/>
      <c r="X309" s="204"/>
      <c r="Y309" s="204"/>
      <c r="Z309" s="117"/>
      <c r="AD309" s="117"/>
      <c r="AF309" s="204"/>
      <c r="AG309" s="204"/>
      <c r="AH309" s="117"/>
      <c r="AI309" s="11"/>
      <c r="AJ309" s="11"/>
      <c r="AL309" s="404"/>
    </row>
    <row r="310" spans="1:38" x14ac:dyDescent="0.25">
      <c r="A310" s="194">
        <v>305</v>
      </c>
      <c r="B310" s="11"/>
      <c r="E310" s="224"/>
      <c r="F310" s="117"/>
      <c r="G310" s="204"/>
      <c r="H310" s="204"/>
      <c r="I310" s="204"/>
      <c r="J310" s="117"/>
      <c r="K310" s="202"/>
      <c r="L310" s="266"/>
      <c r="M310" s="204"/>
      <c r="N310" s="117"/>
      <c r="O310" s="204"/>
      <c r="P310" s="204"/>
      <c r="Q310" s="204"/>
      <c r="R310" s="117"/>
      <c r="S310" s="204"/>
      <c r="T310" s="204"/>
      <c r="U310" s="204"/>
      <c r="V310" s="117"/>
      <c r="W310" s="204"/>
      <c r="X310" s="204"/>
      <c r="Y310" s="204"/>
      <c r="Z310" s="117"/>
      <c r="AD310" s="117"/>
      <c r="AF310" s="204"/>
      <c r="AG310" s="204"/>
      <c r="AH310" s="117"/>
      <c r="AI310" s="11"/>
      <c r="AJ310" s="11"/>
      <c r="AL310" s="404"/>
    </row>
    <row r="311" spans="1:38" x14ac:dyDescent="0.25">
      <c r="A311" s="194">
        <v>306</v>
      </c>
      <c r="B311" s="51" t="str">
        <f>"Total "&amp;LEFT(B281,17)&amp;" Revenue"</f>
        <v>Total Rate Schedule 570 Revenue</v>
      </c>
      <c r="C311" s="227">
        <f>E311-'Revenue Reconcilliation'!Q182</f>
        <v>0</v>
      </c>
      <c r="D311" s="214" t="s">
        <v>45</v>
      </c>
      <c r="E311" s="228">
        <f>SUM(E285,E287,E309)</f>
        <v>1318418.8500000001</v>
      </c>
      <c r="F311" s="115"/>
      <c r="G311" s="208"/>
      <c r="H311" s="208"/>
      <c r="I311" s="208"/>
      <c r="J311" s="115"/>
      <c r="K311" s="239"/>
      <c r="L311" s="283"/>
      <c r="M311" s="207"/>
      <c r="N311" s="115"/>
      <c r="O311" s="207"/>
      <c r="P311" s="207"/>
      <c r="Q311" s="207"/>
      <c r="R311" s="115"/>
      <c r="S311" s="207"/>
      <c r="T311" s="207"/>
      <c r="U311" s="207"/>
      <c r="V311" s="115"/>
      <c r="W311" s="208"/>
      <c r="X311" s="208"/>
      <c r="Y311" s="208"/>
      <c r="Z311" s="115"/>
      <c r="AA311" s="207"/>
      <c r="AB311" s="207"/>
      <c r="AC311" s="207"/>
      <c r="AD311" s="115"/>
      <c r="AE311" s="239"/>
      <c r="AF311" s="208"/>
      <c r="AG311" s="208"/>
      <c r="AH311" s="115"/>
      <c r="AI311" s="23"/>
      <c r="AJ311" s="23"/>
      <c r="AK311" s="30"/>
      <c r="AL311" s="404"/>
    </row>
    <row r="312" spans="1:38" x14ac:dyDescent="0.25">
      <c r="A312" s="194">
        <v>307</v>
      </c>
      <c r="B312" s="19"/>
      <c r="D312" s="229"/>
      <c r="E312" s="212"/>
      <c r="F312" s="116"/>
      <c r="G312" s="212"/>
      <c r="H312" s="212"/>
      <c r="I312" s="212"/>
      <c r="J312" s="116"/>
      <c r="K312" s="202"/>
      <c r="L312" s="266"/>
      <c r="M312" s="204"/>
      <c r="N312" s="116"/>
      <c r="O312" s="204"/>
      <c r="P312" s="204"/>
      <c r="Q312" s="204"/>
      <c r="R312" s="116"/>
      <c r="S312" s="204"/>
      <c r="T312" s="204"/>
      <c r="U312" s="204"/>
      <c r="V312" s="116"/>
      <c r="W312" s="212"/>
      <c r="X312" s="212"/>
      <c r="Y312" s="212"/>
      <c r="Z312" s="116"/>
      <c r="AD312" s="116"/>
      <c r="AF312" s="212"/>
      <c r="AG312" s="212"/>
      <c r="AH312" s="116"/>
      <c r="AL312" s="404"/>
    </row>
    <row r="313" spans="1:38" x14ac:dyDescent="0.25">
      <c r="A313" s="194">
        <v>308</v>
      </c>
      <c r="B313" s="18" t="s">
        <v>131</v>
      </c>
      <c r="G313" s="264" t="s">
        <v>522</v>
      </c>
      <c r="K313" s="202"/>
      <c r="L313" s="266"/>
      <c r="M313" s="203"/>
      <c r="O313" s="410"/>
      <c r="P313" s="204"/>
      <c r="Q313" s="204"/>
      <c r="S313" s="410"/>
      <c r="T313" s="204"/>
      <c r="U313" s="204"/>
      <c r="AJ313"/>
      <c r="AK313"/>
      <c r="AL313" s="404"/>
    </row>
    <row r="314" spans="1:38" x14ac:dyDescent="0.25">
      <c r="A314" s="194">
        <v>309</v>
      </c>
      <c r="B314" s="12" t="s">
        <v>9</v>
      </c>
      <c r="C314" s="202">
        <f>E314/D314</f>
        <v>2227</v>
      </c>
      <c r="D314" s="230">
        <v>625</v>
      </c>
      <c r="E314" s="204">
        <f>'1501 Summary'!AD220</f>
        <v>1391875</v>
      </c>
      <c r="F314" s="117"/>
      <c r="G314" s="202">
        <f>-SUM(G451,G478,G503,G353,G698)</f>
        <v>60</v>
      </c>
      <c r="H314" s="204">
        <f>D314</f>
        <v>625</v>
      </c>
      <c r="I314" s="202">
        <f>G314*H314</f>
        <v>37500</v>
      </c>
      <c r="J314" s="117"/>
      <c r="K314" s="202">
        <f t="shared" ref="K314:K319" si="71">C314+G314</f>
        <v>2287</v>
      </c>
      <c r="L314" s="203">
        <f t="shared" ref="L314:L316" si="72">D314</f>
        <v>625</v>
      </c>
      <c r="M314" s="204">
        <f>L314*K314</f>
        <v>1429375</v>
      </c>
      <c r="N314" s="117"/>
      <c r="O314" s="202"/>
      <c r="P314" s="204"/>
      <c r="Q314" s="204"/>
      <c r="R314" s="117"/>
      <c r="S314" s="665">
        <f>'End of Period Calculations'!AB116+'End of Period Calculations'!AC116</f>
        <v>2260</v>
      </c>
      <c r="T314" s="204">
        <f t="shared" ref="T314:T320" si="73">S314*L314</f>
        <v>1412500</v>
      </c>
      <c r="U314" s="204">
        <f t="shared" ref="U314:U319" si="74">T314-M314</f>
        <v>-16875</v>
      </c>
      <c r="V314" s="117"/>
      <c r="W314" s="204"/>
      <c r="X314" s="204"/>
      <c r="Y314" s="204"/>
      <c r="Z314" s="117"/>
      <c r="AA314" s="216"/>
      <c r="AB314" s="216"/>
      <c r="AC314" s="216"/>
      <c r="AD314" s="117"/>
      <c r="AF314" s="204"/>
      <c r="AG314" s="204"/>
      <c r="AH314" s="117"/>
      <c r="AI314" s="698">
        <f>L314</f>
        <v>625</v>
      </c>
      <c r="AJ314" s="689">
        <f>AI314*S314</f>
        <v>1412500</v>
      </c>
      <c r="AK314" s="689">
        <f t="shared" ref="AK314:AK315" si="75">AJ314-T314</f>
        <v>0</v>
      </c>
      <c r="AL314" s="404"/>
    </row>
    <row r="315" spans="1:38" x14ac:dyDescent="0.25">
      <c r="A315" s="194">
        <v>310</v>
      </c>
      <c r="B315" s="12" t="s">
        <v>157</v>
      </c>
      <c r="C315" s="202">
        <f>E315/D315</f>
        <v>17874140</v>
      </c>
      <c r="D315" s="231">
        <v>0.2</v>
      </c>
      <c r="E315" s="204">
        <f>'1501 Summary'!AD221</f>
        <v>3574828</v>
      </c>
      <c r="F315" s="117"/>
      <c r="G315" s="202">
        <f>-SUM(G452,G479,G354,G699,G355)</f>
        <v>12480012</v>
      </c>
      <c r="H315" s="266">
        <f t="shared" ref="H315" si="76">D315</f>
        <v>0.2</v>
      </c>
      <c r="I315" s="202">
        <f t="shared" ref="I315" si="77">G315*H315</f>
        <v>2496002.4</v>
      </c>
      <c r="J315" s="117"/>
      <c r="K315" s="202">
        <f>C315+G315</f>
        <v>30354152</v>
      </c>
      <c r="L315" s="266">
        <f t="shared" si="72"/>
        <v>0.2</v>
      </c>
      <c r="M315" s="204">
        <f t="shared" ref="M315:M320" si="78">L315*K315</f>
        <v>6070830.4000000004</v>
      </c>
      <c r="N315" s="117"/>
      <c r="O315" s="202"/>
      <c r="P315" s="204"/>
      <c r="Q315" s="204"/>
      <c r="R315" s="117"/>
      <c r="S315" s="665">
        <f>SUM(K315:K315)</f>
        <v>30354152</v>
      </c>
      <c r="T315" s="204">
        <f t="shared" si="73"/>
        <v>6070830.4000000004</v>
      </c>
      <c r="U315" s="204">
        <f t="shared" si="74"/>
        <v>0</v>
      </c>
      <c r="V315" s="117"/>
      <c r="W315" s="204"/>
      <c r="X315" s="204"/>
      <c r="Y315" s="204"/>
      <c r="Z315" s="117"/>
      <c r="AA315" s="216"/>
      <c r="AB315" s="216"/>
      <c r="AC315" s="216"/>
      <c r="AD315" s="117"/>
      <c r="AF315" s="204"/>
      <c r="AG315" s="204"/>
      <c r="AH315" s="117"/>
      <c r="AI315" s="691">
        <f>L315</f>
        <v>0.2</v>
      </c>
      <c r="AJ315" s="689">
        <f>AI315*S315</f>
        <v>6070830.4000000004</v>
      </c>
      <c r="AK315" s="689">
        <f t="shared" si="75"/>
        <v>0</v>
      </c>
      <c r="AL315" s="404"/>
    </row>
    <row r="316" spans="1:38" x14ac:dyDescent="0.25">
      <c r="A316" s="194">
        <v>311</v>
      </c>
      <c r="B316" s="12" t="s">
        <v>158</v>
      </c>
      <c r="C316" s="202">
        <f t="shared" ref="C316:C320" si="79">E316/D316</f>
        <v>355024599.99999988</v>
      </c>
      <c r="D316" s="205">
        <v>4.0000000000000002E-4</v>
      </c>
      <c r="E316" s="204">
        <f>'1501 Summary'!AD222</f>
        <v>142009.83999999997</v>
      </c>
      <c r="F316" s="117"/>
      <c r="G316" s="202">
        <f>-SUM(G453,G480,G504,G358,G700,G359)</f>
        <v>267459875</v>
      </c>
      <c r="H316" s="266">
        <f t="shared" ref="H316:H320" si="80">D316</f>
        <v>4.0000000000000002E-4</v>
      </c>
      <c r="I316" s="202">
        <f t="shared" ref="I316:I320" si="81">G316*H316</f>
        <v>106983.95000000001</v>
      </c>
      <c r="J316" s="117"/>
      <c r="K316" s="202">
        <f t="shared" si="71"/>
        <v>622484474.99999988</v>
      </c>
      <c r="L316" s="266">
        <f t="shared" si="72"/>
        <v>4.0000000000000002E-4</v>
      </c>
      <c r="M316" s="204">
        <f t="shared" si="78"/>
        <v>248993.78999999995</v>
      </c>
      <c r="N316" s="117"/>
      <c r="O316" s="202"/>
      <c r="P316" s="204"/>
      <c r="Q316" s="204"/>
      <c r="R316" s="117"/>
      <c r="S316" s="665">
        <f>SUM(S317:S320)</f>
        <v>641617734.59945512</v>
      </c>
      <c r="T316" s="204">
        <f t="shared" si="73"/>
        <v>256647.09383978206</v>
      </c>
      <c r="U316" s="204">
        <f t="shared" si="74"/>
        <v>7653.3038397821074</v>
      </c>
      <c r="V316" s="117"/>
      <c r="W316" s="700" t="s">
        <v>640</v>
      </c>
      <c r="X316" s="204"/>
      <c r="Y316" s="204"/>
      <c r="Z316" s="117"/>
      <c r="AA316" s="643"/>
      <c r="AB316"/>
      <c r="AC316"/>
      <c r="AD316" s="117"/>
      <c r="AF316" s="204"/>
      <c r="AG316" s="204"/>
      <c r="AH316" s="117"/>
      <c r="AI316" s="691">
        <f>L316</f>
        <v>4.0000000000000002E-4</v>
      </c>
      <c r="AJ316" s="689">
        <f>AI316*S316</f>
        <v>256647.09383978206</v>
      </c>
      <c r="AK316" s="689">
        <f>AJ316-T316</f>
        <v>0</v>
      </c>
      <c r="AL316" s="404"/>
    </row>
    <row r="317" spans="1:38" x14ac:dyDescent="0.25">
      <c r="A317" s="194">
        <v>312</v>
      </c>
      <c r="B317" s="11" t="s">
        <v>159</v>
      </c>
      <c r="C317" s="202">
        <f t="shared" si="79"/>
        <v>94364132.43293941</v>
      </c>
      <c r="D317" s="205">
        <v>5.3310000000000003E-2</v>
      </c>
      <c r="E317" s="204">
        <f>'1501 Summary'!AD223</f>
        <v>5030551.9000000004</v>
      </c>
      <c r="F317" s="117"/>
      <c r="G317" s="202">
        <f>-SUM(G454,G481,G505,G360,G701,G361)</f>
        <v>32894671.285027228</v>
      </c>
      <c r="H317" s="266">
        <f t="shared" si="80"/>
        <v>5.3310000000000003E-2</v>
      </c>
      <c r="I317" s="202">
        <f t="shared" si="81"/>
        <v>1753614.9262048015</v>
      </c>
      <c r="J317" s="117"/>
      <c r="K317" s="202">
        <f t="shared" si="71"/>
        <v>127258803.71796665</v>
      </c>
      <c r="L317" s="266">
        <v>5.9889999999999999E-2</v>
      </c>
      <c r="M317" s="204">
        <f t="shared" si="78"/>
        <v>7621529.7546690218</v>
      </c>
      <c r="N317" s="117"/>
      <c r="O317" s="202"/>
      <c r="P317" s="204"/>
      <c r="Q317" s="204"/>
      <c r="R317" s="117"/>
      <c r="S317" s="665">
        <f>'End of Period Calculations'!AA146</f>
        <v>125402945.77158709</v>
      </c>
      <c r="T317" s="204">
        <f t="shared" si="73"/>
        <v>7510382.4222603505</v>
      </c>
      <c r="U317" s="204">
        <f t="shared" si="74"/>
        <v>-111147.33240867127</v>
      </c>
      <c r="V317" s="117"/>
      <c r="W317" s="665">
        <f>-W116</f>
        <v>267361.96789951145</v>
      </c>
      <c r="X317" s="686">
        <v>5.9889999999999999E-2</v>
      </c>
      <c r="Y317" s="699">
        <f>X317*W317</f>
        <v>16012.30825750174</v>
      </c>
      <c r="Z317" s="117"/>
      <c r="AA317" s="665">
        <f>'End of Period Calculations'!AA146</f>
        <v>125402945.77158709</v>
      </c>
      <c r="AB317" s="691">
        <v>3.8999999999999999E-4</v>
      </c>
      <c r="AC317" s="689">
        <f>AB317*AA317</f>
        <v>48907.148850918966</v>
      </c>
      <c r="AD317" s="117"/>
      <c r="AF317" s="204"/>
      <c r="AG317" s="204"/>
      <c r="AH317" s="117"/>
      <c r="AI317" s="691">
        <f>'Exh IDM-9 -Revenue Distribution'!F34</f>
        <v>7.0049867971040472E-2</v>
      </c>
      <c r="AJ317" s="703">
        <f>AI317*(S317+W317+AE317)</f>
        <v>8803188.4650310632</v>
      </c>
      <c r="AK317" s="689">
        <f>AJ317-T317-Y317</f>
        <v>1276793.7345132108</v>
      </c>
      <c r="AL317" s="404"/>
    </row>
    <row r="318" spans="1:38" x14ac:dyDescent="0.25">
      <c r="A318" s="194">
        <v>313</v>
      </c>
      <c r="B318" s="11" t="s">
        <v>127</v>
      </c>
      <c r="C318" s="202">
        <f t="shared" si="79"/>
        <v>64730930.591259636</v>
      </c>
      <c r="D318" s="205">
        <v>1.9449999999999999E-2</v>
      </c>
      <c r="E318" s="204">
        <f>'1501 Summary'!AD224</f>
        <v>1259016.5999999999</v>
      </c>
      <c r="F318" s="117"/>
      <c r="G318" s="202">
        <f>-SUM(G455,G482,G506,G362,G702,G363)</f>
        <v>6609004.5404050602</v>
      </c>
      <c r="H318" s="266">
        <f t="shared" si="80"/>
        <v>1.9449999999999999E-2</v>
      </c>
      <c r="I318" s="202">
        <f t="shared" si="81"/>
        <v>128545.13831087841</v>
      </c>
      <c r="J318" s="117"/>
      <c r="K318" s="202">
        <f t="shared" si="71"/>
        <v>71339935.131664693</v>
      </c>
      <c r="L318" s="266">
        <v>2.3029999999999998E-2</v>
      </c>
      <c r="M318" s="204">
        <f t="shared" si="78"/>
        <v>1642958.7060822379</v>
      </c>
      <c r="N318" s="117"/>
      <c r="O318" s="202"/>
      <c r="P318" s="204"/>
      <c r="Q318" s="204"/>
      <c r="R318" s="117"/>
      <c r="S318" s="665">
        <f>'End of Period Calculations'!AA147</f>
        <v>98562895.00321956</v>
      </c>
      <c r="T318" s="204">
        <f t="shared" si="73"/>
        <v>2269903.4719241462</v>
      </c>
      <c r="U318" s="204">
        <f t="shared" si="74"/>
        <v>626944.76584190829</v>
      </c>
      <c r="V318" s="117"/>
      <c r="W318" s="665">
        <f>-W117</f>
        <v>681100.96504005836</v>
      </c>
      <c r="X318" s="686">
        <v>2.3029999999999998E-2</v>
      </c>
      <c r="Y318" s="699">
        <f t="shared" ref="Y318:Y320" si="82">X318*W318</f>
        <v>15685.755224872542</v>
      </c>
      <c r="Z318" s="117"/>
      <c r="AA318" s="665">
        <f>'End of Period Calculations'!AA147</f>
        <v>98562895.00321956</v>
      </c>
      <c r="AB318" s="691">
        <v>3.8999999999999999E-4</v>
      </c>
      <c r="AC318" s="689">
        <f t="shared" ref="AC318:AC319" si="83">AB318*AA318</f>
        <v>38439.529051255631</v>
      </c>
      <c r="AD318" s="117"/>
      <c r="AF318" s="204"/>
      <c r="AG318" s="204"/>
      <c r="AH318" s="117"/>
      <c r="AI318" s="691">
        <f>'Exh IDM-9 -Revenue Distribution'!F35</f>
        <v>2.6936858563584274E-2</v>
      </c>
      <c r="AJ318" s="703">
        <f t="shared" ref="AJ318:AJ319" si="84">AI318*(S318+W318+AE318)</f>
        <v>2673321.4826819371</v>
      </c>
      <c r="AK318" s="689">
        <f>AJ318-T318-Y318</f>
        <v>387732.25553291832</v>
      </c>
      <c r="AL318" s="404"/>
    </row>
    <row r="319" spans="1:38" x14ac:dyDescent="0.25">
      <c r="A319" s="194">
        <v>314</v>
      </c>
      <c r="B319" s="11" t="s">
        <v>127</v>
      </c>
      <c r="C319" s="202">
        <f t="shared" si="79"/>
        <v>28296657.360406093</v>
      </c>
      <c r="D319" s="205">
        <v>1.1820000000000001E-2</v>
      </c>
      <c r="E319" s="204">
        <f>'1501 Summary'!AD225</f>
        <v>334466.49000000005</v>
      </c>
      <c r="F319" s="117"/>
      <c r="G319" s="202">
        <f>-SUM(G456,G483,G507,G703)</f>
        <v>5481981.3874788489</v>
      </c>
      <c r="H319" s="266">
        <f t="shared" si="80"/>
        <v>1.1820000000000001E-2</v>
      </c>
      <c r="I319" s="202">
        <f t="shared" si="81"/>
        <v>64797.02</v>
      </c>
      <c r="J319" s="117"/>
      <c r="K319" s="202">
        <f t="shared" si="71"/>
        <v>33778638.747884944</v>
      </c>
      <c r="L319" s="266">
        <v>1.473E-2</v>
      </c>
      <c r="M319" s="204">
        <f t="shared" si="78"/>
        <v>497559.34875634522</v>
      </c>
      <c r="N319" s="117"/>
      <c r="O319" s="202"/>
      <c r="P319" s="204"/>
      <c r="Q319" s="204"/>
      <c r="R319" s="117"/>
      <c r="S319" s="665">
        <f>'End of Period Calculations'!AA148</f>
        <v>34638058.781353638</v>
      </c>
      <c r="T319" s="204">
        <f t="shared" si="73"/>
        <v>510218.6058493391</v>
      </c>
      <c r="U319" s="204">
        <f t="shared" si="74"/>
        <v>12659.257092993881</v>
      </c>
      <c r="V319" s="117"/>
      <c r="W319" s="665">
        <f>-W118</f>
        <v>1897641.5651531932</v>
      </c>
      <c r="X319" s="686">
        <v>1.473E-2</v>
      </c>
      <c r="Y319" s="699">
        <f t="shared" si="82"/>
        <v>27952.260254706536</v>
      </c>
      <c r="Z319" s="117"/>
      <c r="AA319" s="665">
        <f>'End of Period Calculations'!AA148</f>
        <v>34638058.781353638</v>
      </c>
      <c r="AB319" s="691">
        <v>3.8999999999999999E-4</v>
      </c>
      <c r="AC319" s="689">
        <f t="shared" si="83"/>
        <v>13508.842924727918</v>
      </c>
      <c r="AD319" s="117"/>
      <c r="AF319" s="204"/>
      <c r="AG319" s="204"/>
      <c r="AH319" s="117"/>
      <c r="AI319" s="691">
        <f>'Exh IDM-9 -Revenue Distribution'!F36</f>
        <v>1.7228828772974224E-2</v>
      </c>
      <c r="AJ319" s="703">
        <f t="shared" si="84"/>
        <v>629467.32537066133</v>
      </c>
      <c r="AK319" s="689">
        <f t="shared" ref="AK319" si="85">AJ319-T319-Y319</f>
        <v>91296.459266615697</v>
      </c>
      <c r="AL319" s="404"/>
    </row>
    <row r="320" spans="1:38" x14ac:dyDescent="0.25">
      <c r="A320" s="194">
        <v>315</v>
      </c>
      <c r="B320" s="34" t="s">
        <v>128</v>
      </c>
      <c r="C320" s="202">
        <f t="shared" si="79"/>
        <v>166667530.24911031</v>
      </c>
      <c r="D320" s="205">
        <v>5.62E-3</v>
      </c>
      <c r="E320" s="207">
        <f>'1501 Summary'!AD226</f>
        <v>936671.52</v>
      </c>
      <c r="F320" s="117"/>
      <c r="G320" s="202">
        <f>-SUM(G457,G484,G508,G704)</f>
        <v>222478156.58362988</v>
      </c>
      <c r="H320" s="266">
        <f t="shared" si="80"/>
        <v>5.62E-3</v>
      </c>
      <c r="I320" s="275">
        <f t="shared" si="81"/>
        <v>1250327.24</v>
      </c>
      <c r="J320" s="117"/>
      <c r="K320" s="202">
        <f>C320+G320</f>
        <v>389145686.83274019</v>
      </c>
      <c r="L320" s="266">
        <v>7.9799999999999992E-3</v>
      </c>
      <c r="M320" s="207">
        <f t="shared" si="78"/>
        <v>3105382.5809252663</v>
      </c>
      <c r="N320" s="117"/>
      <c r="O320" s="665">
        <f>-'Billing Correction'!C38</f>
        <v>-1030368</v>
      </c>
      <c r="P320" s="686">
        <f>L320</f>
        <v>7.9799999999999992E-3</v>
      </c>
      <c r="Q320" s="687">
        <f>ROUNDUP(O320*P320,0)</f>
        <v>-8223</v>
      </c>
      <c r="R320" s="117"/>
      <c r="S320" s="665">
        <f>'End of Period Calculations'!AA119</f>
        <v>383013835.04329479</v>
      </c>
      <c r="T320" s="207">
        <f t="shared" si="73"/>
        <v>3056450.4036454922</v>
      </c>
      <c r="U320" s="207">
        <f>T320-M320-Q320</f>
        <v>-40709.1772797741</v>
      </c>
      <c r="V320" s="117"/>
      <c r="W320" s="701">
        <v>0</v>
      </c>
      <c r="X320" s="686">
        <v>7.9799999999999992E-3</v>
      </c>
      <c r="Y320" s="696">
        <f t="shared" si="82"/>
        <v>0</v>
      </c>
      <c r="Z320" s="117"/>
      <c r="AA320" s="665">
        <f>'End of Period Calculations'!AA149</f>
        <v>383013835.04329479</v>
      </c>
      <c r="AB320" s="691">
        <v>3.8999999999999999E-4</v>
      </c>
      <c r="AC320" s="690">
        <f>AB320*AA320</f>
        <v>149375.39566688496</v>
      </c>
      <c r="AD320" s="117"/>
      <c r="AE320" s="665">
        <f>-'Billing Correction'!C37</f>
        <v>-466548</v>
      </c>
      <c r="AF320" s="686">
        <f>P320</f>
        <v>7.9799999999999992E-3</v>
      </c>
      <c r="AG320" s="687">
        <f>AE320*AF320</f>
        <v>-3723.0530399999998</v>
      </c>
      <c r="AH320" s="117"/>
      <c r="AI320" s="691">
        <f>'Exh IDM-9 -Revenue Distribution'!F37</f>
        <v>9.3337443047070128E-3</v>
      </c>
      <c r="AJ320" s="703">
        <f>AI320*(S320+W320+AE320)</f>
        <v>3570598.5617214716</v>
      </c>
      <c r="AK320" s="690">
        <f>AJ320-T320-Y320-AG320</f>
        <v>517871.21111597947</v>
      </c>
      <c r="AL320" s="404"/>
    </row>
    <row r="321" spans="1:38" x14ac:dyDescent="0.25">
      <c r="A321" s="194">
        <v>316</v>
      </c>
      <c r="B321" s="12" t="s">
        <v>10</v>
      </c>
      <c r="E321" s="203">
        <f>SUM(E314:E320)</f>
        <v>12669419.35</v>
      </c>
      <c r="F321" s="112"/>
      <c r="G321" s="203"/>
      <c r="H321" s="203"/>
      <c r="I321" s="203"/>
      <c r="J321" s="112"/>
      <c r="K321" s="202"/>
      <c r="L321" s="266"/>
      <c r="M321" s="204">
        <f>SUM(M314:M320)</f>
        <v>20616629.580432877</v>
      </c>
      <c r="N321" s="112"/>
      <c r="O321" s="203"/>
      <c r="P321" s="204"/>
      <c r="Q321" s="688">
        <f>SUM(Q320)</f>
        <v>-8223</v>
      </c>
      <c r="R321" s="112"/>
      <c r="S321" s="203"/>
      <c r="T321" s="204">
        <f>SUM(T314:T320)</f>
        <v>21086932.397519112</v>
      </c>
      <c r="U321" s="204">
        <f>SUM(U314:U320)</f>
        <v>478525.81708623894</v>
      </c>
      <c r="V321" s="112"/>
      <c r="W321" s="665">
        <f>SUM(W317:W320)</f>
        <v>2846104.4980927631</v>
      </c>
      <c r="X321" s="202"/>
      <c r="Y321" s="702">
        <f t="shared" ref="Y321" si="86">SUM(Y317:Y320)</f>
        <v>59650.32373708082</v>
      </c>
      <c r="Z321" s="112"/>
      <c r="AA321" s="644"/>
      <c r="AB321" s="232"/>
      <c r="AC321" s="689">
        <f>SUM(AC317:AC320)</f>
        <v>250230.91649378746</v>
      </c>
      <c r="AD321" s="112"/>
      <c r="AE321" s="203"/>
      <c r="AF321" s="204"/>
      <c r="AG321" s="688">
        <f>SUM(AG320)</f>
        <v>-3723.0530399999998</v>
      </c>
      <c r="AH321" s="112"/>
      <c r="AJ321" s="689">
        <f>SUM(AJ314:AJ320)</f>
        <v>23416553.328644916</v>
      </c>
      <c r="AK321" s="689">
        <f>SUM(AK317:AK320)</f>
        <v>2273693.6604287243</v>
      </c>
      <c r="AL321" s="404"/>
    </row>
    <row r="322" spans="1:38" x14ac:dyDescent="0.25">
      <c r="A322" s="194">
        <v>317</v>
      </c>
      <c r="E322" s="203"/>
      <c r="F322" s="112"/>
      <c r="G322" s="203"/>
      <c r="H322" s="203"/>
      <c r="I322" s="203"/>
      <c r="J322" s="112"/>
      <c r="K322" s="202"/>
      <c r="L322" s="266"/>
      <c r="M322" s="204"/>
      <c r="N322" s="112"/>
      <c r="O322" s="204"/>
      <c r="P322" s="204"/>
      <c r="Q322" s="204"/>
      <c r="R322" s="112"/>
      <c r="S322" s="204"/>
      <c r="T322" s="204"/>
      <c r="U322" s="204"/>
      <c r="V322" s="112"/>
      <c r="W322" s="203"/>
      <c r="X322" s="203"/>
      <c r="Y322" s="203"/>
      <c r="Z322" s="112"/>
      <c r="AA322" s="410"/>
      <c r="AB322" s="410"/>
      <c r="AC322" s="410"/>
      <c r="AD322" s="112"/>
      <c r="AF322" s="203"/>
      <c r="AG322" s="203"/>
      <c r="AH322" s="112"/>
      <c r="AK322" s="25"/>
      <c r="AL322" s="404"/>
    </row>
    <row r="323" spans="1:38" x14ac:dyDescent="0.25">
      <c r="A323" s="194">
        <v>318</v>
      </c>
      <c r="B323" s="12" t="s">
        <v>12</v>
      </c>
      <c r="K323" s="202"/>
      <c r="L323" s="266"/>
      <c r="M323" s="204"/>
      <c r="O323" s="204"/>
      <c r="P323" s="204"/>
      <c r="Q323" s="204"/>
      <c r="S323" s="204"/>
      <c r="T323" s="204"/>
      <c r="U323" s="204"/>
      <c r="AA323" s="229"/>
      <c r="AB323" s="229"/>
      <c r="AC323" s="229"/>
      <c r="AK323" s="12"/>
      <c r="AL323" s="404"/>
    </row>
    <row r="324" spans="1:38" x14ac:dyDescent="0.25">
      <c r="A324" s="194">
        <v>319</v>
      </c>
      <c r="B324" s="48" t="s">
        <v>181</v>
      </c>
      <c r="E324" s="224">
        <f>'1501 Summary'!AD227</f>
        <v>-226050.83</v>
      </c>
      <c r="F324" s="123"/>
      <c r="G324" s="255"/>
      <c r="H324" s="255"/>
      <c r="I324" s="255"/>
      <c r="J324" s="123"/>
      <c r="K324" s="202"/>
      <c r="L324" s="266"/>
      <c r="M324" s="204"/>
      <c r="N324" s="123"/>
      <c r="O324" s="204"/>
      <c r="P324" s="204"/>
      <c r="Q324" s="204"/>
      <c r="R324" s="123"/>
      <c r="S324" s="204"/>
      <c r="T324" s="204"/>
      <c r="U324" s="204"/>
      <c r="V324" s="123"/>
      <c r="W324" s="255"/>
      <c r="X324" s="255"/>
      <c r="Y324" s="255"/>
      <c r="Z324" s="123"/>
      <c r="AA324" s="229"/>
      <c r="AB324" s="229"/>
      <c r="AC324" s="229"/>
      <c r="AD324" s="123"/>
      <c r="AF324" s="255"/>
      <c r="AG324" s="255"/>
      <c r="AH324" s="123"/>
      <c r="AK324" s="12"/>
      <c r="AL324" s="404"/>
    </row>
    <row r="325" spans="1:38" x14ac:dyDescent="0.25">
      <c r="A325" s="194">
        <v>320</v>
      </c>
      <c r="B325" s="48" t="s">
        <v>182</v>
      </c>
      <c r="E325" s="224">
        <f>'1501 Summary'!AD228</f>
        <v>-102092.36</v>
      </c>
      <c r="F325" s="123"/>
      <c r="G325" s="255"/>
      <c r="H325" s="255"/>
      <c r="I325" s="255"/>
      <c r="J325" s="123"/>
      <c r="K325" s="202"/>
      <c r="L325" s="266"/>
      <c r="M325" s="204"/>
      <c r="N325" s="123"/>
      <c r="O325" s="204"/>
      <c r="P325" s="204"/>
      <c r="Q325" s="204"/>
      <c r="R325" s="123"/>
      <c r="S325" s="204"/>
      <c r="T325" s="204"/>
      <c r="U325" s="204"/>
      <c r="V325" s="123"/>
      <c r="W325" s="255"/>
      <c r="X325" s="255"/>
      <c r="Y325" s="255"/>
      <c r="Z325" s="123"/>
      <c r="AA325" s="229"/>
      <c r="AB325" s="229"/>
      <c r="AC325" s="229"/>
      <c r="AD325" s="123"/>
      <c r="AF325" s="255"/>
      <c r="AG325" s="255"/>
      <c r="AH325" s="123"/>
      <c r="AK325" s="12"/>
      <c r="AL325" s="404"/>
    </row>
    <row r="326" spans="1:38" x14ac:dyDescent="0.25">
      <c r="A326" s="194">
        <v>321</v>
      </c>
      <c r="B326" s="48" t="s">
        <v>183</v>
      </c>
      <c r="E326" s="224">
        <f>'1501 Summary'!AD229</f>
        <v>-175611.99</v>
      </c>
      <c r="F326" s="123"/>
      <c r="G326" s="255"/>
      <c r="H326" s="255"/>
      <c r="I326" s="255"/>
      <c r="J326" s="123"/>
      <c r="K326" s="202"/>
      <c r="L326" s="266"/>
      <c r="M326" s="204"/>
      <c r="N326" s="123"/>
      <c r="O326" s="204"/>
      <c r="P326" s="204"/>
      <c r="Q326" s="204"/>
      <c r="R326" s="123"/>
      <c r="S326" s="204"/>
      <c r="T326" s="204"/>
      <c r="U326" s="204"/>
      <c r="V326" s="123"/>
      <c r="W326" s="255"/>
      <c r="X326" s="255"/>
      <c r="Y326" s="255"/>
      <c r="Z326" s="123"/>
      <c r="AA326" s="229"/>
      <c r="AB326" s="229"/>
      <c r="AC326" s="229"/>
      <c r="AD326" s="123"/>
      <c r="AF326" s="255"/>
      <c r="AG326" s="255"/>
      <c r="AH326" s="123"/>
      <c r="AK326" s="12"/>
      <c r="AL326" s="404"/>
    </row>
    <row r="327" spans="1:38" x14ac:dyDescent="0.25">
      <c r="A327" s="194">
        <v>322</v>
      </c>
      <c r="B327" s="31" t="s">
        <v>115</v>
      </c>
      <c r="E327" s="224">
        <f>'1501 Summary'!AD230</f>
        <v>109759.33000000002</v>
      </c>
      <c r="F327" s="123"/>
      <c r="G327" s="255"/>
      <c r="H327" s="255"/>
      <c r="I327" s="255"/>
      <c r="J327" s="123"/>
      <c r="K327" s="202"/>
      <c r="L327" s="266"/>
      <c r="M327" s="204"/>
      <c r="N327" s="123"/>
      <c r="O327" s="204"/>
      <c r="P327" s="204"/>
      <c r="Q327" s="204"/>
      <c r="R327" s="123"/>
      <c r="S327" s="204"/>
      <c r="T327" s="204"/>
      <c r="U327" s="204"/>
      <c r="V327" s="123"/>
      <c r="W327" s="255"/>
      <c r="X327" s="255"/>
      <c r="Y327" s="255"/>
      <c r="Z327" s="123"/>
      <c r="AA327" s="229"/>
      <c r="AB327" s="229"/>
      <c r="AC327" s="229"/>
      <c r="AD327" s="123"/>
      <c r="AF327" s="255"/>
      <c r="AG327" s="255"/>
      <c r="AH327" s="123"/>
      <c r="AK327" s="12"/>
      <c r="AL327" s="404"/>
    </row>
    <row r="328" spans="1:38" x14ac:dyDescent="0.25">
      <c r="A328" s="194">
        <v>323</v>
      </c>
      <c r="B328" s="31" t="s">
        <v>116</v>
      </c>
      <c r="E328" s="224">
        <f>'1501 Summary'!AD231</f>
        <v>607986.66</v>
      </c>
      <c r="F328" s="123"/>
      <c r="G328" s="255"/>
      <c r="H328" s="255"/>
      <c r="I328" s="255"/>
      <c r="J328" s="123"/>
      <c r="K328" s="202"/>
      <c r="L328" s="266"/>
      <c r="M328" s="204"/>
      <c r="N328" s="123"/>
      <c r="O328" s="204"/>
      <c r="P328" s="204"/>
      <c r="Q328" s="204"/>
      <c r="R328" s="123"/>
      <c r="S328" s="204"/>
      <c r="T328" s="204"/>
      <c r="U328" s="204"/>
      <c r="V328" s="123"/>
      <c r="W328" s="255"/>
      <c r="X328" s="255"/>
      <c r="Y328" s="255"/>
      <c r="Z328" s="123"/>
      <c r="AA328" s="229"/>
      <c r="AB328" s="229"/>
      <c r="AC328" s="229"/>
      <c r="AD328" s="123"/>
      <c r="AF328" s="255"/>
      <c r="AG328" s="255"/>
      <c r="AH328" s="123"/>
      <c r="AK328" s="12"/>
      <c r="AL328" s="404"/>
    </row>
    <row r="329" spans="1:38" x14ac:dyDescent="0.25">
      <c r="A329" s="194">
        <v>324</v>
      </c>
      <c r="B329" s="31" t="s">
        <v>129</v>
      </c>
      <c r="E329" s="224">
        <f>'1501 Summary'!AD232</f>
        <v>19250</v>
      </c>
      <c r="F329" s="123"/>
      <c r="G329" s="255"/>
      <c r="H329" s="255"/>
      <c r="I329" s="255"/>
      <c r="J329" s="123"/>
      <c r="K329" s="202"/>
      <c r="L329" s="266"/>
      <c r="M329" s="204"/>
      <c r="N329" s="123"/>
      <c r="O329" s="204"/>
      <c r="P329" s="204"/>
      <c r="Q329" s="204"/>
      <c r="R329" s="123"/>
      <c r="S329" s="204"/>
      <c r="T329" s="204"/>
      <c r="U329" s="204"/>
      <c r="V329" s="123"/>
      <c r="W329" s="255"/>
      <c r="X329" s="255"/>
      <c r="Y329" s="255"/>
      <c r="Z329" s="123"/>
      <c r="AA329" s="229"/>
      <c r="AB329" s="229"/>
      <c r="AC329" s="229"/>
      <c r="AD329" s="123"/>
      <c r="AF329" s="255"/>
      <c r="AG329" s="255"/>
      <c r="AH329" s="123"/>
      <c r="AK329" s="12"/>
      <c r="AL329" s="404"/>
    </row>
    <row r="330" spans="1:38" x14ac:dyDescent="0.25">
      <c r="A330" s="194">
        <v>325</v>
      </c>
      <c r="B330" s="31" t="s">
        <v>129</v>
      </c>
      <c r="E330" s="224">
        <f>'1501 Summary'!AD233</f>
        <v>2500</v>
      </c>
      <c r="F330" s="123"/>
      <c r="G330" s="255"/>
      <c r="H330" s="255"/>
      <c r="I330" s="255"/>
      <c r="J330" s="123"/>
      <c r="K330" s="202"/>
      <c r="L330" s="266"/>
      <c r="M330" s="204"/>
      <c r="N330" s="123"/>
      <c r="O330" s="204"/>
      <c r="P330" s="204"/>
      <c r="Q330" s="204"/>
      <c r="R330" s="123"/>
      <c r="S330" s="204"/>
      <c r="T330" s="204"/>
      <c r="U330" s="204"/>
      <c r="V330" s="123"/>
      <c r="W330" s="255"/>
      <c r="X330" s="255"/>
      <c r="Y330" s="255"/>
      <c r="Z330" s="123"/>
      <c r="AA330" s="229"/>
      <c r="AB330" s="229"/>
      <c r="AC330" s="229"/>
      <c r="AD330" s="123"/>
      <c r="AF330" s="255"/>
      <c r="AG330" s="255"/>
      <c r="AH330" s="123"/>
      <c r="AK330" s="12"/>
      <c r="AL330" s="404"/>
    </row>
    <row r="331" spans="1:38" x14ac:dyDescent="0.25">
      <c r="A331" s="194">
        <v>326</v>
      </c>
      <c r="B331" s="31" t="s">
        <v>20</v>
      </c>
      <c r="E331" s="224">
        <f>'1501 Summary'!AD234</f>
        <v>562345.5</v>
      </c>
      <c r="F331" s="123"/>
      <c r="G331" s="255"/>
      <c r="H331" s="255"/>
      <c r="I331" s="255"/>
      <c r="J331" s="123"/>
      <c r="K331" s="202"/>
      <c r="L331" s="266"/>
      <c r="M331" s="204"/>
      <c r="N331" s="123"/>
      <c r="O331" s="204"/>
      <c r="P331" s="204"/>
      <c r="Q331" s="204"/>
      <c r="R331" s="123"/>
      <c r="S331" s="204"/>
      <c r="T331" s="204"/>
      <c r="U331" s="204"/>
      <c r="V331" s="123"/>
      <c r="W331" s="255"/>
      <c r="X331" s="255"/>
      <c r="Y331" s="255"/>
      <c r="Z331" s="123"/>
      <c r="AA331" s="229"/>
      <c r="AB331" s="229"/>
      <c r="AC331" s="229"/>
      <c r="AD331" s="123"/>
      <c r="AF331" s="255"/>
      <c r="AG331" s="255"/>
      <c r="AH331" s="123"/>
      <c r="AK331" s="12"/>
      <c r="AL331" s="404"/>
    </row>
    <row r="332" spans="1:38" x14ac:dyDescent="0.25">
      <c r="A332" s="194">
        <v>327</v>
      </c>
      <c r="B332" s="31" t="s">
        <v>120</v>
      </c>
      <c r="E332" s="224">
        <f>'1501 Summary'!AD235</f>
        <v>408396.4</v>
      </c>
      <c r="F332" s="123"/>
      <c r="G332" s="255"/>
      <c r="H332" s="255"/>
      <c r="I332" s="255"/>
      <c r="J332" s="123"/>
      <c r="K332" s="202"/>
      <c r="L332" s="266"/>
      <c r="M332" s="204"/>
      <c r="N332" s="123"/>
      <c r="O332" s="204"/>
      <c r="P332" s="204"/>
      <c r="Q332" s="204"/>
      <c r="R332" s="123"/>
      <c r="S332" s="204"/>
      <c r="T332" s="204"/>
      <c r="U332" s="204"/>
      <c r="V332" s="123"/>
      <c r="W332" s="255"/>
      <c r="X332" s="255"/>
      <c r="Y332" s="255"/>
      <c r="Z332" s="123"/>
      <c r="AA332" s="229"/>
      <c r="AB332" s="229"/>
      <c r="AC332" s="229"/>
      <c r="AD332" s="123"/>
      <c r="AF332" s="255"/>
      <c r="AG332" s="255"/>
      <c r="AH332" s="123"/>
      <c r="AK332" s="12"/>
      <c r="AL332" s="404"/>
    </row>
    <row r="333" spans="1:38" x14ac:dyDescent="0.25">
      <c r="A333" s="194">
        <v>328</v>
      </c>
      <c r="B333" s="31" t="s">
        <v>125</v>
      </c>
      <c r="E333" s="224">
        <f>'1501 Summary'!AD236</f>
        <v>714.05000000000007</v>
      </c>
      <c r="F333" s="123"/>
      <c r="G333" s="255"/>
      <c r="H333" s="255"/>
      <c r="I333" s="255"/>
      <c r="J333" s="123"/>
      <c r="K333" s="202"/>
      <c r="L333" s="266"/>
      <c r="M333" s="204"/>
      <c r="N333" s="123"/>
      <c r="O333" s="204"/>
      <c r="P333" s="204"/>
      <c r="Q333" s="204"/>
      <c r="R333" s="123"/>
      <c r="S333" s="204"/>
      <c r="T333" s="204"/>
      <c r="U333" s="204"/>
      <c r="V333" s="123"/>
      <c r="W333" s="255"/>
      <c r="X333" s="255"/>
      <c r="Y333" s="255"/>
      <c r="Z333" s="123"/>
      <c r="AA333" s="229"/>
      <c r="AB333" s="229"/>
      <c r="AC333" s="229"/>
      <c r="AD333" s="123"/>
      <c r="AF333" s="255"/>
      <c r="AG333" s="255"/>
      <c r="AH333" s="123"/>
      <c r="AK333" s="12"/>
      <c r="AL333" s="404"/>
    </row>
    <row r="334" spans="1:38" x14ac:dyDescent="0.25">
      <c r="A334" s="194">
        <v>329</v>
      </c>
      <c r="B334" s="103" t="s">
        <v>130</v>
      </c>
      <c r="E334" s="224">
        <f>'1501 Summary'!AD237</f>
        <v>6197.85</v>
      </c>
      <c r="F334" s="123"/>
      <c r="G334" s="255"/>
      <c r="H334" s="255"/>
      <c r="I334" s="255"/>
      <c r="J334" s="123"/>
      <c r="K334" s="202"/>
      <c r="L334" s="266"/>
      <c r="M334" s="204"/>
      <c r="N334" s="123"/>
      <c r="O334" s="204"/>
      <c r="P334" s="204"/>
      <c r="Q334" s="204"/>
      <c r="R334" s="123"/>
      <c r="S334" s="204"/>
      <c r="T334" s="204"/>
      <c r="U334" s="204"/>
      <c r="V334" s="123"/>
      <c r="W334" s="255"/>
      <c r="X334" s="255"/>
      <c r="Y334" s="255"/>
      <c r="Z334" s="123"/>
      <c r="AA334" s="229"/>
      <c r="AB334" s="229"/>
      <c r="AC334" s="229"/>
      <c r="AD334" s="123"/>
      <c r="AF334" s="255"/>
      <c r="AG334" s="255"/>
      <c r="AH334" s="123"/>
      <c r="AK334" s="12"/>
      <c r="AL334" s="404"/>
    </row>
    <row r="335" spans="1:38" x14ac:dyDescent="0.25">
      <c r="A335" s="194">
        <v>330</v>
      </c>
      <c r="B335" s="31" t="s">
        <v>122</v>
      </c>
      <c r="E335" s="224">
        <f>'1501 Summary'!AD238</f>
        <v>5602.9400000000005</v>
      </c>
      <c r="F335" s="123"/>
      <c r="G335" s="255"/>
      <c r="H335" s="255"/>
      <c r="I335" s="255"/>
      <c r="J335" s="123"/>
      <c r="K335" s="202"/>
      <c r="L335" s="266"/>
      <c r="M335" s="204"/>
      <c r="N335" s="123"/>
      <c r="O335" s="204"/>
      <c r="P335" s="204"/>
      <c r="Q335" s="204"/>
      <c r="R335" s="123"/>
      <c r="S335" s="204"/>
      <c r="T335" s="204"/>
      <c r="U335" s="204"/>
      <c r="V335" s="123"/>
      <c r="W335" s="255"/>
      <c r="X335" s="255"/>
      <c r="Y335" s="255"/>
      <c r="Z335" s="123"/>
      <c r="AA335" s="229"/>
      <c r="AB335" s="229"/>
      <c r="AC335" s="229"/>
      <c r="AD335" s="123"/>
      <c r="AF335" s="255"/>
      <c r="AG335" s="255"/>
      <c r="AH335" s="123"/>
      <c r="AK335" s="12"/>
      <c r="AL335" s="404"/>
    </row>
    <row r="336" spans="1:38" x14ac:dyDescent="0.25">
      <c r="A336" s="194">
        <v>331</v>
      </c>
      <c r="B336" s="31" t="s">
        <v>121</v>
      </c>
      <c r="E336" s="224">
        <f>'1501 Summary'!AD239</f>
        <v>30.129999999999953</v>
      </c>
      <c r="F336" s="123"/>
      <c r="G336" s="255"/>
      <c r="H336" s="255"/>
      <c r="I336" s="255"/>
      <c r="J336" s="123"/>
      <c r="K336" s="202"/>
      <c r="L336" s="266"/>
      <c r="M336" s="204"/>
      <c r="N336" s="123"/>
      <c r="O336" s="204"/>
      <c r="P336" s="204"/>
      <c r="Q336" s="204"/>
      <c r="R336" s="123"/>
      <c r="S336" s="204"/>
      <c r="T336" s="204"/>
      <c r="U336" s="204"/>
      <c r="V336" s="123"/>
      <c r="W336" s="255"/>
      <c r="X336" s="255"/>
      <c r="Y336" s="255"/>
      <c r="Z336" s="123"/>
      <c r="AA336" s="229"/>
      <c r="AB336" s="229"/>
      <c r="AC336" s="229"/>
      <c r="AD336" s="123"/>
      <c r="AF336" s="255"/>
      <c r="AG336" s="255"/>
      <c r="AH336" s="123"/>
      <c r="AK336" s="12"/>
      <c r="AL336" s="404"/>
    </row>
    <row r="337" spans="1:38" x14ac:dyDescent="0.25">
      <c r="A337" s="194">
        <v>332</v>
      </c>
      <c r="B337" s="31" t="s">
        <v>123</v>
      </c>
      <c r="E337" s="224">
        <f>'1501 Summary'!AD240</f>
        <v>904.32</v>
      </c>
      <c r="F337" s="123"/>
      <c r="G337" s="255"/>
      <c r="H337" s="255"/>
      <c r="I337" s="255"/>
      <c r="J337" s="123"/>
      <c r="K337" s="202"/>
      <c r="L337" s="266"/>
      <c r="M337" s="204"/>
      <c r="N337" s="123"/>
      <c r="O337" s="204"/>
      <c r="P337" s="204"/>
      <c r="Q337" s="204"/>
      <c r="R337" s="123"/>
      <c r="S337" s="204"/>
      <c r="T337" s="204"/>
      <c r="U337" s="204"/>
      <c r="V337" s="123"/>
      <c r="W337" s="255"/>
      <c r="X337" s="255"/>
      <c r="Y337" s="255"/>
      <c r="Z337" s="123"/>
      <c r="AA337" s="229"/>
      <c r="AB337" s="229"/>
      <c r="AC337" s="229"/>
      <c r="AD337" s="123"/>
      <c r="AF337" s="255"/>
      <c r="AG337" s="255"/>
      <c r="AH337" s="123"/>
      <c r="AK337" s="12"/>
      <c r="AL337" s="404"/>
    </row>
    <row r="338" spans="1:38" x14ac:dyDescent="0.25">
      <c r="A338" s="194">
        <v>333</v>
      </c>
      <c r="B338" s="11" t="s">
        <v>124</v>
      </c>
      <c r="E338" s="224">
        <f>'1501 Summary'!AD241</f>
        <v>6522.57</v>
      </c>
      <c r="F338" s="123"/>
      <c r="G338" s="255"/>
      <c r="H338" s="255"/>
      <c r="I338" s="255"/>
      <c r="J338" s="123"/>
      <c r="K338" s="202"/>
      <c r="L338" s="266"/>
      <c r="M338" s="204"/>
      <c r="N338" s="123"/>
      <c r="O338" s="204"/>
      <c r="P338" s="204"/>
      <c r="Q338" s="204"/>
      <c r="R338" s="123"/>
      <c r="S338" s="204"/>
      <c r="T338" s="204"/>
      <c r="U338" s="204"/>
      <c r="V338" s="123"/>
      <c r="W338" s="255"/>
      <c r="X338" s="255"/>
      <c r="Y338" s="255"/>
      <c r="Z338" s="123"/>
      <c r="AA338" s="229"/>
      <c r="AB338" s="229"/>
      <c r="AC338" s="229"/>
      <c r="AD338" s="123"/>
      <c r="AF338" s="255"/>
      <c r="AG338" s="255"/>
      <c r="AH338" s="123"/>
      <c r="AK338" s="12"/>
      <c r="AL338" s="404"/>
    </row>
    <row r="339" spans="1:38" x14ac:dyDescent="0.25">
      <c r="A339" s="194">
        <v>334</v>
      </c>
      <c r="B339" s="11" t="s">
        <v>24</v>
      </c>
      <c r="E339" s="224">
        <f>'1501 Summary'!AD242</f>
        <v>-13318.530000000008</v>
      </c>
      <c r="F339" s="123"/>
      <c r="G339" s="255"/>
      <c r="H339" s="255"/>
      <c r="I339" s="255"/>
      <c r="J339" s="123"/>
      <c r="K339" s="202"/>
      <c r="L339" s="266"/>
      <c r="M339" s="204"/>
      <c r="N339" s="123"/>
      <c r="O339" s="204"/>
      <c r="P339" s="204"/>
      <c r="Q339" s="204"/>
      <c r="R339" s="123"/>
      <c r="S339" s="204"/>
      <c r="T339" s="204"/>
      <c r="U339" s="204"/>
      <c r="V339" s="123"/>
      <c r="W339" s="255"/>
      <c r="X339" s="255"/>
      <c r="Y339" s="255"/>
      <c r="Z339" s="123"/>
      <c r="AA339" s="229"/>
      <c r="AB339" s="229"/>
      <c r="AC339" s="229"/>
      <c r="AD339" s="123"/>
      <c r="AF339" s="255"/>
      <c r="AG339" s="255"/>
      <c r="AH339" s="123"/>
      <c r="AK339" s="12"/>
      <c r="AL339" s="404"/>
    </row>
    <row r="340" spans="1:38" x14ac:dyDescent="0.25">
      <c r="A340" s="194">
        <v>335</v>
      </c>
      <c r="B340" s="11" t="s">
        <v>14</v>
      </c>
      <c r="E340" s="204">
        <f>'Revenue Reconcilliation'!Q194</f>
        <v>0</v>
      </c>
      <c r="F340" s="117"/>
      <c r="G340" s="204"/>
      <c r="H340" s="204"/>
      <c r="I340" s="204"/>
      <c r="J340" s="117"/>
      <c r="K340" s="202"/>
      <c r="L340" s="266"/>
      <c r="M340" s="204"/>
      <c r="N340" s="117"/>
      <c r="O340" s="204"/>
      <c r="P340" s="204"/>
      <c r="Q340" s="204"/>
      <c r="R340" s="117"/>
      <c r="S340" s="204"/>
      <c r="T340" s="204"/>
      <c r="U340" s="204"/>
      <c r="V340" s="117"/>
      <c r="W340" s="204"/>
      <c r="X340" s="204"/>
      <c r="Y340" s="204"/>
      <c r="Z340" s="117"/>
      <c r="AA340" s="229"/>
      <c r="AB340" s="229"/>
      <c r="AC340" s="229"/>
      <c r="AD340" s="117"/>
      <c r="AF340" s="204"/>
      <c r="AG340" s="204"/>
      <c r="AH340" s="117"/>
      <c r="AK340" s="12"/>
      <c r="AL340" s="404"/>
    </row>
    <row r="341" spans="1:38" x14ac:dyDescent="0.25">
      <c r="A341" s="194">
        <v>336</v>
      </c>
      <c r="B341" s="11" t="s">
        <v>15</v>
      </c>
      <c r="E341" s="204">
        <f>'Revenue Reconcilliation'!Q195</f>
        <v>0</v>
      </c>
      <c r="F341" s="117"/>
      <c r="G341" s="204"/>
      <c r="H341" s="204"/>
      <c r="I341" s="204"/>
      <c r="J341" s="117"/>
      <c r="K341" s="202"/>
      <c r="L341" s="266"/>
      <c r="M341" s="204"/>
      <c r="N341" s="117"/>
      <c r="O341" s="204"/>
      <c r="P341" s="204"/>
      <c r="Q341" s="204"/>
      <c r="R341" s="117"/>
      <c r="S341" s="204"/>
      <c r="T341" s="204"/>
      <c r="U341" s="204"/>
      <c r="V341" s="117"/>
      <c r="W341" s="204"/>
      <c r="X341" s="204"/>
      <c r="Y341" s="204"/>
      <c r="Z341" s="117"/>
      <c r="AA341" s="204"/>
      <c r="AB341" s="204"/>
      <c r="AC341" s="204"/>
      <c r="AD341" s="117"/>
      <c r="AF341" s="204"/>
      <c r="AG341" s="204"/>
      <c r="AH341" s="117"/>
      <c r="AK341" s="25"/>
      <c r="AL341" s="404"/>
    </row>
    <row r="342" spans="1:38" x14ac:dyDescent="0.25">
      <c r="A342" s="194">
        <v>337</v>
      </c>
      <c r="B342" s="11" t="s">
        <v>16</v>
      </c>
      <c r="E342" s="204">
        <f>'Revenue Reconcilliation'!Q196</f>
        <v>0</v>
      </c>
      <c r="F342" s="117"/>
      <c r="G342" s="204"/>
      <c r="H342" s="204"/>
      <c r="I342" s="204"/>
      <c r="J342" s="117"/>
      <c r="K342" s="202"/>
      <c r="L342" s="266"/>
      <c r="M342" s="204"/>
      <c r="N342" s="117"/>
      <c r="O342" s="204"/>
      <c r="P342" s="204"/>
      <c r="Q342" s="204"/>
      <c r="R342" s="117"/>
      <c r="S342" s="204"/>
      <c r="T342" s="204"/>
      <c r="U342" s="204"/>
      <c r="V342" s="117"/>
      <c r="W342" s="204"/>
      <c r="X342" s="204"/>
      <c r="Y342" s="204"/>
      <c r="Z342" s="117"/>
      <c r="AA342" s="204"/>
      <c r="AB342" s="204"/>
      <c r="AC342" s="204"/>
      <c r="AD342" s="117"/>
      <c r="AF342" s="204"/>
      <c r="AG342" s="204"/>
      <c r="AH342" s="117"/>
      <c r="AK342" s="25"/>
      <c r="AL342" s="404"/>
    </row>
    <row r="343" spans="1:38" x14ac:dyDescent="0.25">
      <c r="A343" s="194">
        <v>338</v>
      </c>
      <c r="B343" s="11" t="s">
        <v>17</v>
      </c>
      <c r="E343" s="204">
        <f>'Revenue Reconcilliation'!Q197</f>
        <v>-106115.93000000001</v>
      </c>
      <c r="F343" s="117"/>
      <c r="G343" s="204"/>
      <c r="H343" s="204"/>
      <c r="I343" s="204"/>
      <c r="J343" s="117"/>
      <c r="K343" s="202"/>
      <c r="L343" s="266"/>
      <c r="M343" s="204"/>
      <c r="N343" s="117"/>
      <c r="O343" s="204"/>
      <c r="P343" s="204"/>
      <c r="Q343" s="204"/>
      <c r="R343" s="117"/>
      <c r="S343" s="204"/>
      <c r="T343" s="204"/>
      <c r="U343" s="204"/>
      <c r="V343" s="117"/>
      <c r="W343" s="204"/>
      <c r="X343" s="204"/>
      <c r="Y343" s="204"/>
      <c r="Z343" s="117"/>
      <c r="AA343" s="204"/>
      <c r="AB343" s="204"/>
      <c r="AC343" s="204"/>
      <c r="AD343" s="117"/>
      <c r="AF343" s="204"/>
      <c r="AG343" s="204"/>
      <c r="AH343" s="117"/>
      <c r="AK343" s="25"/>
      <c r="AL343" s="404"/>
    </row>
    <row r="344" spans="1:38" x14ac:dyDescent="0.25">
      <c r="A344" s="194">
        <v>339</v>
      </c>
      <c r="B344" s="11" t="s">
        <v>18</v>
      </c>
      <c r="E344" s="204">
        <f>'Revenue Reconcilliation'!Q198</f>
        <v>0</v>
      </c>
      <c r="F344" s="117"/>
      <c r="G344" s="204"/>
      <c r="H344" s="204"/>
      <c r="I344" s="204"/>
      <c r="J344" s="117"/>
      <c r="K344" s="202"/>
      <c r="L344" s="266"/>
      <c r="M344" s="204"/>
      <c r="N344" s="117"/>
      <c r="O344" s="204"/>
      <c r="P344" s="204"/>
      <c r="Q344" s="204"/>
      <c r="R344" s="117"/>
      <c r="S344" s="204"/>
      <c r="T344" s="204"/>
      <c r="U344" s="204"/>
      <c r="V344" s="117"/>
      <c r="W344" s="204"/>
      <c r="X344" s="204"/>
      <c r="Y344" s="204"/>
      <c r="Z344" s="117"/>
      <c r="AA344" s="204"/>
      <c r="AB344" s="204"/>
      <c r="AC344" s="204"/>
      <c r="AD344" s="117"/>
      <c r="AF344" s="204"/>
      <c r="AG344" s="204"/>
      <c r="AH344" s="117"/>
      <c r="AK344" s="25"/>
      <c r="AL344" s="404"/>
    </row>
    <row r="345" spans="1:38" x14ac:dyDescent="0.25">
      <c r="A345" s="194">
        <v>340</v>
      </c>
      <c r="B345" s="5" t="s">
        <v>13</v>
      </c>
      <c r="E345" s="204">
        <f>'Revenue Reconcilliation'!Q199</f>
        <v>0</v>
      </c>
      <c r="F345" s="117"/>
      <c r="G345" s="204"/>
      <c r="H345" s="204"/>
      <c r="I345" s="204"/>
      <c r="J345" s="117"/>
      <c r="K345" s="202"/>
      <c r="L345" s="266"/>
      <c r="M345" s="204"/>
      <c r="N345" s="117"/>
      <c r="O345" s="204"/>
      <c r="P345" s="204"/>
      <c r="Q345" s="204"/>
      <c r="R345" s="117"/>
      <c r="S345" s="204"/>
      <c r="T345" s="204"/>
      <c r="U345" s="204"/>
      <c r="V345" s="117"/>
      <c r="W345" s="204"/>
      <c r="X345" s="204"/>
      <c r="Y345" s="204"/>
      <c r="Z345" s="117"/>
      <c r="AA345" s="204"/>
      <c r="AB345" s="204"/>
      <c r="AC345" s="204"/>
      <c r="AD345" s="117"/>
      <c r="AF345" s="204"/>
      <c r="AG345" s="204"/>
      <c r="AH345" s="117"/>
      <c r="AK345" s="25"/>
      <c r="AL345" s="404"/>
    </row>
    <row r="346" spans="1:38" x14ac:dyDescent="0.25">
      <c r="A346" s="194">
        <v>341</v>
      </c>
      <c r="B346" s="5" t="s">
        <v>53</v>
      </c>
      <c r="E346" s="204">
        <f>'Revenue Reconcilliation'!Q200</f>
        <v>-13703887.85</v>
      </c>
      <c r="F346" s="117"/>
      <c r="G346" s="204"/>
      <c r="H346" s="204"/>
      <c r="I346" s="204"/>
      <c r="J346" s="117"/>
      <c r="K346" s="202"/>
      <c r="L346" s="266"/>
      <c r="M346" s="204"/>
      <c r="N346" s="117"/>
      <c r="O346" s="204"/>
      <c r="P346" s="204"/>
      <c r="Q346" s="204"/>
      <c r="R346" s="117"/>
      <c r="S346" s="204"/>
      <c r="T346" s="204"/>
      <c r="U346" s="204"/>
      <c r="V346" s="117"/>
      <c r="W346" s="204"/>
      <c r="X346" s="204"/>
      <c r="Y346" s="204"/>
      <c r="Z346" s="117"/>
      <c r="AA346" s="204"/>
      <c r="AB346" s="204"/>
      <c r="AC346" s="204"/>
      <c r="AD346" s="117"/>
      <c r="AF346" s="204"/>
      <c r="AG346" s="204"/>
      <c r="AH346" s="117"/>
      <c r="AK346" s="25"/>
      <c r="AL346" s="404"/>
    </row>
    <row r="347" spans="1:38" x14ac:dyDescent="0.25">
      <c r="A347" s="194">
        <v>342</v>
      </c>
      <c r="B347" s="5" t="s">
        <v>54</v>
      </c>
      <c r="E347" s="207">
        <f>'Revenue Reconcilliation'!Q201</f>
        <v>13702522.259999998</v>
      </c>
      <c r="F347" s="117"/>
      <c r="G347" s="204"/>
      <c r="H347" s="204"/>
      <c r="I347" s="204"/>
      <c r="J347" s="117"/>
      <c r="K347" s="202"/>
      <c r="L347" s="266"/>
      <c r="M347" s="204"/>
      <c r="N347" s="117"/>
      <c r="O347" s="204"/>
      <c r="P347" s="204"/>
      <c r="Q347" s="204"/>
      <c r="R347" s="117"/>
      <c r="S347" s="204"/>
      <c r="T347" s="204"/>
      <c r="U347" s="204"/>
      <c r="V347" s="117"/>
      <c r="W347" s="204"/>
      <c r="X347" s="204"/>
      <c r="Y347" s="204"/>
      <c r="Z347" s="117"/>
      <c r="AA347" s="204"/>
      <c r="AB347" s="204"/>
      <c r="AC347" s="204"/>
      <c r="AD347" s="117"/>
      <c r="AF347" s="204"/>
      <c r="AG347" s="204"/>
      <c r="AH347" s="117"/>
      <c r="AK347" s="25"/>
      <c r="AL347" s="404"/>
    </row>
    <row r="348" spans="1:38" x14ac:dyDescent="0.25">
      <c r="A348" s="194">
        <v>343</v>
      </c>
      <c r="B348" s="11" t="s">
        <v>91</v>
      </c>
      <c r="E348" s="204">
        <f>SUM(E324:E347)</f>
        <v>1105654.5199999977</v>
      </c>
      <c r="F348" s="117"/>
      <c r="G348" s="204"/>
      <c r="H348" s="204"/>
      <c r="I348" s="204"/>
      <c r="J348" s="117"/>
      <c r="K348" s="202"/>
      <c r="L348" s="266"/>
      <c r="M348" s="204"/>
      <c r="N348" s="117"/>
      <c r="O348" s="204"/>
      <c r="P348" s="204"/>
      <c r="Q348" s="204"/>
      <c r="R348" s="117"/>
      <c r="S348" s="204"/>
      <c r="T348" s="204"/>
      <c r="U348" s="204"/>
      <c r="V348" s="117"/>
      <c r="W348" s="204"/>
      <c r="X348" s="204"/>
      <c r="Y348" s="204"/>
      <c r="Z348" s="117"/>
      <c r="AA348" s="204"/>
      <c r="AB348" s="204"/>
      <c r="AC348" s="204"/>
      <c r="AD348" s="117"/>
      <c r="AF348" s="204"/>
      <c r="AG348" s="204"/>
      <c r="AH348" s="117"/>
      <c r="AK348" s="25"/>
      <c r="AL348" s="404"/>
    </row>
    <row r="349" spans="1:38" x14ac:dyDescent="0.25">
      <c r="A349" s="194">
        <v>344</v>
      </c>
      <c r="B349" s="11"/>
      <c r="E349" s="204"/>
      <c r="F349" s="117"/>
      <c r="G349" s="204"/>
      <c r="H349" s="204"/>
      <c r="I349" s="204"/>
      <c r="J349" s="117"/>
      <c r="K349" s="202"/>
      <c r="L349" s="266"/>
      <c r="M349" s="204"/>
      <c r="N349" s="117"/>
      <c r="O349" s="204"/>
      <c r="P349" s="204"/>
      <c r="Q349" s="204"/>
      <c r="R349" s="117"/>
      <c r="S349" s="204"/>
      <c r="T349" s="204"/>
      <c r="U349" s="204"/>
      <c r="V349" s="117"/>
      <c r="W349" s="204"/>
      <c r="X349" s="204"/>
      <c r="Y349" s="204"/>
      <c r="Z349" s="117"/>
      <c r="AA349" s="204"/>
      <c r="AB349" s="204"/>
      <c r="AC349" s="204"/>
      <c r="AD349" s="117"/>
      <c r="AF349" s="204"/>
      <c r="AG349" s="204"/>
      <c r="AH349" s="117"/>
      <c r="AK349" s="25"/>
      <c r="AL349" s="404"/>
    </row>
    <row r="350" spans="1:38" x14ac:dyDescent="0.25">
      <c r="A350" s="194">
        <v>345</v>
      </c>
      <c r="B350" s="51" t="s">
        <v>132</v>
      </c>
      <c r="C350" s="208">
        <f>E350-'Revenue Reconcilliation'!Q202</f>
        <v>0</v>
      </c>
      <c r="D350" s="209" t="s">
        <v>45</v>
      </c>
      <c r="E350" s="207">
        <f>SUM(E321,E348)</f>
        <v>13775073.869999997</v>
      </c>
      <c r="F350" s="118"/>
      <c r="G350" s="207"/>
      <c r="H350" s="207"/>
      <c r="I350" s="207"/>
      <c r="J350" s="118"/>
      <c r="K350" s="239"/>
      <c r="L350" s="283"/>
      <c r="M350" s="207"/>
      <c r="N350" s="118"/>
      <c r="O350" s="207"/>
      <c r="P350" s="207"/>
      <c r="Q350" s="207"/>
      <c r="R350" s="118"/>
      <c r="S350" s="207"/>
      <c r="T350" s="207"/>
      <c r="U350" s="207"/>
      <c r="V350" s="118"/>
      <c r="W350" s="207"/>
      <c r="X350" s="207"/>
      <c r="Y350" s="207"/>
      <c r="Z350" s="118"/>
      <c r="AA350" s="207"/>
      <c r="AB350" s="207"/>
      <c r="AC350" s="207"/>
      <c r="AD350" s="118"/>
      <c r="AE350" s="239"/>
      <c r="AF350" s="207"/>
      <c r="AG350" s="207"/>
      <c r="AH350" s="118"/>
      <c r="AI350" s="23"/>
      <c r="AJ350" s="23"/>
      <c r="AK350" s="30"/>
      <c r="AL350" s="404"/>
    </row>
    <row r="351" spans="1:38" x14ac:dyDescent="0.25">
      <c r="A351" s="194">
        <v>346</v>
      </c>
      <c r="D351" s="211"/>
      <c r="E351" s="212"/>
      <c r="F351" s="116"/>
      <c r="G351" s="212"/>
      <c r="H351" s="212"/>
      <c r="I351" s="212"/>
      <c r="J351" s="116"/>
      <c r="K351" s="202"/>
      <c r="L351" s="266"/>
      <c r="M351" s="204"/>
      <c r="N351" s="116"/>
      <c r="O351" s="204"/>
      <c r="P351" s="204"/>
      <c r="Q351" s="204"/>
      <c r="R351" s="116"/>
      <c r="S351" s="204"/>
      <c r="T351" s="204"/>
      <c r="U351" s="204"/>
      <c r="V351" s="116"/>
      <c r="W351" s="212"/>
      <c r="X351" s="212"/>
      <c r="Y351" s="212"/>
      <c r="Z351" s="116"/>
      <c r="AD351" s="116"/>
      <c r="AF351" s="212"/>
      <c r="AG351" s="212"/>
      <c r="AH351" s="116"/>
      <c r="AL351" s="404"/>
    </row>
    <row r="352" spans="1:38" x14ac:dyDescent="0.25">
      <c r="A352" s="194">
        <v>347</v>
      </c>
      <c r="B352" s="18" t="s">
        <v>133</v>
      </c>
      <c r="G352" s="196" t="s">
        <v>527</v>
      </c>
      <c r="K352" s="202"/>
      <c r="L352" s="266"/>
      <c r="M352" s="204"/>
      <c r="O352" s="204"/>
      <c r="P352" s="204"/>
      <c r="Q352" s="204"/>
      <c r="S352" s="204"/>
      <c r="T352" s="204"/>
      <c r="U352" s="204"/>
      <c r="AI352" s="32"/>
      <c r="AL352" s="404"/>
    </row>
    <row r="353" spans="1:38" x14ac:dyDescent="0.25">
      <c r="A353" s="194">
        <v>348</v>
      </c>
      <c r="B353" s="12" t="s">
        <v>25</v>
      </c>
      <c r="C353" s="202">
        <f t="shared" ref="C353:C363" si="87">E353/D353</f>
        <v>12</v>
      </c>
      <c r="D353" s="203">
        <v>625</v>
      </c>
      <c r="E353" s="204">
        <f>'1501 Summary'!AD249</f>
        <v>7500</v>
      </c>
      <c r="F353" s="112"/>
      <c r="G353" s="265">
        <f>-C353</f>
        <v>-12</v>
      </c>
      <c r="H353" s="203">
        <f>D353</f>
        <v>625</v>
      </c>
      <c r="I353" s="204">
        <f>H353*G353</f>
        <v>-7500</v>
      </c>
      <c r="J353" s="112"/>
      <c r="K353" s="202">
        <f t="shared" ref="K353:K382" si="88">C353+G353</f>
        <v>0</v>
      </c>
      <c r="L353" s="203">
        <f t="shared" ref="L353:L361" si="89">D353</f>
        <v>625</v>
      </c>
      <c r="M353" s="204">
        <f>L353*K353</f>
        <v>0</v>
      </c>
      <c r="N353" s="112"/>
      <c r="O353" s="202"/>
      <c r="P353" s="203"/>
      <c r="Q353" s="204"/>
      <c r="R353" s="112"/>
      <c r="S353" s="202"/>
      <c r="T353" s="203"/>
      <c r="U353" s="204"/>
      <c r="V353" s="112"/>
      <c r="W353" s="203"/>
      <c r="X353" s="203"/>
      <c r="Y353" s="203"/>
      <c r="Z353" s="112"/>
      <c r="AA353" s="216"/>
      <c r="AB353" s="216"/>
      <c r="AC353" s="216"/>
      <c r="AD353" s="112"/>
      <c r="AF353" s="203"/>
      <c r="AG353" s="203"/>
      <c r="AH353" s="112"/>
      <c r="AI353" s="32"/>
      <c r="AJ353" s="39"/>
      <c r="AK353" s="39"/>
      <c r="AL353" s="404"/>
    </row>
    <row r="354" spans="1:38" x14ac:dyDescent="0.25">
      <c r="A354" s="194">
        <v>349</v>
      </c>
      <c r="B354" s="12" t="s">
        <v>201</v>
      </c>
      <c r="C354" s="202">
        <f t="shared" si="87"/>
        <v>7.0000000000000018</v>
      </c>
      <c r="D354" s="232">
        <v>13219.29</v>
      </c>
      <c r="E354" s="204">
        <f>SUM('1501 Summary'!G250,'1501 Summary'!I250,'1501 Summary'!K250,'1501 Summary'!M250,'1501 Summary'!O250,'1501 Summary'!Q250,'1501 Summary'!S250)</f>
        <v>92535.030000000028</v>
      </c>
      <c r="F354" s="112"/>
      <c r="G354" s="265">
        <f>-C354</f>
        <v>-7.0000000000000018</v>
      </c>
      <c r="H354" s="203">
        <f t="shared" ref="H354" si="90">D354</f>
        <v>13219.29</v>
      </c>
      <c r="I354" s="186">
        <f t="shared" ref="I354" si="91">H354*G354</f>
        <v>-92535.030000000028</v>
      </c>
      <c r="J354" s="112"/>
      <c r="K354" s="202">
        <f t="shared" si="88"/>
        <v>0</v>
      </c>
      <c r="L354" s="204"/>
      <c r="M354" s="204"/>
      <c r="N354" s="112"/>
      <c r="O354" s="202"/>
      <c r="P354" s="203"/>
      <c r="Q354" s="204"/>
      <c r="R354" s="112"/>
      <c r="S354" s="202"/>
      <c r="T354" s="203"/>
      <c r="U354" s="204"/>
      <c r="V354" s="112"/>
      <c r="W354" s="203"/>
      <c r="X354" s="203"/>
      <c r="Y354" s="203"/>
      <c r="Z354" s="112"/>
      <c r="AA354" s="216"/>
      <c r="AB354" s="216"/>
      <c r="AC354" s="216"/>
      <c r="AD354" s="112"/>
      <c r="AF354" s="203"/>
      <c r="AG354" s="203"/>
      <c r="AH354" s="112"/>
      <c r="AI354" s="32"/>
      <c r="AJ354" s="39"/>
      <c r="AK354" s="39"/>
      <c r="AL354" s="404"/>
    </row>
    <row r="355" spans="1:38" x14ac:dyDescent="0.25">
      <c r="A355" s="194">
        <v>350</v>
      </c>
      <c r="B355" s="12" t="s">
        <v>202</v>
      </c>
      <c r="C355" s="202">
        <f t="shared" si="87"/>
        <v>5</v>
      </c>
      <c r="D355" s="232">
        <v>13344.87</v>
      </c>
      <c r="E355" s="204">
        <f>SUM('1501 Summary'!U250,'1501 Summary'!W250,'1501 Summary'!Y250,'1501 Summary'!AA250,'1501 Summary'!AC250)</f>
        <v>66724.350000000006</v>
      </c>
      <c r="F355" s="112"/>
      <c r="G355" s="265">
        <f t="shared" ref="G355:G363" si="92">-C355</f>
        <v>-5</v>
      </c>
      <c r="H355" s="203">
        <f t="shared" ref="H355:H363" si="93">D355</f>
        <v>13344.87</v>
      </c>
      <c r="I355" s="186">
        <f t="shared" ref="I355:I363" si="94">H355*G355</f>
        <v>-66724.350000000006</v>
      </c>
      <c r="J355" s="112"/>
      <c r="K355" s="202">
        <f t="shared" si="88"/>
        <v>0</v>
      </c>
      <c r="L355" s="204">
        <f t="shared" si="89"/>
        <v>13344.87</v>
      </c>
      <c r="M355" s="204">
        <f>L355*SUM(K355,K354)</f>
        <v>0</v>
      </c>
      <c r="N355" s="112"/>
      <c r="O355" s="202"/>
      <c r="P355" s="204"/>
      <c r="Q355" s="204"/>
      <c r="R355" s="112"/>
      <c r="S355" s="202"/>
      <c r="T355" s="204"/>
      <c r="U355" s="204"/>
      <c r="V355" s="112"/>
      <c r="W355" s="203"/>
      <c r="X355" s="203"/>
      <c r="Y355" s="203"/>
      <c r="Z355" s="112"/>
      <c r="AA355" s="216"/>
      <c r="AB355" s="216"/>
      <c r="AC355" s="216"/>
      <c r="AD355" s="112"/>
      <c r="AF355" s="203"/>
      <c r="AG355" s="203"/>
      <c r="AH355" s="112"/>
      <c r="AI355" s="32"/>
      <c r="AJ355" s="39"/>
      <c r="AK355" s="39"/>
      <c r="AL355" s="404"/>
    </row>
    <row r="356" spans="1:38" x14ac:dyDescent="0.25">
      <c r="A356" s="194">
        <v>351</v>
      </c>
      <c r="B356" s="12" t="s">
        <v>195</v>
      </c>
      <c r="C356" s="202"/>
      <c r="D356" s="233"/>
      <c r="E356" s="204">
        <f>SUM('1501 Summary'!G251:W251)</f>
        <v>0</v>
      </c>
      <c r="F356" s="112"/>
      <c r="G356" s="265">
        <f t="shared" si="92"/>
        <v>0</v>
      </c>
      <c r="H356" s="203">
        <f t="shared" si="93"/>
        <v>0</v>
      </c>
      <c r="I356" s="186">
        <f t="shared" si="94"/>
        <v>0</v>
      </c>
      <c r="J356" s="112"/>
      <c r="K356" s="202">
        <f t="shared" si="88"/>
        <v>0</v>
      </c>
      <c r="L356" s="266"/>
      <c r="M356" s="204"/>
      <c r="N356" s="112"/>
      <c r="O356" s="202"/>
      <c r="P356" s="204"/>
      <c r="Q356" s="204"/>
      <c r="R356" s="112"/>
      <c r="S356" s="202"/>
      <c r="T356" s="204"/>
      <c r="U356" s="204"/>
      <c r="V356" s="112"/>
      <c r="W356" s="203"/>
      <c r="X356" s="203"/>
      <c r="Y356" s="203"/>
      <c r="Z356" s="112"/>
      <c r="AA356" s="216"/>
      <c r="AB356" s="216"/>
      <c r="AC356" s="216"/>
      <c r="AD356" s="112"/>
      <c r="AF356" s="203"/>
      <c r="AG356" s="203"/>
      <c r="AH356" s="112"/>
      <c r="AI356" s="32"/>
      <c r="AJ356" s="39"/>
      <c r="AK356" s="39"/>
      <c r="AL356" s="404"/>
    </row>
    <row r="357" spans="1:38" x14ac:dyDescent="0.25">
      <c r="A357" s="194">
        <v>352</v>
      </c>
      <c r="B357" s="12" t="s">
        <v>200</v>
      </c>
      <c r="C357" s="202"/>
      <c r="D357" s="234"/>
      <c r="E357" s="204">
        <f>SUM('1501 Summary'!Y251:AC251)</f>
        <v>0</v>
      </c>
      <c r="F357" s="112"/>
      <c r="G357" s="265">
        <f t="shared" si="92"/>
        <v>0</v>
      </c>
      <c r="H357" s="203">
        <f t="shared" si="93"/>
        <v>0</v>
      </c>
      <c r="I357" s="186">
        <f t="shared" si="94"/>
        <v>0</v>
      </c>
      <c r="J357" s="112"/>
      <c r="K357" s="202">
        <f t="shared" si="88"/>
        <v>0</v>
      </c>
      <c r="L357" s="266"/>
      <c r="M357" s="204"/>
      <c r="N357" s="112"/>
      <c r="O357" s="202"/>
      <c r="P357" s="203"/>
      <c r="Q357" s="204"/>
      <c r="R357" s="112"/>
      <c r="S357" s="202"/>
      <c r="T357" s="203"/>
      <c r="U357" s="204"/>
      <c r="V357" s="112"/>
      <c r="W357" s="203"/>
      <c r="X357" s="203"/>
      <c r="Y357" s="203"/>
      <c r="Z357" s="112"/>
      <c r="AA357" s="216"/>
      <c r="AB357" s="216"/>
      <c r="AC357" s="216"/>
      <c r="AD357" s="112"/>
      <c r="AF357" s="203"/>
      <c r="AG357" s="203"/>
      <c r="AH357" s="112"/>
      <c r="AI357" s="32"/>
      <c r="AJ357" s="39"/>
      <c r="AK357" s="39"/>
      <c r="AL357" s="404"/>
    </row>
    <row r="358" spans="1:38" x14ac:dyDescent="0.25">
      <c r="A358" s="194">
        <v>353</v>
      </c>
      <c r="B358" s="12" t="s">
        <v>189</v>
      </c>
      <c r="C358" s="202">
        <f t="shared" si="87"/>
        <v>21523500.000000004</v>
      </c>
      <c r="D358" s="233">
        <v>4.0000000000000002E-4</v>
      </c>
      <c r="E358" s="204">
        <f>SUM('1501 Summary'!G252,'1501 Summary'!I252,'1501 Summary'!K252,'1501 Summary'!M252,'1501 Summary'!O252,'1501 Summary'!Q252,'1501 Summary'!S252,'1501 Summary'!U252,'1501 Summary'!W252)</f>
        <v>8609.4000000000015</v>
      </c>
      <c r="F358" s="112"/>
      <c r="G358" s="265">
        <f>-C358</f>
        <v>-21523500.000000004</v>
      </c>
      <c r="H358" s="233">
        <f t="shared" si="93"/>
        <v>4.0000000000000002E-4</v>
      </c>
      <c r="I358" s="186">
        <f>H358*G358</f>
        <v>-8609.4000000000015</v>
      </c>
      <c r="J358" s="112"/>
      <c r="K358" s="202">
        <f t="shared" si="88"/>
        <v>0</v>
      </c>
      <c r="L358" s="266"/>
      <c r="M358" s="204"/>
      <c r="N358" s="112"/>
      <c r="O358" s="202"/>
      <c r="P358" s="203"/>
      <c r="Q358" s="204"/>
      <c r="R358" s="112"/>
      <c r="S358" s="202"/>
      <c r="T358" s="203"/>
      <c r="U358" s="204"/>
      <c r="V358" s="112"/>
      <c r="W358" s="203"/>
      <c r="X358" s="203"/>
      <c r="Y358" s="203"/>
      <c r="Z358" s="112"/>
      <c r="AA358" s="216"/>
      <c r="AB358" s="216"/>
      <c r="AC358" s="216"/>
      <c r="AD358" s="112"/>
      <c r="AF358" s="203"/>
      <c r="AG358" s="203"/>
      <c r="AH358" s="112"/>
      <c r="AI358" s="32"/>
      <c r="AJ358" s="39"/>
      <c r="AK358" s="39"/>
      <c r="AL358" s="404"/>
    </row>
    <row r="359" spans="1:38" x14ac:dyDescent="0.25">
      <c r="A359" s="194">
        <v>354</v>
      </c>
      <c r="B359" s="12" t="s">
        <v>190</v>
      </c>
      <c r="C359" s="202">
        <f t="shared" si="87"/>
        <v>8214375</v>
      </c>
      <c r="D359" s="233">
        <v>4.0000000000000002E-4</v>
      </c>
      <c r="E359" s="204">
        <f>SUM('1501 Summary'!Y252,'1501 Summary'!AA252,'1501 Summary'!AC252)</f>
        <v>3285.75</v>
      </c>
      <c r="F359" s="112"/>
      <c r="G359" s="265">
        <f t="shared" si="92"/>
        <v>-8214375</v>
      </c>
      <c r="H359" s="233">
        <f t="shared" si="93"/>
        <v>4.0000000000000002E-4</v>
      </c>
      <c r="I359" s="186">
        <f t="shared" si="94"/>
        <v>-3285.75</v>
      </c>
      <c r="J359" s="112"/>
      <c r="K359" s="202">
        <f t="shared" si="88"/>
        <v>0</v>
      </c>
      <c r="L359" s="266">
        <f t="shared" si="89"/>
        <v>4.0000000000000002E-4</v>
      </c>
      <c r="M359" s="204">
        <f>L359*SUM(K359,K356)</f>
        <v>0</v>
      </c>
      <c r="N359" s="112"/>
      <c r="O359" s="212"/>
      <c r="P359" s="203"/>
      <c r="Q359" s="204"/>
      <c r="R359" s="112"/>
      <c r="S359" s="212"/>
      <c r="T359" s="203"/>
      <c r="U359" s="204"/>
      <c r="V359" s="112"/>
      <c r="W359" s="203"/>
      <c r="X359" s="203"/>
      <c r="Y359" s="203"/>
      <c r="Z359" s="112"/>
      <c r="AA359" s="216"/>
      <c r="AB359" s="216"/>
      <c r="AC359" s="216"/>
      <c r="AD359" s="112"/>
      <c r="AF359" s="203"/>
      <c r="AG359" s="203"/>
      <c r="AH359" s="112"/>
      <c r="AI359" s="94"/>
      <c r="AJ359" s="39"/>
      <c r="AK359" s="39"/>
      <c r="AL359" s="404"/>
    </row>
    <row r="360" spans="1:38" x14ac:dyDescent="0.25">
      <c r="A360" s="194">
        <v>355</v>
      </c>
      <c r="B360" s="12" t="s">
        <v>196</v>
      </c>
      <c r="C360" s="202">
        <f t="shared" si="87"/>
        <v>14171122.740901714</v>
      </c>
      <c r="D360" s="196">
        <v>1.4541200000000001E-2</v>
      </c>
      <c r="E360" s="204">
        <f>SUM('1501 Summary'!G253,'1501 Summary'!I253,'1501 Summary'!K253,'1501 Summary'!M253,'1501 Summary'!O253,'1501 Summary'!Q253)</f>
        <v>206065.13</v>
      </c>
      <c r="F360" s="112"/>
      <c r="G360" s="265">
        <f t="shared" si="92"/>
        <v>-14171122.740901714</v>
      </c>
      <c r="H360" s="235">
        <f t="shared" si="93"/>
        <v>1.4541200000000001E-2</v>
      </c>
      <c r="I360" s="186">
        <f t="shared" si="94"/>
        <v>-206065.13</v>
      </c>
      <c r="J360" s="112"/>
      <c r="K360" s="202">
        <f t="shared" si="88"/>
        <v>0</v>
      </c>
      <c r="L360" s="266"/>
      <c r="M360" s="204"/>
      <c r="N360" s="112"/>
      <c r="O360" s="202"/>
      <c r="P360" s="203"/>
      <c r="Q360" s="204"/>
      <c r="R360" s="112"/>
      <c r="S360" s="202"/>
      <c r="T360" s="203"/>
      <c r="U360" s="204"/>
      <c r="V360" s="112"/>
      <c r="W360" s="203"/>
      <c r="X360" s="203"/>
      <c r="Y360" s="203"/>
      <c r="Z360" s="112"/>
      <c r="AA360" s="216"/>
      <c r="AB360" s="216"/>
      <c r="AC360" s="216"/>
      <c r="AD360" s="112"/>
      <c r="AF360" s="203"/>
      <c r="AG360" s="203"/>
      <c r="AH360" s="112"/>
      <c r="AI360" s="94"/>
      <c r="AJ360" s="39"/>
      <c r="AK360" s="39"/>
      <c r="AL360" s="404"/>
    </row>
    <row r="361" spans="1:38" x14ac:dyDescent="0.25">
      <c r="A361" s="194">
        <v>356</v>
      </c>
      <c r="B361" s="12" t="s">
        <v>197</v>
      </c>
      <c r="C361" s="202">
        <f t="shared" si="87"/>
        <v>15341795.589707958</v>
      </c>
      <c r="D361" s="196">
        <v>1.4679299999999999E-2</v>
      </c>
      <c r="E361" s="204">
        <f>SUM('1501 Summary'!S253,'1501 Summary'!U253,'1501 Summary'!W253,'1501 Summary'!Y253,'1501 Summary'!AA253,'1501 Summary'!AC253)</f>
        <v>225206.82</v>
      </c>
      <c r="F361" s="112"/>
      <c r="G361" s="265">
        <f t="shared" si="92"/>
        <v>-15341795.589707958</v>
      </c>
      <c r="H361" s="235">
        <f t="shared" si="93"/>
        <v>1.4679299999999999E-2</v>
      </c>
      <c r="I361" s="186">
        <f t="shared" si="94"/>
        <v>-225206.82</v>
      </c>
      <c r="J361" s="112"/>
      <c r="K361" s="202">
        <f t="shared" si="88"/>
        <v>0</v>
      </c>
      <c r="L361" s="234">
        <f t="shared" si="89"/>
        <v>1.4679299999999999E-2</v>
      </c>
      <c r="M361" s="204">
        <f>L361*SUM(K361,K360)</f>
        <v>0</v>
      </c>
      <c r="N361" s="112"/>
      <c r="O361" s="202"/>
      <c r="P361" s="203"/>
      <c r="Q361" s="204"/>
      <c r="R361" s="112"/>
      <c r="S361" s="202"/>
      <c r="T361" s="203"/>
      <c r="U361" s="204"/>
      <c r="V361" s="112"/>
      <c r="W361" s="203"/>
      <c r="X361" s="203"/>
      <c r="Y361" s="203"/>
      <c r="Z361" s="112"/>
      <c r="AA361" s="216"/>
      <c r="AB361" s="216"/>
      <c r="AC361" s="216"/>
      <c r="AD361" s="112"/>
      <c r="AF361" s="203"/>
      <c r="AG361" s="203"/>
      <c r="AH361" s="112"/>
      <c r="AI361" s="94"/>
      <c r="AJ361" s="39"/>
      <c r="AK361" s="39"/>
      <c r="AL361" s="404"/>
    </row>
    <row r="362" spans="1:38" x14ac:dyDescent="0.25">
      <c r="A362" s="194">
        <v>357</v>
      </c>
      <c r="B362" s="12" t="s">
        <v>198</v>
      </c>
      <c r="C362" s="202">
        <f t="shared" si="87"/>
        <v>307368.03654901887</v>
      </c>
      <c r="D362" s="235">
        <v>1.8889699999999999E-2</v>
      </c>
      <c r="E362" s="204">
        <f>SUM('1501 Summary'!G254,'1501 Summary'!I254,'1501 Summary'!K254,'1501 Summary'!M254,'1501 Summary'!O254,'1501 Summary'!Q254)</f>
        <v>5806.0900000000011</v>
      </c>
      <c r="F362" s="112"/>
      <c r="G362" s="265">
        <f t="shared" si="92"/>
        <v>-307368.03654901887</v>
      </c>
      <c r="H362" s="235">
        <f t="shared" si="93"/>
        <v>1.8889699999999999E-2</v>
      </c>
      <c r="I362" s="186">
        <f t="shared" si="94"/>
        <v>-5806.0900000000011</v>
      </c>
      <c r="J362" s="112"/>
      <c r="K362" s="202">
        <f t="shared" si="88"/>
        <v>0</v>
      </c>
      <c r="L362" s="234"/>
      <c r="M362" s="204"/>
      <c r="N362" s="112"/>
      <c r="O362" s="202"/>
      <c r="P362" s="203"/>
      <c r="Q362" s="204"/>
      <c r="R362" s="112"/>
      <c r="S362" s="202"/>
      <c r="T362" s="203"/>
      <c r="U362" s="204"/>
      <c r="V362" s="112"/>
      <c r="W362" s="203"/>
      <c r="X362" s="203"/>
      <c r="Y362" s="203"/>
      <c r="Z362" s="112"/>
      <c r="AA362" s="216"/>
      <c r="AB362" s="216"/>
      <c r="AC362" s="216"/>
      <c r="AD362" s="112"/>
      <c r="AF362" s="203"/>
      <c r="AG362" s="203"/>
      <c r="AH362" s="112"/>
      <c r="AI362" s="94"/>
      <c r="AJ362" s="39"/>
      <c r="AK362" s="39"/>
      <c r="AL362" s="404"/>
    </row>
    <row r="363" spans="1:38" x14ac:dyDescent="0.25">
      <c r="A363" s="194">
        <v>358</v>
      </c>
      <c r="B363" s="54" t="s">
        <v>199</v>
      </c>
      <c r="C363" s="202">
        <f t="shared" si="87"/>
        <v>0</v>
      </c>
      <c r="D363" s="235">
        <v>1.9069099999999999E-2</v>
      </c>
      <c r="E363" s="207">
        <f>SUM('1501 Summary'!S254:AC254)</f>
        <v>0</v>
      </c>
      <c r="F363" s="112"/>
      <c r="G363" s="276">
        <f t="shared" si="92"/>
        <v>0</v>
      </c>
      <c r="H363" s="235">
        <f t="shared" si="93"/>
        <v>1.9069099999999999E-2</v>
      </c>
      <c r="I363" s="207">
        <f t="shared" si="94"/>
        <v>0</v>
      </c>
      <c r="J363" s="112"/>
      <c r="K363" s="202">
        <f t="shared" si="88"/>
        <v>0</v>
      </c>
      <c r="L363" s="234">
        <f t="shared" ref="L363:L413" si="95">D363</f>
        <v>1.9069099999999999E-2</v>
      </c>
      <c r="M363" s="207">
        <f t="shared" ref="M363" si="96">L363*SUM(K363,K362)</f>
        <v>0</v>
      </c>
      <c r="N363" s="112"/>
      <c r="O363" s="202"/>
      <c r="P363" s="203"/>
      <c r="Q363" s="204"/>
      <c r="R363" s="112"/>
      <c r="S363" s="202"/>
      <c r="T363" s="203"/>
      <c r="U363" s="204"/>
      <c r="V363" s="112"/>
      <c r="W363" s="203"/>
      <c r="X363" s="203"/>
      <c r="Y363" s="203"/>
      <c r="Z363" s="112"/>
      <c r="AA363" s="216"/>
      <c r="AB363" s="216"/>
      <c r="AC363" s="216"/>
      <c r="AD363" s="112"/>
      <c r="AF363" s="203"/>
      <c r="AG363" s="203"/>
      <c r="AH363" s="112"/>
      <c r="AI363" s="94"/>
      <c r="AJ363" s="39"/>
      <c r="AK363" s="39"/>
      <c r="AL363" s="404"/>
    </row>
    <row r="364" spans="1:38" x14ac:dyDescent="0.25">
      <c r="A364" s="194">
        <v>359</v>
      </c>
      <c r="B364" s="12" t="s">
        <v>10</v>
      </c>
      <c r="C364" s="202"/>
      <c r="D364" s="234"/>
      <c r="E364" s="204">
        <f>SUM(E353:E363)</f>
        <v>615732.56999999995</v>
      </c>
      <c r="F364" s="112"/>
      <c r="G364" s="203"/>
      <c r="H364" s="203"/>
      <c r="I364" s="203">
        <f>SUM(I353:I363)</f>
        <v>-615732.56999999995</v>
      </c>
      <c r="J364" s="112"/>
      <c r="K364" s="202"/>
      <c r="L364" s="266"/>
      <c r="M364" s="204">
        <f>SUM(M353:M363)</f>
        <v>0</v>
      </c>
      <c r="N364" s="112"/>
      <c r="O364" s="203"/>
      <c r="P364" s="203"/>
      <c r="Q364" s="204"/>
      <c r="R364" s="112"/>
      <c r="S364" s="203"/>
      <c r="T364" s="203"/>
      <c r="U364" s="204"/>
      <c r="V364" s="112"/>
      <c r="W364" s="203"/>
      <c r="X364" s="203"/>
      <c r="Y364" s="203"/>
      <c r="Z364" s="112"/>
      <c r="AA364" s="216"/>
      <c r="AB364" s="216"/>
      <c r="AC364" s="216"/>
      <c r="AD364" s="112"/>
      <c r="AF364" s="203"/>
      <c r="AG364" s="203"/>
      <c r="AH364" s="112"/>
      <c r="AI364" s="32"/>
      <c r="AJ364" s="39"/>
      <c r="AK364" s="39"/>
      <c r="AL364" s="404"/>
    </row>
    <row r="365" spans="1:38" x14ac:dyDescent="0.25">
      <c r="A365" s="194">
        <v>360</v>
      </c>
      <c r="E365" s="204"/>
      <c r="F365" s="117"/>
      <c r="G365" s="204"/>
      <c r="H365" s="204"/>
      <c r="I365" s="204"/>
      <c r="J365" s="117"/>
      <c r="K365" s="202"/>
      <c r="L365" s="266"/>
      <c r="M365" s="204"/>
      <c r="N365" s="117"/>
      <c r="O365" s="204"/>
      <c r="P365" s="204"/>
      <c r="Q365" s="204"/>
      <c r="R365" s="117"/>
      <c r="S365" s="204"/>
      <c r="T365" s="204"/>
      <c r="U365" s="204"/>
      <c r="V365" s="117"/>
      <c r="W365" s="204"/>
      <c r="X365" s="204"/>
      <c r="Y365" s="204"/>
      <c r="Z365" s="117"/>
      <c r="AA365" s="204"/>
      <c r="AB365" s="204"/>
      <c r="AC365" s="204"/>
      <c r="AD365" s="117"/>
      <c r="AF365" s="204"/>
      <c r="AG365" s="204"/>
      <c r="AH365" s="117"/>
      <c r="AI365" s="32"/>
      <c r="AJ365" s="39"/>
      <c r="AK365" s="25"/>
      <c r="AL365" s="404"/>
    </row>
    <row r="366" spans="1:38" x14ac:dyDescent="0.25">
      <c r="A366" s="194">
        <v>361</v>
      </c>
      <c r="B366" s="12" t="s">
        <v>12</v>
      </c>
      <c r="E366" s="204"/>
      <c r="F366" s="117"/>
      <c r="G366" s="204"/>
      <c r="H366" s="204"/>
      <c r="I366" s="204"/>
      <c r="J366" s="117"/>
      <c r="K366" s="202"/>
      <c r="L366" s="266"/>
      <c r="M366" s="204"/>
      <c r="N366" s="117"/>
      <c r="O366" s="204"/>
      <c r="P366" s="204"/>
      <c r="Q366" s="204"/>
      <c r="R366" s="117"/>
      <c r="S366" s="204"/>
      <c r="T366" s="204"/>
      <c r="U366" s="204"/>
      <c r="V366" s="117"/>
      <c r="W366" s="204"/>
      <c r="X366" s="204"/>
      <c r="Y366" s="204"/>
      <c r="Z366" s="117"/>
      <c r="AA366" s="204"/>
      <c r="AB366" s="204"/>
      <c r="AC366" s="204"/>
      <c r="AD366" s="117"/>
      <c r="AF366" s="204"/>
      <c r="AG366" s="204"/>
      <c r="AH366" s="117"/>
      <c r="AI366" s="32"/>
      <c r="AJ366" s="39"/>
      <c r="AK366" s="25"/>
      <c r="AL366" s="404"/>
    </row>
    <row r="367" spans="1:38" x14ac:dyDescent="0.25">
      <c r="A367" s="194">
        <v>362</v>
      </c>
      <c r="B367" s="12" t="s">
        <v>20</v>
      </c>
      <c r="E367" s="204">
        <f>'1501 Summary'!AD255</f>
        <v>27283.11</v>
      </c>
      <c r="F367" s="112"/>
      <c r="G367" s="203"/>
      <c r="H367" s="203"/>
      <c r="I367" s="203"/>
      <c r="J367" s="112"/>
      <c r="K367" s="202"/>
      <c r="L367" s="266"/>
      <c r="M367" s="204"/>
      <c r="N367" s="112"/>
      <c r="O367" s="204"/>
      <c r="P367" s="204"/>
      <c r="Q367" s="204"/>
      <c r="R367" s="112"/>
      <c r="S367" s="204"/>
      <c r="T367" s="204"/>
      <c r="U367" s="204"/>
      <c r="V367" s="112"/>
      <c r="W367" s="203"/>
      <c r="X367" s="203"/>
      <c r="Y367" s="203"/>
      <c r="Z367" s="112"/>
      <c r="AA367" s="204"/>
      <c r="AB367" s="204"/>
      <c r="AC367" s="204"/>
      <c r="AD367" s="112"/>
      <c r="AF367" s="203"/>
      <c r="AG367" s="203"/>
      <c r="AH367" s="112"/>
      <c r="AI367" s="32"/>
      <c r="AJ367" s="39"/>
      <c r="AK367" s="25"/>
      <c r="AL367" s="404"/>
    </row>
    <row r="368" spans="1:38" x14ac:dyDescent="0.25">
      <c r="A368" s="194">
        <v>363</v>
      </c>
      <c r="B368" s="12" t="s">
        <v>188</v>
      </c>
      <c r="E368" s="204">
        <f>'1501 Summary'!AD256</f>
        <v>0</v>
      </c>
      <c r="F368" s="117"/>
      <c r="G368" s="204"/>
      <c r="H368" s="204"/>
      <c r="I368" s="204"/>
      <c r="J368" s="117"/>
      <c r="K368" s="202"/>
      <c r="L368" s="266"/>
      <c r="M368" s="204"/>
      <c r="N368" s="117"/>
      <c r="O368" s="204"/>
      <c r="P368" s="204"/>
      <c r="Q368" s="204"/>
      <c r="R368" s="117"/>
      <c r="S368" s="204"/>
      <c r="T368" s="204"/>
      <c r="U368" s="204"/>
      <c r="V368" s="117"/>
      <c r="W368" s="204"/>
      <c r="X368" s="204"/>
      <c r="Y368" s="204"/>
      <c r="Z368" s="117"/>
      <c r="AA368" s="204"/>
      <c r="AB368" s="204"/>
      <c r="AC368" s="204"/>
      <c r="AD368" s="117"/>
      <c r="AF368" s="204"/>
      <c r="AG368" s="204"/>
      <c r="AH368" s="117"/>
      <c r="AI368" s="32"/>
      <c r="AJ368" s="39"/>
      <c r="AK368" s="25"/>
      <c r="AL368" s="404"/>
    </row>
    <row r="369" spans="1:38" x14ac:dyDescent="0.25">
      <c r="A369" s="194">
        <v>364</v>
      </c>
      <c r="B369" s="5" t="s">
        <v>53</v>
      </c>
      <c r="E369" s="204">
        <f>'Revenue Reconcilliation'!Q220</f>
        <v>-643015.67999999993</v>
      </c>
      <c r="F369" s="117"/>
      <c r="G369" s="204"/>
      <c r="H369" s="204"/>
      <c r="I369" s="204"/>
      <c r="J369" s="117"/>
      <c r="K369" s="202"/>
      <c r="L369" s="266"/>
      <c r="M369" s="204"/>
      <c r="N369" s="117"/>
      <c r="O369" s="204"/>
      <c r="P369" s="204"/>
      <c r="Q369" s="204"/>
      <c r="R369" s="117"/>
      <c r="S369" s="204"/>
      <c r="T369" s="204"/>
      <c r="U369" s="204"/>
      <c r="V369" s="117"/>
      <c r="W369" s="204"/>
      <c r="X369" s="204"/>
      <c r="Y369" s="204"/>
      <c r="Z369" s="117"/>
      <c r="AA369" s="204"/>
      <c r="AB369" s="204"/>
      <c r="AC369" s="204"/>
      <c r="AD369" s="117"/>
      <c r="AF369" s="204"/>
      <c r="AG369" s="204"/>
      <c r="AH369" s="117"/>
      <c r="AI369" s="32"/>
      <c r="AJ369" s="39"/>
      <c r="AK369" s="25"/>
      <c r="AL369" s="404"/>
    </row>
    <row r="370" spans="1:38" x14ac:dyDescent="0.25">
      <c r="A370" s="194">
        <v>365</v>
      </c>
      <c r="B370" s="5" t="s">
        <v>54</v>
      </c>
      <c r="E370" s="204">
        <f>'Revenue Reconcilliation'!Q221</f>
        <v>672796.02000000014</v>
      </c>
      <c r="F370" s="117"/>
      <c r="G370" s="204"/>
      <c r="H370" s="204"/>
      <c r="I370" s="204"/>
      <c r="J370" s="117"/>
      <c r="K370" s="202"/>
      <c r="L370" s="266"/>
      <c r="M370" s="204"/>
      <c r="N370" s="117"/>
      <c r="O370" s="204"/>
      <c r="P370" s="204"/>
      <c r="Q370" s="204"/>
      <c r="R370" s="117"/>
      <c r="S370" s="204"/>
      <c r="T370" s="204"/>
      <c r="U370" s="204"/>
      <c r="V370" s="117"/>
      <c r="W370" s="204"/>
      <c r="X370" s="204"/>
      <c r="Y370" s="204"/>
      <c r="Z370" s="117"/>
      <c r="AA370" s="204"/>
      <c r="AB370" s="204"/>
      <c r="AC370" s="204"/>
      <c r="AD370" s="117"/>
      <c r="AF370" s="204"/>
      <c r="AG370" s="204"/>
      <c r="AH370" s="117"/>
      <c r="AI370" s="32"/>
      <c r="AJ370" s="39"/>
      <c r="AK370" s="25"/>
      <c r="AL370" s="404"/>
    </row>
    <row r="371" spans="1:38" x14ac:dyDescent="0.25">
      <c r="A371" s="194">
        <v>366</v>
      </c>
      <c r="B371" s="11" t="s">
        <v>91</v>
      </c>
      <c r="E371" s="204">
        <f>SUM(E367:E370)</f>
        <v>57063.450000000186</v>
      </c>
      <c r="F371" s="112"/>
      <c r="G371" s="203"/>
      <c r="H371" s="203"/>
      <c r="I371" s="203"/>
      <c r="J371" s="112"/>
      <c r="K371" s="202"/>
      <c r="L371" s="266"/>
      <c r="M371" s="204"/>
      <c r="N371" s="112"/>
      <c r="O371" s="204"/>
      <c r="P371" s="204"/>
      <c r="Q371" s="204"/>
      <c r="R371" s="112"/>
      <c r="S371" s="204"/>
      <c r="T371" s="204"/>
      <c r="U371" s="204"/>
      <c r="V371" s="112"/>
      <c r="W371" s="203"/>
      <c r="X371" s="203"/>
      <c r="Y371" s="203"/>
      <c r="Z371" s="112"/>
      <c r="AA371" s="204"/>
      <c r="AB371" s="204"/>
      <c r="AC371" s="204"/>
      <c r="AD371" s="112"/>
      <c r="AF371" s="203"/>
      <c r="AG371" s="203"/>
      <c r="AH371" s="112"/>
      <c r="AI371" s="32"/>
      <c r="AJ371" s="39"/>
      <c r="AK371" s="25"/>
      <c r="AL371" s="404"/>
    </row>
    <row r="372" spans="1:38" x14ac:dyDescent="0.25">
      <c r="A372" s="194">
        <v>367</v>
      </c>
      <c r="E372" s="204"/>
      <c r="F372" s="117"/>
      <c r="G372" s="204"/>
      <c r="H372" s="204"/>
      <c r="I372" s="204"/>
      <c r="J372" s="117"/>
      <c r="K372" s="202"/>
      <c r="L372" s="266"/>
      <c r="M372" s="204"/>
      <c r="N372" s="117"/>
      <c r="O372" s="204"/>
      <c r="P372" s="204"/>
      <c r="Q372" s="204"/>
      <c r="R372" s="117"/>
      <c r="S372" s="204"/>
      <c r="T372" s="204"/>
      <c r="U372" s="204"/>
      <c r="V372" s="117"/>
      <c r="W372" s="204"/>
      <c r="X372" s="204"/>
      <c r="Y372" s="204"/>
      <c r="Z372" s="117"/>
      <c r="AA372" s="204"/>
      <c r="AB372" s="204"/>
      <c r="AC372" s="204"/>
      <c r="AD372" s="117"/>
      <c r="AF372" s="204"/>
      <c r="AG372" s="204"/>
      <c r="AH372" s="117"/>
      <c r="AI372" s="32"/>
      <c r="AJ372" s="39"/>
      <c r="AK372" s="25"/>
      <c r="AL372" s="404"/>
    </row>
    <row r="373" spans="1:38" x14ac:dyDescent="0.25">
      <c r="A373" s="194">
        <v>368</v>
      </c>
      <c r="B373" s="51" t="str">
        <f>"Total "&amp;LEFT(B352,17)&amp;" Revenue"</f>
        <v>Total Rate Schedule 906 Revenue</v>
      </c>
      <c r="C373" s="208">
        <f>E373-'Revenue Reconcilliation'!Q222</f>
        <v>0</v>
      </c>
      <c r="D373" s="209" t="s">
        <v>45</v>
      </c>
      <c r="E373" s="207">
        <f>SUM(E364,E371)</f>
        <v>672796.02000000014</v>
      </c>
      <c r="F373" s="115"/>
      <c r="G373" s="208"/>
      <c r="H373" s="208"/>
      <c r="I373" s="208"/>
      <c r="J373" s="115"/>
      <c r="K373" s="239"/>
      <c r="L373" s="283"/>
      <c r="M373" s="207"/>
      <c r="N373" s="115"/>
      <c r="O373" s="207"/>
      <c r="P373" s="207"/>
      <c r="Q373" s="207"/>
      <c r="R373" s="115"/>
      <c r="S373" s="207"/>
      <c r="T373" s="207"/>
      <c r="U373" s="207"/>
      <c r="V373" s="115"/>
      <c r="W373" s="208"/>
      <c r="X373" s="208"/>
      <c r="Y373" s="208"/>
      <c r="Z373" s="115"/>
      <c r="AA373" s="207"/>
      <c r="AB373" s="207"/>
      <c r="AC373" s="207"/>
      <c r="AD373" s="115"/>
      <c r="AE373" s="239"/>
      <c r="AF373" s="208"/>
      <c r="AG373" s="208"/>
      <c r="AH373" s="115"/>
      <c r="AI373" s="38"/>
      <c r="AJ373" s="40"/>
      <c r="AK373" s="30"/>
      <c r="AL373" s="404"/>
    </row>
    <row r="374" spans="1:38" x14ac:dyDescent="0.25">
      <c r="A374" s="194">
        <v>369</v>
      </c>
      <c r="K374" s="202"/>
      <c r="L374" s="266"/>
      <c r="M374" s="204"/>
      <c r="O374" s="204"/>
      <c r="P374" s="204"/>
      <c r="Q374" s="204"/>
      <c r="S374" s="204"/>
      <c r="T374" s="204"/>
      <c r="U374" s="204"/>
      <c r="AI374" s="32"/>
      <c r="AJ374" s="39"/>
      <c r="AL374" s="404"/>
    </row>
    <row r="375" spans="1:38" x14ac:dyDescent="0.25">
      <c r="A375" s="194">
        <v>370</v>
      </c>
      <c r="B375" s="18" t="s">
        <v>134</v>
      </c>
      <c r="K375" s="202"/>
      <c r="L375" s="266"/>
      <c r="M375" s="204"/>
      <c r="Q375" s="204"/>
      <c r="U375" s="204"/>
      <c r="AI375" s="32"/>
      <c r="AJ375" s="39"/>
      <c r="AL375" s="404"/>
    </row>
    <row r="376" spans="1:38" x14ac:dyDescent="0.25">
      <c r="A376" s="194">
        <v>371</v>
      </c>
      <c r="B376" s="12" t="s">
        <v>25</v>
      </c>
      <c r="C376" s="202">
        <f t="shared" ref="C376:C382" si="97">E376/D376</f>
        <v>12</v>
      </c>
      <c r="D376" s="203">
        <v>625</v>
      </c>
      <c r="E376" s="204">
        <f>'1501 Summary'!AD263</f>
        <v>7500</v>
      </c>
      <c r="F376" s="112"/>
      <c r="G376" s="203"/>
      <c r="H376" s="203"/>
      <c r="I376" s="203"/>
      <c r="J376" s="112"/>
      <c r="K376" s="202">
        <f t="shared" si="88"/>
        <v>12</v>
      </c>
      <c r="L376" s="203">
        <f t="shared" si="95"/>
        <v>625</v>
      </c>
      <c r="M376" s="204">
        <f>L376*K376</f>
        <v>7500</v>
      </c>
      <c r="N376" s="112"/>
      <c r="O376" s="265"/>
      <c r="P376" s="203"/>
      <c r="Q376" s="204"/>
      <c r="R376" s="112"/>
      <c r="S376" s="265"/>
      <c r="T376" s="203"/>
      <c r="U376" s="204"/>
      <c r="V376" s="112"/>
      <c r="W376" s="203"/>
      <c r="X376" s="203"/>
      <c r="Y376" s="203"/>
      <c r="Z376" s="112"/>
      <c r="AA376" s="216"/>
      <c r="AB376" s="216"/>
      <c r="AC376" s="216"/>
      <c r="AD376" s="112"/>
      <c r="AF376" s="203"/>
      <c r="AG376" s="203"/>
      <c r="AH376" s="112"/>
      <c r="AI376" s="32"/>
      <c r="AJ376" s="39"/>
      <c r="AK376" s="39"/>
      <c r="AL376" s="404"/>
    </row>
    <row r="377" spans="1:38" x14ac:dyDescent="0.25">
      <c r="A377" s="194">
        <v>372</v>
      </c>
      <c r="B377" s="12" t="s">
        <v>157</v>
      </c>
      <c r="C377" s="202">
        <v>0</v>
      </c>
      <c r="D377" s="203">
        <v>0</v>
      </c>
      <c r="E377" s="204">
        <f>'1501 Summary'!AD264</f>
        <v>0</v>
      </c>
      <c r="F377" s="112"/>
      <c r="G377" s="203"/>
      <c r="H377" s="203"/>
      <c r="I377" s="203"/>
      <c r="J377" s="112"/>
      <c r="K377" s="202">
        <f t="shared" si="88"/>
        <v>0</v>
      </c>
      <c r="L377" s="266"/>
      <c r="M377" s="204">
        <f t="shared" ref="M377:M380" si="98">L377*K377</f>
        <v>0</v>
      </c>
      <c r="N377" s="112"/>
      <c r="O377" s="265"/>
      <c r="P377" s="203"/>
      <c r="Q377" s="204"/>
      <c r="R377" s="112"/>
      <c r="S377" s="265"/>
      <c r="T377" s="203"/>
      <c r="U377" s="204"/>
      <c r="V377" s="112"/>
      <c r="W377" s="203"/>
      <c r="X377" s="203"/>
      <c r="Y377" s="203"/>
      <c r="Z377" s="112"/>
      <c r="AA377" s="216"/>
      <c r="AB377" s="216"/>
      <c r="AC377" s="216"/>
      <c r="AD377" s="112"/>
      <c r="AF377" s="203"/>
      <c r="AG377" s="203"/>
      <c r="AH377" s="112"/>
      <c r="AI377" s="32"/>
      <c r="AJ377" s="39"/>
      <c r="AK377" s="39"/>
      <c r="AL377" s="404"/>
    </row>
    <row r="378" spans="1:38" x14ac:dyDescent="0.25">
      <c r="A378" s="194">
        <v>373</v>
      </c>
      <c r="B378" s="12" t="s">
        <v>185</v>
      </c>
      <c r="C378" s="202">
        <f t="shared" si="97"/>
        <v>12</v>
      </c>
      <c r="D378" s="203">
        <v>2000</v>
      </c>
      <c r="E378" s="204">
        <f>'1501 Summary'!AD265</f>
        <v>24000</v>
      </c>
      <c r="F378" s="112"/>
      <c r="G378" s="203"/>
      <c r="H378" s="203"/>
      <c r="I378" s="203"/>
      <c r="J378" s="112"/>
      <c r="K378" s="202">
        <f t="shared" si="88"/>
        <v>12</v>
      </c>
      <c r="L378" s="203">
        <f t="shared" si="95"/>
        <v>2000</v>
      </c>
      <c r="M378" s="204">
        <f t="shared" si="98"/>
        <v>24000</v>
      </c>
      <c r="N378" s="112"/>
      <c r="O378" s="265"/>
      <c r="P378" s="203"/>
      <c r="Q378" s="204"/>
      <c r="R378" s="112"/>
      <c r="S378" s="265"/>
      <c r="T378" s="203"/>
      <c r="U378" s="204"/>
      <c r="V378" s="112"/>
      <c r="W378" s="203"/>
      <c r="X378" s="203"/>
      <c r="Y378" s="203"/>
      <c r="Z378" s="112"/>
      <c r="AA378" s="216"/>
      <c r="AB378" s="216"/>
      <c r="AC378" s="216"/>
      <c r="AD378" s="112"/>
      <c r="AF378" s="203"/>
      <c r="AG378" s="203"/>
      <c r="AH378" s="112"/>
      <c r="AI378" s="32"/>
      <c r="AJ378" s="39"/>
      <c r="AK378" s="39"/>
      <c r="AL378" s="404"/>
    </row>
    <row r="379" spans="1:38" x14ac:dyDescent="0.25">
      <c r="A379" s="194">
        <v>374</v>
      </c>
      <c r="B379" s="12" t="s">
        <v>187</v>
      </c>
      <c r="C379" s="202">
        <f t="shared" si="97"/>
        <v>28347024.999999993</v>
      </c>
      <c r="D379" s="236">
        <v>4.0000000000000002E-4</v>
      </c>
      <c r="E379" s="204">
        <f>'1501 Summary'!AD266</f>
        <v>11338.809999999998</v>
      </c>
      <c r="F379" s="112"/>
      <c r="G379" s="203"/>
      <c r="H379" s="203"/>
      <c r="I379" s="203"/>
      <c r="J379" s="112"/>
      <c r="K379" s="202">
        <f t="shared" si="88"/>
        <v>28347024.999999993</v>
      </c>
      <c r="L379" s="266">
        <f t="shared" si="95"/>
        <v>4.0000000000000002E-4</v>
      </c>
      <c r="M379" s="204">
        <f t="shared" si="98"/>
        <v>11338.809999999998</v>
      </c>
      <c r="N379" s="112"/>
      <c r="O379" s="265"/>
      <c r="P379" s="203"/>
      <c r="Q379" s="204"/>
      <c r="R379" s="112"/>
      <c r="S379" s="265"/>
      <c r="T379" s="203"/>
      <c r="U379" s="204"/>
      <c r="V379" s="112"/>
      <c r="W379" s="203"/>
      <c r="X379" s="203"/>
      <c r="Y379" s="203"/>
      <c r="Z379" s="112"/>
      <c r="AA379" s="216"/>
      <c r="AB379" s="216"/>
      <c r="AC379" s="216"/>
      <c r="AD379" s="112"/>
      <c r="AF379" s="203"/>
      <c r="AG379" s="203"/>
      <c r="AH379" s="112"/>
      <c r="AI379" s="94"/>
      <c r="AJ379" s="39"/>
      <c r="AK379" s="39"/>
      <c r="AL379" s="404"/>
    </row>
    <row r="380" spans="1:38" x14ac:dyDescent="0.25">
      <c r="A380" s="194">
        <v>375</v>
      </c>
      <c r="B380" s="12" t="s">
        <v>194</v>
      </c>
      <c r="C380" s="202">
        <v>0</v>
      </c>
      <c r="D380" s="196">
        <v>0</v>
      </c>
      <c r="E380" s="204">
        <f>'1501 Summary'!AD267</f>
        <v>0</v>
      </c>
      <c r="F380" s="112"/>
      <c r="G380" s="203"/>
      <c r="H380" s="203"/>
      <c r="I380" s="203"/>
      <c r="J380" s="112"/>
      <c r="K380" s="202"/>
      <c r="L380" s="266"/>
      <c r="M380" s="204">
        <f t="shared" si="98"/>
        <v>0</v>
      </c>
      <c r="N380" s="112"/>
      <c r="O380" s="265"/>
      <c r="P380" s="203"/>
      <c r="Q380" s="204"/>
      <c r="R380" s="112"/>
      <c r="S380" s="265"/>
      <c r="T380" s="203"/>
      <c r="U380" s="204"/>
      <c r="V380" s="112"/>
      <c r="W380" s="203"/>
      <c r="X380" s="203"/>
      <c r="Y380" s="203"/>
      <c r="Z380" s="112"/>
      <c r="AA380" s="216"/>
      <c r="AB380" s="216"/>
      <c r="AC380" s="216"/>
      <c r="AD380" s="112"/>
      <c r="AF380" s="203"/>
      <c r="AG380" s="203"/>
      <c r="AH380" s="112"/>
      <c r="AI380" s="94"/>
      <c r="AJ380" s="39"/>
      <c r="AK380" s="39"/>
      <c r="AL380" s="404"/>
    </row>
    <row r="381" spans="1:38" x14ac:dyDescent="0.25">
      <c r="A381" s="194">
        <v>376</v>
      </c>
      <c r="B381" s="190" t="s">
        <v>523</v>
      </c>
      <c r="C381" s="202">
        <f t="shared" si="97"/>
        <v>20390726.458932508</v>
      </c>
      <c r="D381" s="237">
        <v>1.6376700000000001E-2</v>
      </c>
      <c r="E381" s="204">
        <f>SUM('1501 Summary'!G268:W268)</f>
        <v>333932.81</v>
      </c>
      <c r="F381" s="112"/>
      <c r="G381" s="203"/>
      <c r="H381" s="203"/>
      <c r="I381" s="203"/>
      <c r="J381" s="112"/>
      <c r="K381" s="202">
        <f t="shared" si="88"/>
        <v>20390726.458932508</v>
      </c>
      <c r="L381" s="234"/>
      <c r="M381" s="186"/>
      <c r="N381" s="112"/>
      <c r="O381" s="265"/>
      <c r="P381" s="203"/>
      <c r="Q381" s="204"/>
      <c r="R381" s="112"/>
      <c r="S381" s="265"/>
      <c r="T381" s="203"/>
      <c r="U381" s="204"/>
      <c r="V381" s="112"/>
      <c r="W381" s="203"/>
      <c r="X381" s="203"/>
      <c r="Y381" s="203"/>
      <c r="Z381" s="112"/>
      <c r="AA381" s="216"/>
      <c r="AB381" s="216"/>
      <c r="AC381" s="216"/>
      <c r="AD381" s="112"/>
      <c r="AF381" s="203"/>
      <c r="AG381" s="203"/>
      <c r="AH381" s="112"/>
      <c r="AI381" s="94"/>
      <c r="AJ381" s="39"/>
      <c r="AK381" s="39"/>
      <c r="AL381" s="404"/>
    </row>
    <row r="382" spans="1:38" x14ac:dyDescent="0.25">
      <c r="A382" s="194">
        <v>377</v>
      </c>
      <c r="B382" s="54" t="s">
        <v>524</v>
      </c>
      <c r="C382" s="202">
        <f t="shared" si="97"/>
        <v>8004124.7766731614</v>
      </c>
      <c r="D382" s="237">
        <v>1.6063899999999999E-2</v>
      </c>
      <c r="E382" s="207">
        <f>SUM('1501 Summary'!Y268:AC268)</f>
        <v>128577.45999999999</v>
      </c>
      <c r="F382" s="112"/>
      <c r="G382" s="203"/>
      <c r="H382" s="203"/>
      <c r="I382" s="203"/>
      <c r="J382" s="112"/>
      <c r="K382" s="202">
        <f t="shared" si="88"/>
        <v>8004124.7766731614</v>
      </c>
      <c r="L382" s="234">
        <f t="shared" si="95"/>
        <v>1.6063899999999999E-2</v>
      </c>
      <c r="M382" s="207">
        <f>L382*SUM(K382,K381)</f>
        <v>456132.05076364585</v>
      </c>
      <c r="N382" s="112"/>
      <c r="O382" s="265"/>
      <c r="P382" s="203"/>
      <c r="Q382" s="204"/>
      <c r="R382" s="112"/>
      <c r="S382" s="265"/>
      <c r="T382" s="203"/>
      <c r="U382" s="204"/>
      <c r="V382" s="112"/>
      <c r="W382" s="203"/>
      <c r="X382" s="203"/>
      <c r="Y382" s="203"/>
      <c r="Z382" s="112"/>
      <c r="AA382" s="216"/>
      <c r="AB382" s="216"/>
      <c r="AC382" s="216"/>
      <c r="AD382" s="112"/>
      <c r="AF382" s="203"/>
      <c r="AG382" s="203"/>
      <c r="AH382" s="112"/>
      <c r="AI382" s="94"/>
      <c r="AJ382" s="39"/>
      <c r="AK382" s="39"/>
      <c r="AL382" s="404"/>
    </row>
    <row r="383" spans="1:38" x14ac:dyDescent="0.25">
      <c r="A383" s="194">
        <v>378</v>
      </c>
      <c r="B383" s="12" t="s">
        <v>10</v>
      </c>
      <c r="E383" s="204">
        <f>SUM(E376:E382)</f>
        <v>505349.07999999996</v>
      </c>
      <c r="F383" s="112"/>
      <c r="G383" s="203"/>
      <c r="H383" s="203"/>
      <c r="I383" s="203"/>
      <c r="J383" s="112"/>
      <c r="K383" s="202"/>
      <c r="L383" s="266"/>
      <c r="M383" s="204">
        <f>SUM(M376:M382)</f>
        <v>498970.86076364585</v>
      </c>
      <c r="N383" s="112"/>
      <c r="O383" s="203"/>
      <c r="P383" s="203"/>
      <c r="Q383" s="204"/>
      <c r="R383" s="112"/>
      <c r="S383" s="203"/>
      <c r="T383" s="203"/>
      <c r="U383" s="204"/>
      <c r="V383" s="112"/>
      <c r="W383" s="203"/>
      <c r="X383" s="203"/>
      <c r="Y383" s="203"/>
      <c r="Z383" s="112"/>
      <c r="AA383" s="216"/>
      <c r="AB383" s="216"/>
      <c r="AC383" s="216"/>
      <c r="AD383" s="112"/>
      <c r="AF383" s="203"/>
      <c r="AG383" s="203"/>
      <c r="AH383" s="112"/>
      <c r="AI383" s="32"/>
      <c r="AJ383" s="39"/>
      <c r="AK383" s="39"/>
      <c r="AL383" s="404"/>
    </row>
    <row r="384" spans="1:38" x14ac:dyDescent="0.25">
      <c r="A384" s="194">
        <v>379</v>
      </c>
      <c r="E384" s="204"/>
      <c r="F384" s="117"/>
      <c r="G384" s="204"/>
      <c r="H384" s="204"/>
      <c r="I384" s="204"/>
      <c r="J384" s="117"/>
      <c r="K384" s="202"/>
      <c r="L384" s="266"/>
      <c r="M384" s="203"/>
      <c r="N384" s="117"/>
      <c r="O384" s="204"/>
      <c r="P384" s="204"/>
      <c r="Q384" s="204"/>
      <c r="R384" s="117"/>
      <c r="S384" s="204"/>
      <c r="T384" s="204"/>
      <c r="U384" s="204"/>
      <c r="V384" s="117"/>
      <c r="W384" s="204"/>
      <c r="X384" s="204"/>
      <c r="Y384" s="204"/>
      <c r="Z384" s="117"/>
      <c r="AD384" s="117"/>
      <c r="AF384" s="204"/>
      <c r="AG384" s="204"/>
      <c r="AH384" s="117"/>
      <c r="AI384" s="32"/>
      <c r="AJ384" s="39"/>
      <c r="AL384" s="404"/>
    </row>
    <row r="385" spans="1:38" x14ac:dyDescent="0.25">
      <c r="A385" s="194">
        <v>380</v>
      </c>
      <c r="B385" s="12" t="s">
        <v>12</v>
      </c>
      <c r="E385" s="204"/>
      <c r="F385" s="117"/>
      <c r="G385" s="204"/>
      <c r="H385" s="204"/>
      <c r="I385" s="204"/>
      <c r="J385" s="117"/>
      <c r="K385" s="202"/>
      <c r="L385" s="266"/>
      <c r="M385" s="203"/>
      <c r="N385" s="117"/>
      <c r="O385" s="204"/>
      <c r="P385" s="204"/>
      <c r="Q385" s="204"/>
      <c r="R385" s="117"/>
      <c r="S385" s="204"/>
      <c r="T385" s="204"/>
      <c r="U385" s="204"/>
      <c r="V385" s="117"/>
      <c r="W385" s="204"/>
      <c r="X385" s="204"/>
      <c r="Y385" s="204"/>
      <c r="Z385" s="117"/>
      <c r="AD385" s="117"/>
      <c r="AF385" s="204"/>
      <c r="AG385" s="204"/>
      <c r="AH385" s="117"/>
      <c r="AI385" s="32"/>
      <c r="AJ385" s="39"/>
      <c r="AL385" s="404"/>
    </row>
    <row r="386" spans="1:38" x14ac:dyDescent="0.25">
      <c r="A386" s="194">
        <v>381</v>
      </c>
      <c r="B386" s="12" t="s">
        <v>20</v>
      </c>
      <c r="E386" s="204">
        <f>'1501 Summary'!AD269</f>
        <v>22392.03</v>
      </c>
      <c r="F386" s="117"/>
      <c r="G386" s="204"/>
      <c r="H386" s="204"/>
      <c r="I386" s="204"/>
      <c r="J386" s="117"/>
      <c r="K386" s="202"/>
      <c r="L386" s="266"/>
      <c r="M386" s="203"/>
      <c r="N386" s="117"/>
      <c r="O386" s="204"/>
      <c r="P386" s="204"/>
      <c r="Q386" s="204"/>
      <c r="R386" s="117"/>
      <c r="S386" s="204"/>
      <c r="T386" s="204"/>
      <c r="U386" s="204"/>
      <c r="V386" s="117"/>
      <c r="W386" s="204"/>
      <c r="X386" s="204"/>
      <c r="Y386" s="204"/>
      <c r="Z386" s="117"/>
      <c r="AD386" s="117"/>
      <c r="AF386" s="204"/>
      <c r="AG386" s="204"/>
      <c r="AH386" s="117"/>
      <c r="AI386" s="32"/>
      <c r="AJ386" s="39"/>
      <c r="AL386" s="404"/>
    </row>
    <row r="387" spans="1:38" x14ac:dyDescent="0.25">
      <c r="A387" s="194">
        <v>382</v>
      </c>
      <c r="B387" s="12" t="s">
        <v>188</v>
      </c>
      <c r="E387" s="204">
        <f>'1501 Summary'!AD270</f>
        <v>0</v>
      </c>
      <c r="F387" s="117"/>
      <c r="G387" s="204"/>
      <c r="H387" s="204"/>
      <c r="I387" s="204"/>
      <c r="J387" s="117"/>
      <c r="K387" s="202"/>
      <c r="L387" s="266"/>
      <c r="M387" s="203"/>
      <c r="N387" s="117"/>
      <c r="O387" s="204"/>
      <c r="P387" s="204"/>
      <c r="Q387" s="204"/>
      <c r="R387" s="117"/>
      <c r="S387" s="204"/>
      <c r="T387" s="204"/>
      <c r="U387" s="204"/>
      <c r="V387" s="117"/>
      <c r="W387" s="204"/>
      <c r="X387" s="204"/>
      <c r="Y387" s="204"/>
      <c r="Z387" s="117"/>
      <c r="AD387" s="117"/>
      <c r="AF387" s="204"/>
      <c r="AG387" s="204"/>
      <c r="AH387" s="117"/>
      <c r="AI387" s="32"/>
      <c r="AJ387" s="39"/>
      <c r="AL387" s="404"/>
    </row>
    <row r="388" spans="1:38" x14ac:dyDescent="0.25">
      <c r="A388" s="194">
        <v>383</v>
      </c>
      <c r="B388" s="5" t="s">
        <v>53</v>
      </c>
      <c r="E388" s="204">
        <f>'Revenue Reconcilliation'!Q240</f>
        <v>-527741.1100000001</v>
      </c>
      <c r="F388" s="117"/>
      <c r="G388" s="204"/>
      <c r="H388" s="204"/>
      <c r="I388" s="204"/>
      <c r="J388" s="117"/>
      <c r="K388" s="202"/>
      <c r="L388" s="266"/>
      <c r="M388" s="203"/>
      <c r="N388" s="117"/>
      <c r="O388" s="204"/>
      <c r="P388" s="204"/>
      <c r="Q388" s="204"/>
      <c r="R388" s="117"/>
      <c r="S388" s="204"/>
      <c r="T388" s="204"/>
      <c r="U388" s="204"/>
      <c r="V388" s="117"/>
      <c r="W388" s="204"/>
      <c r="X388" s="204"/>
      <c r="Y388" s="204"/>
      <c r="Z388" s="117"/>
      <c r="AA388" s="204"/>
      <c r="AB388" s="204"/>
      <c r="AC388" s="204"/>
      <c r="AD388" s="117"/>
      <c r="AF388" s="204"/>
      <c r="AG388" s="204"/>
      <c r="AH388" s="117"/>
      <c r="AI388" s="32"/>
      <c r="AJ388" s="39"/>
      <c r="AK388" s="25"/>
      <c r="AL388" s="404"/>
    </row>
    <row r="389" spans="1:38" x14ac:dyDescent="0.25">
      <c r="A389" s="194">
        <v>384</v>
      </c>
      <c r="B389" s="5" t="s">
        <v>54</v>
      </c>
      <c r="E389" s="207">
        <f>'Revenue Reconcilliation'!Q241</f>
        <v>561061.27</v>
      </c>
      <c r="F389" s="117"/>
      <c r="G389" s="204"/>
      <c r="H389" s="204"/>
      <c r="I389" s="204"/>
      <c r="J389" s="117"/>
      <c r="K389" s="202"/>
      <c r="L389" s="266"/>
      <c r="M389" s="203"/>
      <c r="N389" s="117"/>
      <c r="O389" s="204"/>
      <c r="P389" s="204"/>
      <c r="Q389" s="204"/>
      <c r="R389" s="117"/>
      <c r="S389" s="204"/>
      <c r="T389" s="204"/>
      <c r="U389" s="204"/>
      <c r="V389" s="117"/>
      <c r="W389" s="204"/>
      <c r="X389" s="204"/>
      <c r="Y389" s="204"/>
      <c r="Z389" s="117"/>
      <c r="AD389" s="117"/>
      <c r="AF389" s="204"/>
      <c r="AG389" s="204"/>
      <c r="AH389" s="117"/>
      <c r="AI389" s="32"/>
      <c r="AJ389" s="39"/>
      <c r="AL389" s="404"/>
    </row>
    <row r="390" spans="1:38" x14ac:dyDescent="0.25">
      <c r="A390" s="194">
        <v>385</v>
      </c>
      <c r="B390" s="11" t="s">
        <v>91</v>
      </c>
      <c r="E390" s="204">
        <f>SUM(E386:E389)</f>
        <v>55712.189999999944</v>
      </c>
      <c r="F390" s="117"/>
      <c r="G390" s="204"/>
      <c r="H390" s="204"/>
      <c r="I390" s="204"/>
      <c r="J390" s="117"/>
      <c r="K390" s="202"/>
      <c r="L390" s="266"/>
      <c r="M390" s="203"/>
      <c r="N390" s="117"/>
      <c r="O390" s="204"/>
      <c r="P390" s="204"/>
      <c r="Q390" s="204"/>
      <c r="R390" s="117"/>
      <c r="S390" s="204"/>
      <c r="T390" s="204"/>
      <c r="U390" s="204"/>
      <c r="V390" s="117"/>
      <c r="W390" s="204"/>
      <c r="X390" s="204"/>
      <c r="Y390" s="204"/>
      <c r="Z390" s="117"/>
      <c r="AA390" s="204"/>
      <c r="AB390" s="204"/>
      <c r="AC390" s="204"/>
      <c r="AD390" s="117"/>
      <c r="AF390" s="204"/>
      <c r="AG390" s="204"/>
      <c r="AH390" s="117"/>
      <c r="AI390" s="32"/>
      <c r="AJ390" s="39"/>
      <c r="AK390" s="25"/>
      <c r="AL390" s="404"/>
    </row>
    <row r="391" spans="1:38" x14ac:dyDescent="0.25">
      <c r="A391" s="194">
        <v>386</v>
      </c>
      <c r="D391" s="211"/>
      <c r="E391" s="212"/>
      <c r="F391" s="116"/>
      <c r="G391" s="212"/>
      <c r="H391" s="212"/>
      <c r="I391" s="212"/>
      <c r="J391" s="116"/>
      <c r="K391" s="202"/>
      <c r="L391" s="266"/>
      <c r="M391" s="203"/>
      <c r="N391" s="116"/>
      <c r="O391" s="204"/>
      <c r="P391" s="204"/>
      <c r="Q391" s="204"/>
      <c r="R391" s="116"/>
      <c r="S391" s="204"/>
      <c r="T391" s="204"/>
      <c r="U391" s="204"/>
      <c r="V391" s="116"/>
      <c r="W391" s="212"/>
      <c r="X391" s="212"/>
      <c r="Y391" s="212"/>
      <c r="Z391" s="116"/>
      <c r="AD391" s="116"/>
      <c r="AF391" s="212"/>
      <c r="AG391" s="212"/>
      <c r="AH391" s="116"/>
      <c r="AI391" s="32"/>
      <c r="AJ391" s="39"/>
      <c r="AL391" s="404"/>
    </row>
    <row r="392" spans="1:38" x14ac:dyDescent="0.25">
      <c r="A392" s="194">
        <v>387</v>
      </c>
      <c r="B392" s="51" t="str">
        <f>"Total "&amp;LEFT(B375,17)&amp;" Revenue"</f>
        <v>Total Rate Schedule 909 Revenue</v>
      </c>
      <c r="C392" s="208">
        <f>E392-'Revenue Reconcilliation'!Q242</f>
        <v>0</v>
      </c>
      <c r="D392" s="209" t="s">
        <v>45</v>
      </c>
      <c r="E392" s="215">
        <f>SUM(E383,E390)</f>
        <v>561061.2699999999</v>
      </c>
      <c r="F392" s="126"/>
      <c r="G392" s="277"/>
      <c r="H392" s="277"/>
      <c r="I392" s="277"/>
      <c r="J392" s="126"/>
      <c r="K392" s="239"/>
      <c r="L392" s="283"/>
      <c r="M392" s="208"/>
      <c r="N392" s="126"/>
      <c r="O392" s="207"/>
      <c r="P392" s="207"/>
      <c r="Q392" s="207"/>
      <c r="R392" s="126"/>
      <c r="S392" s="207"/>
      <c r="T392" s="207"/>
      <c r="U392" s="207"/>
      <c r="V392" s="126"/>
      <c r="W392" s="277"/>
      <c r="X392" s="277"/>
      <c r="Y392" s="277"/>
      <c r="Z392" s="126"/>
      <c r="AA392" s="209"/>
      <c r="AB392" s="209"/>
      <c r="AC392" s="209"/>
      <c r="AD392" s="126"/>
      <c r="AE392" s="239"/>
      <c r="AF392" s="277"/>
      <c r="AG392" s="277"/>
      <c r="AH392" s="126"/>
      <c r="AI392" s="38"/>
      <c r="AJ392" s="40"/>
      <c r="AK392" s="52"/>
      <c r="AL392" s="404"/>
    </row>
    <row r="393" spans="1:38" x14ac:dyDescent="0.25">
      <c r="A393" s="194">
        <v>388</v>
      </c>
      <c r="D393" s="211"/>
      <c r="E393" s="212"/>
      <c r="F393" s="116"/>
      <c r="G393" s="212"/>
      <c r="H393" s="212"/>
      <c r="I393" s="212"/>
      <c r="J393" s="116"/>
      <c r="K393" s="202"/>
      <c r="L393" s="266"/>
      <c r="M393" s="203"/>
      <c r="N393" s="116"/>
      <c r="O393" s="204"/>
      <c r="P393" s="204"/>
      <c r="Q393" s="204"/>
      <c r="R393" s="116"/>
      <c r="S393" s="204"/>
      <c r="T393" s="204"/>
      <c r="U393" s="204"/>
      <c r="V393" s="116"/>
      <c r="W393" s="212"/>
      <c r="X393" s="212"/>
      <c r="Y393" s="212"/>
      <c r="Z393" s="116"/>
      <c r="AD393" s="116"/>
      <c r="AF393" s="212"/>
      <c r="AG393" s="212"/>
      <c r="AH393" s="116"/>
      <c r="AI393" s="32"/>
      <c r="AJ393" s="39"/>
      <c r="AL393" s="404"/>
    </row>
    <row r="394" spans="1:38" x14ac:dyDescent="0.25">
      <c r="A394" s="194">
        <v>389</v>
      </c>
      <c r="B394" s="18" t="s">
        <v>135</v>
      </c>
      <c r="K394" s="202"/>
      <c r="L394" s="266"/>
      <c r="M394" s="203"/>
      <c r="O394" s="204"/>
      <c r="P394" s="204"/>
      <c r="Q394" s="204"/>
      <c r="S394" s="204"/>
      <c r="T394" s="204"/>
      <c r="U394" s="204"/>
      <c r="AI394" s="32"/>
      <c r="AJ394" s="39"/>
      <c r="AL394" s="404"/>
    </row>
    <row r="395" spans="1:38" x14ac:dyDescent="0.25">
      <c r="A395" s="194">
        <v>390</v>
      </c>
      <c r="B395" s="12" t="s">
        <v>25</v>
      </c>
      <c r="C395" s="196">
        <f t="shared" ref="C395:C399" si="99">E395/D395</f>
        <v>12</v>
      </c>
      <c r="D395" s="196">
        <v>625</v>
      </c>
      <c r="E395" s="224">
        <f>'1501 Summary'!AD277</f>
        <v>7500</v>
      </c>
      <c r="F395" s="123"/>
      <c r="G395" s="255"/>
      <c r="H395" s="255"/>
      <c r="I395" s="255"/>
      <c r="J395" s="123"/>
      <c r="K395" s="275">
        <f t="shared" ref="K395:K398" si="100">C395+G395</f>
        <v>12</v>
      </c>
      <c r="L395" s="184">
        <f t="shared" ref="L395:L397" si="101">D395</f>
        <v>625</v>
      </c>
      <c r="M395" s="186">
        <f t="shared" ref="M395:M397" si="102">L395*K395</f>
        <v>7500</v>
      </c>
      <c r="N395" s="123"/>
      <c r="O395" s="265"/>
      <c r="P395" s="250"/>
      <c r="Q395" s="204"/>
      <c r="R395" s="123"/>
      <c r="S395" s="265"/>
      <c r="T395" s="250"/>
      <c r="U395" s="204"/>
      <c r="V395" s="123"/>
      <c r="W395" s="255"/>
      <c r="X395" s="255"/>
      <c r="Y395" s="255"/>
      <c r="Z395" s="123"/>
      <c r="AA395" s="216"/>
      <c r="AB395" s="216"/>
      <c r="AC395" s="216"/>
      <c r="AD395" s="123"/>
      <c r="AF395" s="255"/>
      <c r="AG395" s="255"/>
      <c r="AH395" s="123"/>
      <c r="AI395" s="32"/>
      <c r="AJ395" s="39"/>
      <c r="AK395" s="39"/>
      <c r="AL395" s="404"/>
    </row>
    <row r="396" spans="1:38" x14ac:dyDescent="0.25">
      <c r="A396" s="194">
        <v>391</v>
      </c>
      <c r="B396" s="12" t="s">
        <v>185</v>
      </c>
      <c r="C396" s="196">
        <f t="shared" si="99"/>
        <v>12</v>
      </c>
      <c r="D396" s="203">
        <v>2250</v>
      </c>
      <c r="E396" s="224">
        <f>'1501 Summary'!AD278</f>
        <v>27000</v>
      </c>
      <c r="F396" s="123"/>
      <c r="G396" s="255"/>
      <c r="H396" s="255"/>
      <c r="I396" s="255"/>
      <c r="J396" s="123"/>
      <c r="K396" s="275">
        <f t="shared" si="100"/>
        <v>12</v>
      </c>
      <c r="L396" s="184">
        <f t="shared" si="101"/>
        <v>2250</v>
      </c>
      <c r="M396" s="186">
        <f t="shared" si="102"/>
        <v>27000</v>
      </c>
      <c r="N396" s="123"/>
      <c r="O396" s="265"/>
      <c r="P396" s="250"/>
      <c r="Q396" s="204"/>
      <c r="R396" s="123"/>
      <c r="S396" s="265"/>
      <c r="T396" s="250"/>
      <c r="U396" s="204"/>
      <c r="V396" s="123"/>
      <c r="W396" s="255"/>
      <c r="X396" s="255"/>
      <c r="Y396" s="255"/>
      <c r="Z396" s="123"/>
      <c r="AA396" s="216"/>
      <c r="AB396" s="216"/>
      <c r="AC396" s="216"/>
      <c r="AD396" s="123"/>
      <c r="AF396" s="255"/>
      <c r="AG396" s="255"/>
      <c r="AH396" s="123"/>
      <c r="AI396" s="32"/>
      <c r="AJ396" s="39"/>
      <c r="AK396" s="39"/>
      <c r="AL396" s="404"/>
    </row>
    <row r="397" spans="1:38" x14ac:dyDescent="0.25">
      <c r="A397" s="194">
        <v>392</v>
      </c>
      <c r="B397" s="12" t="s">
        <v>158</v>
      </c>
      <c r="C397" s="202">
        <f t="shared" si="99"/>
        <v>8699850.0000000019</v>
      </c>
      <c r="D397" s="238">
        <v>4.0000000000000002E-4</v>
      </c>
      <c r="E397" s="224">
        <f>'1501 Summary'!AD279</f>
        <v>3479.940000000001</v>
      </c>
      <c r="F397" s="123"/>
      <c r="G397" s="255"/>
      <c r="H397" s="255"/>
      <c r="I397" s="255"/>
      <c r="J397" s="123"/>
      <c r="K397" s="275">
        <f t="shared" si="100"/>
        <v>8699850.0000000019</v>
      </c>
      <c r="L397" s="284">
        <f t="shared" si="101"/>
        <v>4.0000000000000002E-4</v>
      </c>
      <c r="M397" s="186">
        <f t="shared" si="102"/>
        <v>3479.940000000001</v>
      </c>
      <c r="N397" s="123"/>
      <c r="O397" s="265"/>
      <c r="P397" s="250"/>
      <c r="Q397" s="204"/>
      <c r="R397" s="123"/>
      <c r="S397" s="265"/>
      <c r="T397" s="250"/>
      <c r="U397" s="204"/>
      <c r="V397" s="123"/>
      <c r="W397" s="255"/>
      <c r="X397" s="255"/>
      <c r="Y397" s="255"/>
      <c r="Z397" s="123"/>
      <c r="AA397" s="216"/>
      <c r="AB397" s="216"/>
      <c r="AC397" s="216"/>
      <c r="AD397" s="123"/>
      <c r="AF397" s="255"/>
      <c r="AG397" s="255"/>
      <c r="AH397" s="123"/>
      <c r="AI397" s="94"/>
      <c r="AJ397" s="39"/>
      <c r="AK397" s="39"/>
      <c r="AL397" s="404"/>
    </row>
    <row r="398" spans="1:38" x14ac:dyDescent="0.25">
      <c r="A398" s="194">
        <v>393</v>
      </c>
      <c r="B398" s="12" t="s">
        <v>525</v>
      </c>
      <c r="C398" s="202">
        <f t="shared" si="99"/>
        <v>6453070.7846266665</v>
      </c>
      <c r="D398" s="234">
        <v>1.1591499999999999E-2</v>
      </c>
      <c r="E398" s="224">
        <f>SUM('1501 Summary'!G280:W280)</f>
        <v>74800.77</v>
      </c>
      <c r="F398" s="123"/>
      <c r="G398" s="255"/>
      <c r="H398" s="255"/>
      <c r="I398" s="255"/>
      <c r="J398" s="123"/>
      <c r="K398" s="275">
        <f t="shared" si="100"/>
        <v>6453070.7846266665</v>
      </c>
      <c r="L398" s="284"/>
      <c r="M398" s="186"/>
      <c r="N398" s="123"/>
      <c r="O398" s="265"/>
      <c r="P398" s="250"/>
      <c r="Q398" s="204"/>
      <c r="R398" s="123"/>
      <c r="S398" s="265"/>
      <c r="T398" s="250"/>
      <c r="U398" s="204"/>
      <c r="V398" s="123"/>
      <c r="W398" s="255"/>
      <c r="X398" s="255"/>
      <c r="Y398" s="255"/>
      <c r="Z398" s="123"/>
      <c r="AA398" s="216"/>
      <c r="AB398" s="216"/>
      <c r="AC398" s="216"/>
      <c r="AD398" s="123"/>
      <c r="AF398" s="255"/>
      <c r="AG398" s="255"/>
      <c r="AH398" s="123"/>
      <c r="AI398" s="94"/>
      <c r="AJ398" s="39"/>
      <c r="AK398" s="39"/>
      <c r="AL398" s="404"/>
    </row>
    <row r="399" spans="1:38" x14ac:dyDescent="0.25">
      <c r="A399" s="194">
        <v>394</v>
      </c>
      <c r="B399" s="12" t="s">
        <v>526</v>
      </c>
      <c r="C399" s="202">
        <f t="shared" si="99"/>
        <v>2235713.6792052309</v>
      </c>
      <c r="D399" s="234">
        <v>1.1776999999999999E-2</v>
      </c>
      <c r="E399" s="224">
        <f>SUM('1501 Summary'!Y280:AC280)</f>
        <v>26330</v>
      </c>
      <c r="F399" s="123"/>
      <c r="G399" s="255"/>
      <c r="H399" s="255"/>
      <c r="I399" s="255"/>
      <c r="J399" s="123"/>
      <c r="K399" s="275">
        <f t="shared" ref="K399:K400" si="103">C399+G399</f>
        <v>2235713.6792052309</v>
      </c>
      <c r="L399" s="284">
        <f t="shared" ref="L399:L400" si="104">D399</f>
        <v>1.1776999999999999E-2</v>
      </c>
      <c r="M399" s="186">
        <f>L399*SUM(K399,K398)</f>
        <v>102327.81463054825</v>
      </c>
      <c r="N399" s="123"/>
      <c r="O399" s="265"/>
      <c r="P399" s="250"/>
      <c r="Q399" s="204"/>
      <c r="R399" s="123"/>
      <c r="S399" s="265"/>
      <c r="T399" s="250"/>
      <c r="U399" s="204"/>
      <c r="V399" s="123"/>
      <c r="W399" s="255"/>
      <c r="X399" s="255"/>
      <c r="Y399" s="255"/>
      <c r="Z399" s="123"/>
      <c r="AA399" s="216"/>
      <c r="AB399" s="216"/>
      <c r="AC399" s="216"/>
      <c r="AD399" s="123"/>
      <c r="AF399" s="255"/>
      <c r="AG399" s="255"/>
      <c r="AH399" s="123"/>
      <c r="AI399" s="94"/>
      <c r="AJ399" s="39"/>
      <c r="AK399" s="39"/>
      <c r="AL399" s="404"/>
    </row>
    <row r="400" spans="1:38" x14ac:dyDescent="0.25">
      <c r="A400" s="194">
        <v>395</v>
      </c>
      <c r="B400" s="12" t="s">
        <v>194</v>
      </c>
      <c r="C400" s="202">
        <v>0</v>
      </c>
      <c r="D400" s="203">
        <v>0</v>
      </c>
      <c r="E400" s="228">
        <f>'1501 Summary'!AD281</f>
        <v>0</v>
      </c>
      <c r="F400" s="123"/>
      <c r="G400" s="255"/>
      <c r="H400" s="255"/>
      <c r="I400" s="255"/>
      <c r="J400" s="123"/>
      <c r="K400" s="275">
        <f t="shared" si="103"/>
        <v>0</v>
      </c>
      <c r="L400" s="284">
        <f t="shared" si="104"/>
        <v>0</v>
      </c>
      <c r="M400" s="207">
        <f t="shared" ref="M400" si="105">L400*K400</f>
        <v>0</v>
      </c>
      <c r="N400" s="123"/>
      <c r="O400" s="265"/>
      <c r="P400" s="250"/>
      <c r="Q400" s="204"/>
      <c r="R400" s="123"/>
      <c r="S400" s="265"/>
      <c r="T400" s="250"/>
      <c r="U400" s="204"/>
      <c r="V400" s="123"/>
      <c r="W400" s="255"/>
      <c r="X400" s="255"/>
      <c r="Y400" s="255"/>
      <c r="Z400" s="123"/>
      <c r="AA400" s="216"/>
      <c r="AB400" s="216"/>
      <c r="AC400" s="216"/>
      <c r="AD400" s="123"/>
      <c r="AF400" s="255"/>
      <c r="AG400" s="255"/>
      <c r="AH400" s="123"/>
      <c r="AI400" s="94"/>
      <c r="AJ400" s="39"/>
      <c r="AK400" s="39"/>
      <c r="AL400" s="404"/>
    </row>
    <row r="401" spans="1:38" x14ac:dyDescent="0.25">
      <c r="A401" s="194">
        <v>396</v>
      </c>
      <c r="B401" s="12" t="s">
        <v>10</v>
      </c>
      <c r="E401" s="224">
        <f>SUM(E395:E400)</f>
        <v>139110.71000000002</v>
      </c>
      <c r="F401" s="123"/>
      <c r="G401" s="255"/>
      <c r="H401" s="255"/>
      <c r="I401" s="255"/>
      <c r="J401" s="123"/>
      <c r="K401" s="202"/>
      <c r="L401" s="266"/>
      <c r="M401" s="204">
        <f>SUM(M395:M400)</f>
        <v>140307.75463054824</v>
      </c>
      <c r="N401" s="123"/>
      <c r="O401" s="265"/>
      <c r="P401" s="250"/>
      <c r="Q401" s="204"/>
      <c r="R401" s="123"/>
      <c r="S401" s="265"/>
      <c r="T401" s="250"/>
      <c r="U401" s="204"/>
      <c r="V401" s="123"/>
      <c r="W401" s="255"/>
      <c r="X401" s="255"/>
      <c r="Y401" s="255"/>
      <c r="Z401" s="123"/>
      <c r="AA401" s="216"/>
      <c r="AB401" s="216"/>
      <c r="AC401" s="216"/>
      <c r="AD401" s="123"/>
      <c r="AF401" s="255"/>
      <c r="AG401" s="255"/>
      <c r="AH401" s="123"/>
      <c r="AI401" s="32"/>
      <c r="AJ401" s="39"/>
      <c r="AK401" s="39"/>
      <c r="AL401" s="404"/>
    </row>
    <row r="402" spans="1:38" x14ac:dyDescent="0.25">
      <c r="A402" s="194">
        <v>397</v>
      </c>
      <c r="B402" s="11"/>
      <c r="E402" s="224"/>
      <c r="K402" s="202"/>
      <c r="L402" s="266"/>
      <c r="M402" s="204"/>
      <c r="O402" s="204"/>
      <c r="P402" s="204"/>
      <c r="Q402" s="204"/>
      <c r="S402" s="204"/>
      <c r="T402" s="204"/>
      <c r="U402" s="204"/>
      <c r="AI402" s="32"/>
      <c r="AJ402" s="39"/>
      <c r="AL402" s="404"/>
    </row>
    <row r="403" spans="1:38" x14ac:dyDescent="0.25">
      <c r="A403" s="194">
        <v>398</v>
      </c>
      <c r="B403" s="12" t="s">
        <v>12</v>
      </c>
      <c r="E403" s="224"/>
      <c r="K403" s="202"/>
      <c r="L403" s="266"/>
      <c r="M403" s="204"/>
      <c r="O403" s="204"/>
      <c r="P403" s="204"/>
      <c r="Q403" s="204"/>
      <c r="S403" s="204"/>
      <c r="T403" s="204"/>
      <c r="U403" s="204"/>
      <c r="AI403" s="32"/>
      <c r="AJ403" s="39"/>
      <c r="AL403" s="404"/>
    </row>
    <row r="404" spans="1:38" x14ac:dyDescent="0.25">
      <c r="A404" s="194">
        <v>399</v>
      </c>
      <c r="B404" s="12" t="s">
        <v>20</v>
      </c>
      <c r="E404" s="224">
        <f>'1501 Summary'!AD283</f>
        <v>6164</v>
      </c>
      <c r="F404" s="113"/>
      <c r="G404" s="250"/>
      <c r="H404" s="250"/>
      <c r="I404" s="250"/>
      <c r="J404" s="113"/>
      <c r="K404" s="202"/>
      <c r="L404" s="266"/>
      <c r="M404" s="204"/>
      <c r="N404" s="113"/>
      <c r="O404" s="204"/>
      <c r="P404" s="204"/>
      <c r="Q404" s="204"/>
      <c r="R404" s="113"/>
      <c r="S404" s="204"/>
      <c r="T404" s="204"/>
      <c r="U404" s="204"/>
      <c r="V404" s="113"/>
      <c r="W404" s="250"/>
      <c r="X404" s="250"/>
      <c r="Y404" s="250"/>
      <c r="Z404" s="113"/>
      <c r="AD404" s="113"/>
      <c r="AF404" s="250"/>
      <c r="AG404" s="250"/>
      <c r="AH404" s="113"/>
      <c r="AI404" s="32"/>
      <c r="AJ404" s="39"/>
      <c r="AL404" s="404"/>
    </row>
    <row r="405" spans="1:38" x14ac:dyDescent="0.25">
      <c r="A405" s="194">
        <v>400</v>
      </c>
      <c r="B405" s="12" t="s">
        <v>188</v>
      </c>
      <c r="E405" s="224">
        <f>'1501 Summary'!AD284</f>
        <v>0</v>
      </c>
      <c r="F405" s="113"/>
      <c r="G405" s="250"/>
      <c r="H405" s="250"/>
      <c r="I405" s="250"/>
      <c r="J405" s="113"/>
      <c r="K405" s="202"/>
      <c r="L405" s="266"/>
      <c r="M405" s="204"/>
      <c r="N405" s="113"/>
      <c r="O405" s="204"/>
      <c r="P405" s="204"/>
      <c r="Q405" s="204"/>
      <c r="R405" s="113"/>
      <c r="S405" s="204"/>
      <c r="T405" s="204"/>
      <c r="U405" s="204"/>
      <c r="V405" s="113"/>
      <c r="W405" s="250"/>
      <c r="X405" s="250"/>
      <c r="Y405" s="250"/>
      <c r="Z405" s="113"/>
      <c r="AD405" s="113"/>
      <c r="AF405" s="250"/>
      <c r="AG405" s="250"/>
      <c r="AH405" s="113"/>
      <c r="AI405" s="32"/>
      <c r="AJ405" s="39"/>
      <c r="AL405" s="404"/>
    </row>
    <row r="406" spans="1:38" x14ac:dyDescent="0.25">
      <c r="A406" s="194">
        <v>401</v>
      </c>
      <c r="B406" s="5" t="s">
        <v>53</v>
      </c>
      <c r="E406" s="224">
        <f>'Revenue Reconcilliation'!Q260</f>
        <v>-145274.71</v>
      </c>
      <c r="F406" s="113"/>
      <c r="G406" s="250"/>
      <c r="H406" s="250"/>
      <c r="I406" s="250"/>
      <c r="J406" s="113"/>
      <c r="K406" s="202"/>
      <c r="L406" s="266"/>
      <c r="M406" s="204"/>
      <c r="N406" s="113"/>
      <c r="O406" s="204"/>
      <c r="P406" s="204"/>
      <c r="Q406" s="204"/>
      <c r="R406" s="113"/>
      <c r="S406" s="204"/>
      <c r="T406" s="204"/>
      <c r="U406" s="204"/>
      <c r="V406" s="113"/>
      <c r="W406" s="250"/>
      <c r="X406" s="250"/>
      <c r="Y406" s="250"/>
      <c r="Z406" s="113"/>
      <c r="AD406" s="113"/>
      <c r="AF406" s="250"/>
      <c r="AG406" s="250"/>
      <c r="AH406" s="113"/>
      <c r="AI406" s="32"/>
      <c r="AJ406" s="39"/>
      <c r="AL406" s="404"/>
    </row>
    <row r="407" spans="1:38" x14ac:dyDescent="0.25">
      <c r="A407" s="194">
        <v>402</v>
      </c>
      <c r="B407" s="5" t="s">
        <v>54</v>
      </c>
      <c r="E407" s="228">
        <f>'Revenue Reconcilliation'!Q261</f>
        <v>145569.97999999998</v>
      </c>
      <c r="F407" s="113"/>
      <c r="G407" s="250"/>
      <c r="H407" s="250"/>
      <c r="I407" s="250"/>
      <c r="J407" s="113"/>
      <c r="K407" s="202"/>
      <c r="L407" s="266"/>
      <c r="M407" s="204"/>
      <c r="N407" s="113"/>
      <c r="O407" s="204"/>
      <c r="P407" s="204"/>
      <c r="Q407" s="204"/>
      <c r="R407" s="113"/>
      <c r="S407" s="204"/>
      <c r="T407" s="204"/>
      <c r="U407" s="204"/>
      <c r="V407" s="113"/>
      <c r="W407" s="250"/>
      <c r="X407" s="250"/>
      <c r="Y407" s="250"/>
      <c r="Z407" s="113"/>
      <c r="AD407" s="113"/>
      <c r="AF407" s="250"/>
      <c r="AG407" s="250"/>
      <c r="AH407" s="113"/>
      <c r="AI407" s="32"/>
      <c r="AJ407" s="39"/>
      <c r="AL407" s="404"/>
    </row>
    <row r="408" spans="1:38" x14ac:dyDescent="0.25">
      <c r="A408" s="194">
        <v>403</v>
      </c>
      <c r="B408" s="11" t="s">
        <v>91</v>
      </c>
      <c r="E408" s="224">
        <f>SUM(E404:E407)</f>
        <v>6459.2699999999895</v>
      </c>
      <c r="F408" s="112"/>
      <c r="G408" s="203"/>
      <c r="H408" s="203"/>
      <c r="I408" s="203"/>
      <c r="J408" s="112"/>
      <c r="K408" s="202"/>
      <c r="L408" s="266"/>
      <c r="M408" s="204"/>
      <c r="N408" s="112"/>
      <c r="O408" s="204"/>
      <c r="P408" s="204"/>
      <c r="Q408" s="204"/>
      <c r="R408" s="112"/>
      <c r="S408" s="204"/>
      <c r="T408" s="204"/>
      <c r="U408" s="204"/>
      <c r="V408" s="112"/>
      <c r="W408" s="203"/>
      <c r="X408" s="203"/>
      <c r="Y408" s="203"/>
      <c r="Z408" s="112"/>
      <c r="AD408" s="112"/>
      <c r="AF408" s="203"/>
      <c r="AG408" s="203"/>
      <c r="AH408" s="112"/>
      <c r="AI408" s="32"/>
      <c r="AJ408" s="39"/>
      <c r="AL408" s="404"/>
    </row>
    <row r="409" spans="1:38" x14ac:dyDescent="0.25">
      <c r="A409" s="194">
        <v>404</v>
      </c>
      <c r="B409" s="11"/>
      <c r="E409" s="224"/>
      <c r="F409" s="117"/>
      <c r="G409" s="204"/>
      <c r="H409" s="204"/>
      <c r="I409" s="204"/>
      <c r="J409" s="117"/>
      <c r="K409" s="202"/>
      <c r="L409" s="266"/>
      <c r="M409" s="204"/>
      <c r="N409" s="117"/>
      <c r="O409" s="204"/>
      <c r="P409" s="204"/>
      <c r="Q409" s="204"/>
      <c r="R409" s="117"/>
      <c r="S409" s="204"/>
      <c r="T409" s="204"/>
      <c r="U409" s="204"/>
      <c r="V409" s="117"/>
      <c r="W409" s="204"/>
      <c r="X409" s="204"/>
      <c r="Y409" s="204"/>
      <c r="Z409" s="117"/>
      <c r="AD409" s="117"/>
      <c r="AF409" s="204"/>
      <c r="AG409" s="204"/>
      <c r="AH409" s="117"/>
      <c r="AI409" s="32"/>
      <c r="AJ409" s="39"/>
      <c r="AL409" s="404"/>
    </row>
    <row r="410" spans="1:38" x14ac:dyDescent="0.25">
      <c r="A410" s="194">
        <v>405</v>
      </c>
      <c r="B410" s="51" t="s">
        <v>136</v>
      </c>
      <c r="C410" s="208">
        <f>E410-'Revenue Reconcilliation'!Q262</f>
        <v>0</v>
      </c>
      <c r="D410" s="209" t="s">
        <v>45</v>
      </c>
      <c r="E410" s="228">
        <f>SUM(E401,E408)</f>
        <v>145569.98000000001</v>
      </c>
      <c r="F410" s="115"/>
      <c r="G410" s="208"/>
      <c r="H410" s="208"/>
      <c r="I410" s="208"/>
      <c r="J410" s="115"/>
      <c r="K410" s="239"/>
      <c r="L410" s="283"/>
      <c r="M410" s="207"/>
      <c r="N410" s="115"/>
      <c r="O410" s="207"/>
      <c r="P410" s="207"/>
      <c r="Q410" s="207"/>
      <c r="R410" s="115"/>
      <c r="S410" s="207"/>
      <c r="T410" s="207"/>
      <c r="U410" s="207"/>
      <c r="V410" s="115"/>
      <c r="W410" s="208"/>
      <c r="X410" s="208"/>
      <c r="Y410" s="208"/>
      <c r="Z410" s="115"/>
      <c r="AA410" s="207"/>
      <c r="AB410" s="207"/>
      <c r="AC410" s="207"/>
      <c r="AD410" s="115"/>
      <c r="AE410" s="239"/>
      <c r="AF410" s="208"/>
      <c r="AG410" s="208"/>
      <c r="AH410" s="115"/>
      <c r="AI410" s="38"/>
      <c r="AJ410" s="40"/>
      <c r="AK410" s="30"/>
      <c r="AL410" s="404"/>
    </row>
    <row r="411" spans="1:38" x14ac:dyDescent="0.25">
      <c r="A411" s="194">
        <v>406</v>
      </c>
      <c r="K411" s="202"/>
      <c r="L411" s="266"/>
      <c r="M411" s="204"/>
      <c r="O411" s="204"/>
      <c r="P411" s="204"/>
      <c r="Q411" s="204"/>
      <c r="S411" s="204"/>
      <c r="T411" s="204"/>
      <c r="U411" s="204"/>
      <c r="AI411" s="32"/>
      <c r="AJ411" s="39"/>
      <c r="AL411" s="404"/>
    </row>
    <row r="412" spans="1:38" x14ac:dyDescent="0.25">
      <c r="A412" s="194">
        <v>407</v>
      </c>
      <c r="B412" s="18" t="s">
        <v>137</v>
      </c>
      <c r="E412" s="204"/>
      <c r="F412" s="117"/>
      <c r="G412" s="204"/>
      <c r="H412" s="204"/>
      <c r="I412" s="204"/>
      <c r="J412" s="117"/>
      <c r="K412" s="202"/>
      <c r="L412" s="266"/>
      <c r="M412" s="204"/>
      <c r="N412" s="117"/>
      <c r="O412" s="204"/>
      <c r="P412" s="204"/>
      <c r="Q412" s="204"/>
      <c r="R412" s="117"/>
      <c r="S412" s="204"/>
      <c r="T412" s="204"/>
      <c r="U412" s="204"/>
      <c r="V412" s="117"/>
      <c r="W412" s="204"/>
      <c r="X412" s="204"/>
      <c r="Y412" s="204"/>
      <c r="Z412" s="117"/>
      <c r="AA412" s="204"/>
      <c r="AB412" s="204"/>
      <c r="AC412" s="204"/>
      <c r="AD412" s="117"/>
      <c r="AF412" s="204"/>
      <c r="AG412" s="204"/>
      <c r="AH412" s="117"/>
      <c r="AI412" s="32"/>
      <c r="AJ412" s="39"/>
      <c r="AK412" s="25"/>
      <c r="AL412" s="404"/>
    </row>
    <row r="413" spans="1:38" x14ac:dyDescent="0.25">
      <c r="A413" s="194">
        <v>408</v>
      </c>
      <c r="B413" s="12" t="s">
        <v>25</v>
      </c>
      <c r="C413" s="196">
        <f t="shared" ref="C413:C419" si="106">E413/D413</f>
        <v>12</v>
      </c>
      <c r="D413" s="232">
        <v>625</v>
      </c>
      <c r="E413" s="202">
        <f>'1501 Summary'!AD291</f>
        <v>7500</v>
      </c>
      <c r="F413" s="116"/>
      <c r="G413" s="212"/>
      <c r="H413" s="212"/>
      <c r="I413" s="212"/>
      <c r="J413" s="116"/>
      <c r="K413" s="202">
        <f t="shared" ref="K413:K438" si="107">C413+G413</f>
        <v>12</v>
      </c>
      <c r="L413" s="203">
        <f t="shared" si="95"/>
        <v>625</v>
      </c>
      <c r="M413" s="204">
        <f>L413*K413</f>
        <v>7500</v>
      </c>
      <c r="N413" s="116"/>
      <c r="O413" s="265"/>
      <c r="P413" s="250"/>
      <c r="Q413" s="204"/>
      <c r="R413" s="116"/>
      <c r="S413" s="265"/>
      <c r="T413" s="250"/>
      <c r="U413" s="204"/>
      <c r="V413" s="116"/>
      <c r="W413" s="212"/>
      <c r="X413" s="212"/>
      <c r="Y413" s="212"/>
      <c r="Z413" s="116"/>
      <c r="AA413" s="216"/>
      <c r="AB413" s="216"/>
      <c r="AC413" s="216"/>
      <c r="AD413" s="116"/>
      <c r="AF413" s="212"/>
      <c r="AG413" s="212"/>
      <c r="AH413" s="116"/>
      <c r="AI413" s="32"/>
      <c r="AJ413" s="39"/>
      <c r="AK413" s="39"/>
      <c r="AL413" s="404"/>
    </row>
    <row r="414" spans="1:38" x14ac:dyDescent="0.25">
      <c r="A414" s="194">
        <v>409</v>
      </c>
      <c r="B414" s="12" t="s">
        <v>185</v>
      </c>
      <c r="C414" s="196">
        <f t="shared" si="106"/>
        <v>12</v>
      </c>
      <c r="D414" s="232">
        <v>3950</v>
      </c>
      <c r="E414" s="202">
        <f>'1501 Summary'!AD292</f>
        <v>47400</v>
      </c>
      <c r="F414" s="114"/>
      <c r="G414" s="210"/>
      <c r="H414" s="210"/>
      <c r="I414" s="210"/>
      <c r="J414" s="114"/>
      <c r="K414" s="202">
        <f t="shared" si="107"/>
        <v>12</v>
      </c>
      <c r="L414" s="203">
        <f t="shared" ref="L414:L453" si="108">D414</f>
        <v>3950</v>
      </c>
      <c r="M414" s="204">
        <f t="shared" ref="M414:M415" si="109">L414*K414</f>
        <v>47400</v>
      </c>
      <c r="N414" s="114"/>
      <c r="O414" s="265"/>
      <c r="P414" s="250"/>
      <c r="Q414" s="204"/>
      <c r="R414" s="114"/>
      <c r="S414" s="265"/>
      <c r="T414" s="250"/>
      <c r="U414" s="204"/>
      <c r="V414" s="114"/>
      <c r="W414" s="210"/>
      <c r="X414" s="210"/>
      <c r="Y414" s="210"/>
      <c r="Z414" s="114"/>
      <c r="AA414" s="216"/>
      <c r="AB414" s="216"/>
      <c r="AC414" s="216"/>
      <c r="AD414" s="114"/>
      <c r="AF414" s="210"/>
      <c r="AG414" s="210"/>
      <c r="AH414" s="114"/>
      <c r="AI414" s="32"/>
      <c r="AJ414" s="39"/>
      <c r="AK414" s="39"/>
      <c r="AL414" s="404"/>
    </row>
    <row r="415" spans="1:38" x14ac:dyDescent="0.25">
      <c r="A415" s="194">
        <v>410</v>
      </c>
      <c r="B415" s="12" t="s">
        <v>158</v>
      </c>
      <c r="C415" s="202">
        <f t="shared" si="106"/>
        <v>4869874.9999999991</v>
      </c>
      <c r="D415" s="236">
        <v>4.0000000000000002E-4</v>
      </c>
      <c r="E415" s="202">
        <f>'1501 Summary'!AD293</f>
        <v>1947.9499999999998</v>
      </c>
      <c r="F415" s="114"/>
      <c r="G415" s="210"/>
      <c r="H415" s="210"/>
      <c r="I415" s="210"/>
      <c r="J415" s="114"/>
      <c r="K415" s="202">
        <f t="shared" si="107"/>
        <v>4869874.9999999991</v>
      </c>
      <c r="L415" s="266">
        <f t="shared" si="108"/>
        <v>4.0000000000000002E-4</v>
      </c>
      <c r="M415" s="204">
        <f t="shared" si="109"/>
        <v>1947.9499999999998</v>
      </c>
      <c r="N415" s="114"/>
      <c r="O415" s="265"/>
      <c r="P415" s="250"/>
      <c r="Q415" s="204"/>
      <c r="R415" s="114"/>
      <c r="S415" s="265"/>
      <c r="T415" s="250"/>
      <c r="U415" s="204"/>
      <c r="V415" s="114"/>
      <c r="W415" s="210"/>
      <c r="X415" s="210"/>
      <c r="Y415" s="210"/>
      <c r="Z415" s="114"/>
      <c r="AA415" s="216"/>
      <c r="AB415" s="216"/>
      <c r="AC415" s="216"/>
      <c r="AD415" s="114"/>
      <c r="AF415" s="210"/>
      <c r="AG415" s="210"/>
      <c r="AH415" s="114"/>
      <c r="AI415" s="94"/>
      <c r="AJ415" s="39"/>
      <c r="AK415" s="39"/>
      <c r="AL415" s="404"/>
    </row>
    <row r="416" spans="1:38" x14ac:dyDescent="0.25">
      <c r="A416" s="194">
        <v>411</v>
      </c>
      <c r="B416" s="12" t="s">
        <v>157</v>
      </c>
      <c r="C416" s="196">
        <v>0</v>
      </c>
      <c r="D416" s="232">
        <v>0</v>
      </c>
      <c r="E416" s="202">
        <f>'1501 Summary'!AD294</f>
        <v>0</v>
      </c>
      <c r="F416" s="114"/>
      <c r="G416" s="210"/>
      <c r="H416" s="210"/>
      <c r="I416" s="210"/>
      <c r="J416" s="114"/>
      <c r="K416" s="202">
        <f t="shared" ref="K416:K417" si="110">C416+G416</f>
        <v>0</v>
      </c>
      <c r="L416" s="266">
        <f t="shared" ref="L416:L417" si="111">D416</f>
        <v>0</v>
      </c>
      <c r="M416" s="204">
        <f t="shared" ref="M416:M417" si="112">L416*K416</f>
        <v>0</v>
      </c>
      <c r="N416" s="114"/>
      <c r="O416" s="204"/>
      <c r="P416" s="250"/>
      <c r="Q416" s="204"/>
      <c r="R416" s="114"/>
      <c r="S416" s="204"/>
      <c r="T416" s="250"/>
      <c r="U416" s="204"/>
      <c r="V416" s="114"/>
      <c r="W416" s="210"/>
      <c r="X416" s="210"/>
      <c r="Y416" s="210"/>
      <c r="Z416" s="114"/>
      <c r="AA416" s="216"/>
      <c r="AB416" s="216"/>
      <c r="AC416" s="216"/>
      <c r="AD416" s="114"/>
      <c r="AF416" s="210"/>
      <c r="AG416" s="210"/>
      <c r="AH416" s="114"/>
      <c r="AI416" s="94"/>
      <c r="AJ416" s="39"/>
      <c r="AK416" s="39"/>
      <c r="AL416" s="404"/>
    </row>
    <row r="417" spans="1:38" x14ac:dyDescent="0.25">
      <c r="A417" s="194">
        <v>412</v>
      </c>
      <c r="B417" s="12" t="s">
        <v>194</v>
      </c>
      <c r="C417" s="196">
        <v>0</v>
      </c>
      <c r="D417" s="232">
        <v>0</v>
      </c>
      <c r="E417" s="202">
        <f>'1501 Summary'!AD295</f>
        <v>0</v>
      </c>
      <c r="F417" s="114"/>
      <c r="G417" s="210"/>
      <c r="H417" s="210"/>
      <c r="I417" s="210"/>
      <c r="J417" s="114"/>
      <c r="K417" s="202">
        <f t="shared" si="110"/>
        <v>0</v>
      </c>
      <c r="L417" s="266">
        <f t="shared" si="111"/>
        <v>0</v>
      </c>
      <c r="M417" s="204">
        <f t="shared" si="112"/>
        <v>0</v>
      </c>
      <c r="N417" s="114"/>
      <c r="O417" s="204"/>
      <c r="P417" s="250"/>
      <c r="Q417" s="204"/>
      <c r="R417" s="114"/>
      <c r="S417" s="204"/>
      <c r="T417" s="250"/>
      <c r="U417" s="204"/>
      <c r="V417" s="114"/>
      <c r="W417" s="210"/>
      <c r="X417" s="210"/>
      <c r="Y417" s="210"/>
      <c r="Z417" s="114"/>
      <c r="AA417" s="216"/>
      <c r="AB417" s="216"/>
      <c r="AC417" s="216"/>
      <c r="AD417" s="114"/>
      <c r="AF417" s="210"/>
      <c r="AG417" s="210"/>
      <c r="AH417" s="114"/>
      <c r="AI417" s="94"/>
      <c r="AJ417" s="39"/>
      <c r="AK417" s="39"/>
      <c r="AL417" s="404"/>
    </row>
    <row r="418" spans="1:38" x14ac:dyDescent="0.25">
      <c r="A418" s="194">
        <v>413</v>
      </c>
      <c r="B418" s="190" t="s">
        <v>523</v>
      </c>
      <c r="C418" s="202">
        <f t="shared" si="106"/>
        <v>3877415.75125675</v>
      </c>
      <c r="D418" s="237">
        <v>1.7724299999999998E-2</v>
      </c>
      <c r="E418" s="202">
        <f>SUM('1501 Summary'!G296:W296)</f>
        <v>68724.48000000001</v>
      </c>
      <c r="F418" s="114"/>
      <c r="G418" s="210"/>
      <c r="H418" s="210"/>
      <c r="I418" s="210"/>
      <c r="J418" s="114"/>
      <c r="K418" s="202">
        <f t="shared" si="107"/>
        <v>3877415.75125675</v>
      </c>
      <c r="L418" s="266"/>
      <c r="M418" s="204"/>
      <c r="N418" s="114"/>
      <c r="O418" s="204"/>
      <c r="P418" s="250"/>
      <c r="Q418" s="204"/>
      <c r="R418" s="114"/>
      <c r="S418" s="204"/>
      <c r="T418" s="250"/>
      <c r="U418" s="204"/>
      <c r="V418" s="114"/>
      <c r="W418" s="210"/>
      <c r="X418" s="210"/>
      <c r="Y418" s="210"/>
      <c r="Z418" s="114"/>
      <c r="AA418" s="216"/>
      <c r="AB418" s="216"/>
      <c r="AC418" s="216"/>
      <c r="AD418" s="114"/>
      <c r="AF418" s="210"/>
      <c r="AG418" s="210"/>
      <c r="AH418" s="114"/>
      <c r="AI418" s="94"/>
      <c r="AJ418" s="39"/>
      <c r="AK418" s="39"/>
      <c r="AL418" s="404"/>
    </row>
    <row r="419" spans="1:38" x14ac:dyDescent="0.25">
      <c r="A419" s="194">
        <v>414</v>
      </c>
      <c r="B419" s="54" t="s">
        <v>524</v>
      </c>
      <c r="C419" s="202">
        <f t="shared" si="106"/>
        <v>987421.0763053993</v>
      </c>
      <c r="D419" s="237">
        <v>1.80079E-2</v>
      </c>
      <c r="E419" s="239">
        <f>SUM('1501 Summary'!Y296:AC296)</f>
        <v>17781.38</v>
      </c>
      <c r="F419" s="114"/>
      <c r="G419" s="210"/>
      <c r="H419" s="210"/>
      <c r="I419" s="210"/>
      <c r="J419" s="114"/>
      <c r="K419" s="202">
        <f t="shared" si="107"/>
        <v>987421.0763053993</v>
      </c>
      <c r="L419" s="266">
        <f t="shared" si="108"/>
        <v>1.80079E-2</v>
      </c>
      <c r="M419" s="207">
        <f>L419*SUM(K419,K418)</f>
        <v>87605.495107056442</v>
      </c>
      <c r="N419" s="114"/>
      <c r="O419" s="265"/>
      <c r="P419" s="250"/>
      <c r="Q419" s="204"/>
      <c r="R419" s="114"/>
      <c r="S419" s="265"/>
      <c r="T419" s="250"/>
      <c r="U419" s="204"/>
      <c r="V419" s="114"/>
      <c r="W419" s="210"/>
      <c r="X419" s="210"/>
      <c r="Y419" s="210"/>
      <c r="Z419" s="114"/>
      <c r="AA419" s="216"/>
      <c r="AB419" s="216"/>
      <c r="AC419" s="216"/>
      <c r="AD419" s="114"/>
      <c r="AF419" s="210"/>
      <c r="AG419" s="210"/>
      <c r="AH419" s="114"/>
      <c r="AI419" s="94"/>
      <c r="AJ419" s="39"/>
      <c r="AK419" s="39"/>
      <c r="AL419" s="404"/>
    </row>
    <row r="420" spans="1:38" x14ac:dyDescent="0.25">
      <c r="A420" s="194">
        <v>415</v>
      </c>
      <c r="B420" s="12" t="s">
        <v>10</v>
      </c>
      <c r="E420" s="240">
        <f>SUM(E413:E419)</f>
        <v>143353.81</v>
      </c>
      <c r="F420" s="114"/>
      <c r="G420" s="210"/>
      <c r="H420" s="210"/>
      <c r="I420" s="210"/>
      <c r="J420" s="114"/>
      <c r="K420" s="202"/>
      <c r="L420" s="266"/>
      <c r="M420" s="204">
        <f>SUM(M413:M419)</f>
        <v>144453.44510705644</v>
      </c>
      <c r="N420" s="114"/>
      <c r="O420" s="204"/>
      <c r="P420" s="204"/>
      <c r="Q420" s="204"/>
      <c r="R420" s="114"/>
      <c r="S420" s="204"/>
      <c r="T420" s="204"/>
      <c r="U420" s="204"/>
      <c r="V420" s="114"/>
      <c r="W420" s="210"/>
      <c r="X420" s="210"/>
      <c r="Y420" s="210"/>
      <c r="Z420" s="114"/>
      <c r="AA420" s="216"/>
      <c r="AB420" s="216"/>
      <c r="AC420" s="216"/>
      <c r="AD420" s="114"/>
      <c r="AF420" s="210"/>
      <c r="AG420" s="210"/>
      <c r="AH420" s="114"/>
      <c r="AI420" s="32"/>
      <c r="AJ420" s="39"/>
      <c r="AK420" s="39"/>
      <c r="AL420" s="404"/>
    </row>
    <row r="421" spans="1:38" x14ac:dyDescent="0.25">
      <c r="A421" s="194">
        <v>416</v>
      </c>
      <c r="B421" s="11"/>
      <c r="E421" s="240"/>
      <c r="F421" s="114"/>
      <c r="G421" s="210"/>
      <c r="H421" s="210"/>
      <c r="I421" s="210"/>
      <c r="J421" s="114"/>
      <c r="K421" s="202"/>
      <c r="L421" s="266"/>
      <c r="M421" s="204"/>
      <c r="N421" s="114"/>
      <c r="O421" s="204"/>
      <c r="P421" s="204"/>
      <c r="Q421" s="204"/>
      <c r="R421" s="114"/>
      <c r="S421" s="204"/>
      <c r="T421" s="204"/>
      <c r="U421" s="204"/>
      <c r="V421" s="114"/>
      <c r="W421" s="210"/>
      <c r="X421" s="210"/>
      <c r="Y421" s="210"/>
      <c r="Z421" s="114"/>
      <c r="AD421" s="114"/>
      <c r="AF421" s="210"/>
      <c r="AG421" s="210"/>
      <c r="AH421" s="114"/>
      <c r="AI421" s="32"/>
      <c r="AJ421" s="39"/>
      <c r="AL421" s="404"/>
    </row>
    <row r="422" spans="1:38" x14ac:dyDescent="0.25">
      <c r="A422" s="194">
        <v>417</v>
      </c>
      <c r="B422" s="12" t="s">
        <v>12</v>
      </c>
      <c r="E422" s="240"/>
      <c r="F422" s="114"/>
      <c r="G422" s="210"/>
      <c r="H422" s="210"/>
      <c r="I422" s="210"/>
      <c r="J422" s="114"/>
      <c r="K422" s="202"/>
      <c r="L422" s="266"/>
      <c r="M422" s="204"/>
      <c r="N422" s="114"/>
      <c r="O422" s="204"/>
      <c r="P422" s="204"/>
      <c r="Q422" s="204"/>
      <c r="R422" s="114"/>
      <c r="S422" s="204"/>
      <c r="T422" s="204"/>
      <c r="U422" s="204"/>
      <c r="V422" s="114"/>
      <c r="W422" s="210"/>
      <c r="X422" s="210"/>
      <c r="Y422" s="210"/>
      <c r="Z422" s="114"/>
      <c r="AD422" s="114"/>
      <c r="AF422" s="210"/>
      <c r="AG422" s="210"/>
      <c r="AH422" s="114"/>
      <c r="AI422" s="32"/>
      <c r="AJ422" s="39"/>
      <c r="AL422" s="404"/>
    </row>
    <row r="423" spans="1:38" x14ac:dyDescent="0.25">
      <c r="A423" s="194">
        <v>418</v>
      </c>
      <c r="B423" s="12" t="s">
        <v>20</v>
      </c>
      <c r="E423" s="240">
        <f>'1501 Summary'!AD298</f>
        <v>6352.0100000000011</v>
      </c>
      <c r="F423" s="114"/>
      <c r="G423" s="210"/>
      <c r="H423" s="210"/>
      <c r="I423" s="210"/>
      <c r="J423" s="114"/>
      <c r="K423" s="202"/>
      <c r="L423" s="266"/>
      <c r="M423" s="204"/>
      <c r="N423" s="114"/>
      <c r="O423" s="204"/>
      <c r="P423" s="204"/>
      <c r="Q423" s="204"/>
      <c r="R423" s="114"/>
      <c r="S423" s="204"/>
      <c r="T423" s="204"/>
      <c r="U423" s="204"/>
      <c r="V423" s="114"/>
      <c r="W423" s="210"/>
      <c r="X423" s="210"/>
      <c r="Y423" s="210"/>
      <c r="Z423" s="114"/>
      <c r="AD423" s="114"/>
      <c r="AF423" s="210"/>
      <c r="AG423" s="210"/>
      <c r="AH423" s="114"/>
      <c r="AI423" s="32"/>
      <c r="AJ423" s="39"/>
      <c r="AL423" s="404"/>
    </row>
    <row r="424" spans="1:38" x14ac:dyDescent="0.25">
      <c r="A424" s="194">
        <v>419</v>
      </c>
      <c r="B424" s="12" t="s">
        <v>188</v>
      </c>
      <c r="E424" s="241"/>
      <c r="F424" s="114"/>
      <c r="G424" s="210"/>
      <c r="H424" s="210"/>
      <c r="I424" s="210"/>
      <c r="J424" s="114"/>
      <c r="K424" s="202"/>
      <c r="L424" s="266"/>
      <c r="M424" s="204"/>
      <c r="N424" s="114"/>
      <c r="O424" s="204"/>
      <c r="P424" s="204"/>
      <c r="Q424" s="204"/>
      <c r="R424" s="114"/>
      <c r="S424" s="204"/>
      <c r="T424" s="204"/>
      <c r="U424" s="204"/>
      <c r="V424" s="114"/>
      <c r="W424" s="210"/>
      <c r="X424" s="210"/>
      <c r="Y424" s="210"/>
      <c r="Z424" s="114"/>
      <c r="AD424" s="114"/>
      <c r="AF424" s="210"/>
      <c r="AG424" s="210"/>
      <c r="AH424" s="114"/>
      <c r="AI424" s="32"/>
      <c r="AJ424" s="39"/>
      <c r="AL424" s="404"/>
    </row>
    <row r="425" spans="1:38" x14ac:dyDescent="0.25">
      <c r="A425" s="194">
        <v>420</v>
      </c>
      <c r="B425" s="5" t="s">
        <v>53</v>
      </c>
      <c r="E425" s="240">
        <f>'Revenue Reconcilliation'!Q280</f>
        <v>-149705.82</v>
      </c>
      <c r="F425" s="114"/>
      <c r="G425" s="210"/>
      <c r="H425" s="210"/>
      <c r="I425" s="210"/>
      <c r="J425" s="114"/>
      <c r="K425" s="202"/>
      <c r="L425" s="266"/>
      <c r="M425" s="204"/>
      <c r="N425" s="114"/>
      <c r="O425" s="204"/>
      <c r="P425" s="204"/>
      <c r="Q425" s="204"/>
      <c r="R425" s="114"/>
      <c r="S425" s="204"/>
      <c r="T425" s="204"/>
      <c r="U425" s="204"/>
      <c r="V425" s="114"/>
      <c r="W425" s="210"/>
      <c r="X425" s="210"/>
      <c r="Y425" s="210"/>
      <c r="Z425" s="114"/>
      <c r="AD425" s="114"/>
      <c r="AF425" s="210"/>
      <c r="AG425" s="210"/>
      <c r="AH425" s="114"/>
      <c r="AI425" s="32"/>
      <c r="AJ425" s="39"/>
      <c r="AL425" s="404"/>
    </row>
    <row r="426" spans="1:38" x14ac:dyDescent="0.25">
      <c r="A426" s="194">
        <v>421</v>
      </c>
      <c r="B426" s="5" t="s">
        <v>54</v>
      </c>
      <c r="E426" s="242">
        <f>'Revenue Reconcilliation'!Q281</f>
        <v>149660.71</v>
      </c>
      <c r="F426" s="114"/>
      <c r="G426" s="210"/>
      <c r="H426" s="210"/>
      <c r="I426" s="210"/>
      <c r="J426" s="114"/>
      <c r="K426" s="202"/>
      <c r="L426" s="266"/>
      <c r="M426" s="204"/>
      <c r="N426" s="114"/>
      <c r="O426" s="204"/>
      <c r="P426" s="204"/>
      <c r="Q426" s="204"/>
      <c r="R426" s="114"/>
      <c r="S426" s="204"/>
      <c r="T426" s="204"/>
      <c r="U426" s="204"/>
      <c r="V426" s="114"/>
      <c r="W426" s="210"/>
      <c r="X426" s="210"/>
      <c r="Y426" s="210"/>
      <c r="Z426" s="114"/>
      <c r="AD426" s="114"/>
      <c r="AF426" s="210"/>
      <c r="AG426" s="210"/>
      <c r="AH426" s="114"/>
      <c r="AI426" s="32"/>
      <c r="AJ426" s="39"/>
      <c r="AL426" s="404"/>
    </row>
    <row r="427" spans="1:38" x14ac:dyDescent="0.25">
      <c r="A427" s="194">
        <v>422</v>
      </c>
      <c r="B427" s="11" t="s">
        <v>91</v>
      </c>
      <c r="E427" s="240">
        <f>SUM(E423:E426)</f>
        <v>6306.8999999999942</v>
      </c>
      <c r="F427" s="114"/>
      <c r="G427" s="210"/>
      <c r="H427" s="210"/>
      <c r="I427" s="210"/>
      <c r="J427" s="114"/>
      <c r="K427" s="202"/>
      <c r="L427" s="266"/>
      <c r="M427" s="204"/>
      <c r="N427" s="114"/>
      <c r="O427" s="204"/>
      <c r="P427" s="204"/>
      <c r="Q427" s="204"/>
      <c r="R427" s="114"/>
      <c r="S427" s="204"/>
      <c r="T427" s="204"/>
      <c r="U427" s="204"/>
      <c r="V427" s="114"/>
      <c r="W427" s="210"/>
      <c r="X427" s="210"/>
      <c r="Y427" s="210"/>
      <c r="Z427" s="114"/>
      <c r="AD427" s="114"/>
      <c r="AF427" s="210"/>
      <c r="AG427" s="210"/>
      <c r="AH427" s="114"/>
      <c r="AI427" s="32"/>
      <c r="AJ427" s="39"/>
      <c r="AL427" s="404"/>
    </row>
    <row r="428" spans="1:38" x14ac:dyDescent="0.25">
      <c r="A428" s="194">
        <v>423</v>
      </c>
      <c r="B428" s="5"/>
      <c r="E428" s="240"/>
      <c r="F428" s="114"/>
      <c r="G428" s="210"/>
      <c r="H428" s="210"/>
      <c r="I428" s="210"/>
      <c r="J428" s="114"/>
      <c r="K428" s="202"/>
      <c r="L428" s="266"/>
      <c r="M428" s="204"/>
      <c r="N428" s="114"/>
      <c r="O428" s="204"/>
      <c r="P428" s="204"/>
      <c r="Q428" s="204"/>
      <c r="R428" s="114"/>
      <c r="S428" s="204"/>
      <c r="T428" s="204"/>
      <c r="U428" s="204"/>
      <c r="V428" s="114"/>
      <c r="W428" s="210"/>
      <c r="X428" s="210"/>
      <c r="Y428" s="210"/>
      <c r="Z428" s="114"/>
      <c r="AD428" s="114"/>
      <c r="AF428" s="210"/>
      <c r="AG428" s="210"/>
      <c r="AH428" s="114"/>
      <c r="AI428" s="32"/>
      <c r="AJ428" s="39"/>
      <c r="AL428" s="404"/>
    </row>
    <row r="429" spans="1:38" x14ac:dyDescent="0.25">
      <c r="A429" s="194">
        <v>424</v>
      </c>
      <c r="B429" s="51" t="s">
        <v>138</v>
      </c>
      <c r="C429" s="243">
        <f>E429-'Revenue Reconcilliation'!Q282</f>
        <v>0</v>
      </c>
      <c r="D429" s="209" t="s">
        <v>45</v>
      </c>
      <c r="E429" s="244">
        <f>SUM(E420,E427)</f>
        <v>149660.71</v>
      </c>
      <c r="F429" s="127"/>
      <c r="G429" s="278"/>
      <c r="H429" s="278"/>
      <c r="I429" s="278"/>
      <c r="J429" s="127"/>
      <c r="K429" s="239"/>
      <c r="L429" s="283"/>
      <c r="M429" s="207"/>
      <c r="N429" s="127"/>
      <c r="O429" s="204"/>
      <c r="P429" s="204"/>
      <c r="Q429" s="204"/>
      <c r="R429" s="127"/>
      <c r="S429" s="204"/>
      <c r="T429" s="204"/>
      <c r="U429" s="204"/>
      <c r="V429" s="127"/>
      <c r="W429" s="278"/>
      <c r="X429" s="278"/>
      <c r="Y429" s="278"/>
      <c r="Z429" s="127"/>
      <c r="AA429" s="209"/>
      <c r="AB429" s="209"/>
      <c r="AC429" s="209"/>
      <c r="AD429" s="127"/>
      <c r="AE429" s="275"/>
      <c r="AF429" s="222"/>
      <c r="AG429" s="222"/>
      <c r="AH429" s="399"/>
      <c r="AI429" s="32"/>
      <c r="AJ429" s="39"/>
      <c r="AL429" s="404"/>
    </row>
    <row r="430" spans="1:38" x14ac:dyDescent="0.25">
      <c r="A430" s="194">
        <v>425</v>
      </c>
      <c r="E430" s="245"/>
      <c r="F430" s="122"/>
      <c r="G430" s="245"/>
      <c r="H430" s="245"/>
      <c r="I430" s="245"/>
      <c r="J430" s="122"/>
      <c r="K430" s="202"/>
      <c r="L430" s="266"/>
      <c r="M430" s="204"/>
      <c r="N430" s="122"/>
      <c r="O430" s="204"/>
      <c r="P430" s="204"/>
      <c r="Q430" s="204"/>
      <c r="R430" s="122"/>
      <c r="S430" s="204"/>
      <c r="T430" s="204"/>
      <c r="U430" s="204"/>
      <c r="V430" s="122"/>
      <c r="W430" s="245"/>
      <c r="X430" s="245"/>
      <c r="Y430" s="245"/>
      <c r="Z430" s="122"/>
      <c r="AD430" s="122"/>
      <c r="AF430" s="245"/>
      <c r="AG430" s="245"/>
      <c r="AH430" s="122"/>
      <c r="AI430" s="32"/>
      <c r="AJ430" s="39"/>
      <c r="AL430" s="404"/>
    </row>
    <row r="431" spans="1:38" x14ac:dyDescent="0.25">
      <c r="A431" s="194">
        <v>426</v>
      </c>
      <c r="B431" s="18" t="s">
        <v>139</v>
      </c>
      <c r="D431" s="211"/>
      <c r="E431" s="245"/>
      <c r="F431" s="122"/>
      <c r="G431" s="245"/>
      <c r="H431" s="245"/>
      <c r="I431" s="245"/>
      <c r="J431" s="122"/>
      <c r="K431" s="202"/>
      <c r="L431" s="266"/>
      <c r="M431" s="204"/>
      <c r="N431" s="122"/>
      <c r="O431" s="204"/>
      <c r="P431" s="204"/>
      <c r="Q431" s="204"/>
      <c r="R431" s="122"/>
      <c r="S431" s="204"/>
      <c r="T431" s="204"/>
      <c r="U431" s="204"/>
      <c r="V431" s="122"/>
      <c r="W431" s="245"/>
      <c r="X431" s="245"/>
      <c r="Y431" s="245"/>
      <c r="Z431" s="122"/>
      <c r="AD431" s="122"/>
      <c r="AF431" s="245"/>
      <c r="AG431" s="245"/>
      <c r="AH431" s="122"/>
      <c r="AI431" s="32"/>
      <c r="AJ431" s="39"/>
      <c r="AL431" s="404"/>
    </row>
    <row r="432" spans="1:38" x14ac:dyDescent="0.25">
      <c r="A432" s="194">
        <v>427</v>
      </c>
      <c r="B432" s="12" t="s">
        <v>25</v>
      </c>
      <c r="C432" s="246">
        <f t="shared" ref="C432:C438" si="113">E432/D432</f>
        <v>12</v>
      </c>
      <c r="D432" s="232">
        <v>625</v>
      </c>
      <c r="E432" s="224">
        <f>'1501 Summary'!AD305</f>
        <v>7500</v>
      </c>
      <c r="F432" s="123"/>
      <c r="G432" s="255"/>
      <c r="H432" s="255"/>
      <c r="I432" s="255"/>
      <c r="J432" s="123"/>
      <c r="K432" s="202">
        <f t="shared" si="107"/>
        <v>12</v>
      </c>
      <c r="L432" s="203">
        <f t="shared" si="108"/>
        <v>625</v>
      </c>
      <c r="M432" s="204">
        <f>L432*K432</f>
        <v>7500</v>
      </c>
      <c r="N432" s="123"/>
      <c r="O432" s="265"/>
      <c r="P432" s="250"/>
      <c r="Q432" s="204"/>
      <c r="R432" s="123"/>
      <c r="S432" s="265"/>
      <c r="T432" s="250"/>
      <c r="U432" s="204"/>
      <c r="V432" s="123"/>
      <c r="W432" s="255"/>
      <c r="X432" s="255"/>
      <c r="Y432" s="255"/>
      <c r="Z432" s="123"/>
      <c r="AA432" s="216"/>
      <c r="AB432" s="216"/>
      <c r="AC432" s="216"/>
      <c r="AD432" s="123"/>
      <c r="AF432" s="255"/>
      <c r="AG432" s="255"/>
      <c r="AH432" s="123"/>
      <c r="AI432" s="32"/>
      <c r="AJ432" s="39"/>
      <c r="AK432" s="39"/>
      <c r="AL432" s="404"/>
    </row>
    <row r="433" spans="1:38" x14ac:dyDescent="0.25">
      <c r="A433" s="194">
        <v>428</v>
      </c>
      <c r="B433" s="12" t="s">
        <v>185</v>
      </c>
      <c r="C433" s="246">
        <f t="shared" si="113"/>
        <v>12</v>
      </c>
      <c r="D433" s="232">
        <v>6725</v>
      </c>
      <c r="E433" s="224">
        <f>'1501 Summary'!AD306</f>
        <v>80700</v>
      </c>
      <c r="F433" s="123"/>
      <c r="G433" s="255"/>
      <c r="H433" s="255"/>
      <c r="I433" s="255"/>
      <c r="J433" s="123"/>
      <c r="K433" s="202">
        <f t="shared" si="107"/>
        <v>12</v>
      </c>
      <c r="L433" s="203">
        <f t="shared" si="108"/>
        <v>6725</v>
      </c>
      <c r="M433" s="204">
        <f t="shared" ref="M433:M436" si="114">L433*K433</f>
        <v>80700</v>
      </c>
      <c r="N433" s="123"/>
      <c r="O433" s="265"/>
      <c r="P433" s="250"/>
      <c r="Q433" s="204"/>
      <c r="R433" s="123"/>
      <c r="S433" s="265"/>
      <c r="T433" s="250"/>
      <c r="U433" s="204"/>
      <c r="V433" s="123"/>
      <c r="W433" s="255"/>
      <c r="X433" s="255"/>
      <c r="Y433" s="255"/>
      <c r="Z433" s="123"/>
      <c r="AA433" s="216"/>
      <c r="AB433" s="216"/>
      <c r="AC433" s="216"/>
      <c r="AD433" s="123"/>
      <c r="AF433" s="255"/>
      <c r="AG433" s="255"/>
      <c r="AH433" s="123"/>
      <c r="AI433" s="32"/>
      <c r="AJ433" s="39"/>
      <c r="AK433" s="39"/>
      <c r="AL433" s="404"/>
    </row>
    <row r="434" spans="1:38" x14ac:dyDescent="0.25">
      <c r="A434" s="194">
        <v>429</v>
      </c>
      <c r="B434" s="12" t="s">
        <v>158</v>
      </c>
      <c r="C434" s="246">
        <f t="shared" si="113"/>
        <v>12468999.999999998</v>
      </c>
      <c r="D434" s="236">
        <v>4.0000000000000002E-4</v>
      </c>
      <c r="E434" s="224">
        <f>'1501 Summary'!AD307</f>
        <v>4987.5999999999995</v>
      </c>
      <c r="F434" s="123"/>
      <c r="G434" s="255"/>
      <c r="H434" s="255"/>
      <c r="I434" s="255"/>
      <c r="J434" s="123"/>
      <c r="K434" s="202">
        <f t="shared" si="107"/>
        <v>12468999.999999998</v>
      </c>
      <c r="L434" s="266">
        <f t="shared" si="108"/>
        <v>4.0000000000000002E-4</v>
      </c>
      <c r="M434" s="204">
        <f t="shared" si="114"/>
        <v>4987.5999999999995</v>
      </c>
      <c r="N434" s="123"/>
      <c r="O434" s="265"/>
      <c r="P434" s="250"/>
      <c r="Q434" s="204"/>
      <c r="R434" s="123"/>
      <c r="S434" s="265"/>
      <c r="T434" s="250"/>
      <c r="U434" s="204"/>
      <c r="V434" s="123"/>
      <c r="W434" s="255"/>
      <c r="X434" s="255"/>
      <c r="Y434" s="255"/>
      <c r="Z434" s="123"/>
      <c r="AA434" s="216"/>
      <c r="AB434" s="216"/>
      <c r="AC434" s="216"/>
      <c r="AD434" s="123"/>
      <c r="AF434" s="255"/>
      <c r="AG434" s="255"/>
      <c r="AH434" s="123"/>
      <c r="AI434" s="94"/>
      <c r="AJ434" s="39"/>
      <c r="AK434" s="39"/>
      <c r="AL434" s="404"/>
    </row>
    <row r="435" spans="1:38" x14ac:dyDescent="0.25">
      <c r="A435" s="194">
        <v>430</v>
      </c>
      <c r="B435" s="12" t="s">
        <v>157</v>
      </c>
      <c r="C435" s="246">
        <v>0</v>
      </c>
      <c r="D435" s="196">
        <v>0</v>
      </c>
      <c r="E435" s="224">
        <f>'1501 Summary'!AD308</f>
        <v>0</v>
      </c>
      <c r="F435" s="123"/>
      <c r="G435" s="255"/>
      <c r="H435" s="255"/>
      <c r="I435" s="255"/>
      <c r="J435" s="123"/>
      <c r="K435" s="202"/>
      <c r="L435" s="266"/>
      <c r="M435" s="204">
        <f t="shared" si="114"/>
        <v>0</v>
      </c>
      <c r="N435" s="123"/>
      <c r="O435" s="204"/>
      <c r="P435" s="250"/>
      <c r="Q435" s="204"/>
      <c r="R435" s="123"/>
      <c r="S435" s="204"/>
      <c r="T435" s="250"/>
      <c r="U435" s="204"/>
      <c r="V435" s="123"/>
      <c r="W435" s="255"/>
      <c r="X435" s="255"/>
      <c r="Y435" s="255"/>
      <c r="Z435" s="123"/>
      <c r="AA435" s="216"/>
      <c r="AB435" s="216"/>
      <c r="AC435" s="216"/>
      <c r="AD435" s="123"/>
      <c r="AF435" s="255"/>
      <c r="AG435" s="255"/>
      <c r="AH435" s="123"/>
      <c r="AI435" s="94"/>
      <c r="AJ435" s="39"/>
      <c r="AK435" s="39"/>
      <c r="AL435" s="404"/>
    </row>
    <row r="436" spans="1:38" x14ac:dyDescent="0.25">
      <c r="A436" s="194">
        <v>431</v>
      </c>
      <c r="B436" s="12" t="s">
        <v>194</v>
      </c>
      <c r="C436" s="246">
        <v>0</v>
      </c>
      <c r="D436" s="196">
        <v>0</v>
      </c>
      <c r="E436" s="224">
        <f>'1501 Summary'!AD309</f>
        <v>0</v>
      </c>
      <c r="F436" s="123"/>
      <c r="G436" s="255"/>
      <c r="H436" s="255"/>
      <c r="I436" s="255"/>
      <c r="J436" s="123"/>
      <c r="K436" s="202"/>
      <c r="L436" s="266"/>
      <c r="M436" s="204">
        <f t="shared" si="114"/>
        <v>0</v>
      </c>
      <c r="N436" s="123"/>
      <c r="O436" s="204"/>
      <c r="P436" s="250"/>
      <c r="Q436" s="204"/>
      <c r="R436" s="123"/>
      <c r="S436" s="204"/>
      <c r="T436" s="250"/>
      <c r="U436" s="204"/>
      <c r="V436" s="123"/>
      <c r="W436" s="255"/>
      <c r="X436" s="255"/>
      <c r="Y436" s="255"/>
      <c r="Z436" s="123"/>
      <c r="AA436" s="216"/>
      <c r="AB436" s="216"/>
      <c r="AC436" s="216"/>
      <c r="AD436" s="123"/>
      <c r="AF436" s="255"/>
      <c r="AG436" s="255"/>
      <c r="AH436" s="123"/>
      <c r="AI436" s="94"/>
      <c r="AJ436" s="39"/>
      <c r="AK436" s="39"/>
      <c r="AL436" s="404"/>
    </row>
    <row r="437" spans="1:38" x14ac:dyDescent="0.25">
      <c r="A437" s="194">
        <v>432</v>
      </c>
      <c r="B437" s="190" t="s">
        <v>523</v>
      </c>
      <c r="C437" s="246">
        <f t="shared" si="113"/>
        <v>9608534.1893350314</v>
      </c>
      <c r="D437" s="237">
        <v>1.0841099999999999E-2</v>
      </c>
      <c r="E437" s="224">
        <f>SUM('1501 Summary'!G310:W310)</f>
        <v>104167.08</v>
      </c>
      <c r="F437" s="123"/>
      <c r="G437" s="255"/>
      <c r="H437" s="255"/>
      <c r="I437" s="255"/>
      <c r="J437" s="123"/>
      <c r="K437" s="202">
        <f t="shared" si="107"/>
        <v>9608534.1893350314</v>
      </c>
      <c r="L437" s="266"/>
      <c r="M437" s="204"/>
      <c r="N437" s="123"/>
      <c r="O437" s="204"/>
      <c r="P437" s="250"/>
      <c r="Q437" s="204"/>
      <c r="R437" s="123"/>
      <c r="S437" s="204"/>
      <c r="T437" s="250"/>
      <c r="U437" s="204"/>
      <c r="V437" s="123"/>
      <c r="W437" s="255"/>
      <c r="X437" s="255"/>
      <c r="Y437" s="255"/>
      <c r="Z437" s="123"/>
      <c r="AA437" s="216"/>
      <c r="AB437" s="216"/>
      <c r="AC437" s="216"/>
      <c r="AD437" s="123"/>
      <c r="AF437" s="255"/>
      <c r="AG437" s="255"/>
      <c r="AH437" s="123"/>
      <c r="AI437" s="94"/>
      <c r="AJ437" s="39"/>
      <c r="AK437" s="39"/>
      <c r="AL437" s="404"/>
    </row>
    <row r="438" spans="1:38" x14ac:dyDescent="0.25">
      <c r="A438" s="194">
        <v>433</v>
      </c>
      <c r="B438" s="54" t="s">
        <v>524</v>
      </c>
      <c r="C438" s="246">
        <f t="shared" si="113"/>
        <v>2846610.861946871</v>
      </c>
      <c r="D438" s="237">
        <v>1.1014599999999999E-2</v>
      </c>
      <c r="E438" s="228">
        <f>SUM('1501 Summary'!Y310:AC310)</f>
        <v>31354.280000000002</v>
      </c>
      <c r="F438" s="123"/>
      <c r="G438" s="255"/>
      <c r="H438" s="255"/>
      <c r="I438" s="255"/>
      <c r="J438" s="123"/>
      <c r="K438" s="202">
        <f t="shared" si="107"/>
        <v>2846610.861946871</v>
      </c>
      <c r="L438" s="266">
        <f t="shared" si="108"/>
        <v>1.1014599999999999E-2</v>
      </c>
      <c r="M438" s="207">
        <f>L438*SUM(K438,K437)</f>
        <v>137188.44068184964</v>
      </c>
      <c r="N438" s="123"/>
      <c r="O438" s="265"/>
      <c r="P438" s="250"/>
      <c r="Q438" s="204"/>
      <c r="R438" s="123"/>
      <c r="S438" s="265"/>
      <c r="T438" s="250"/>
      <c r="U438" s="204"/>
      <c r="V438" s="123"/>
      <c r="W438" s="255"/>
      <c r="X438" s="255"/>
      <c r="Y438" s="255"/>
      <c r="Z438" s="123"/>
      <c r="AA438" s="216"/>
      <c r="AB438" s="216"/>
      <c r="AC438" s="216"/>
      <c r="AD438" s="123"/>
      <c r="AF438" s="255"/>
      <c r="AG438" s="255"/>
      <c r="AH438" s="123"/>
      <c r="AI438" s="94"/>
      <c r="AJ438" s="39"/>
      <c r="AK438" s="39"/>
      <c r="AL438" s="404"/>
    </row>
    <row r="439" spans="1:38" x14ac:dyDescent="0.25">
      <c r="A439" s="194">
        <v>434</v>
      </c>
      <c r="B439" s="12" t="s">
        <v>10</v>
      </c>
      <c r="E439" s="224">
        <f>SUM(E432:E438)</f>
        <v>228708.96</v>
      </c>
      <c r="F439" s="123"/>
      <c r="G439" s="255"/>
      <c r="H439" s="255"/>
      <c r="I439" s="255"/>
      <c r="J439" s="123"/>
      <c r="K439" s="202"/>
      <c r="L439" s="266"/>
      <c r="M439" s="204">
        <f>SUM(M432:M438)</f>
        <v>230376.04068184964</v>
      </c>
      <c r="N439" s="123"/>
      <c r="O439" s="204"/>
      <c r="P439" s="204"/>
      <c r="Q439" s="204"/>
      <c r="R439" s="123"/>
      <c r="S439" s="204"/>
      <c r="T439" s="204"/>
      <c r="U439" s="204"/>
      <c r="V439" s="123"/>
      <c r="W439" s="255"/>
      <c r="X439" s="255"/>
      <c r="Y439" s="255"/>
      <c r="Z439" s="123"/>
      <c r="AA439" s="405"/>
      <c r="AB439" s="405"/>
      <c r="AC439" s="405"/>
      <c r="AD439" s="123"/>
      <c r="AF439" s="255"/>
      <c r="AG439" s="255"/>
      <c r="AH439" s="123"/>
      <c r="AI439" s="32"/>
      <c r="AJ439" s="39"/>
      <c r="AK439" s="39"/>
      <c r="AL439" s="404"/>
    </row>
    <row r="440" spans="1:38" x14ac:dyDescent="0.25">
      <c r="A440" s="194">
        <v>435</v>
      </c>
      <c r="B440" s="11"/>
      <c r="E440" s="224"/>
      <c r="F440" s="123"/>
      <c r="G440" s="255"/>
      <c r="H440" s="255"/>
      <c r="I440" s="255"/>
      <c r="J440" s="123"/>
      <c r="K440" s="202"/>
      <c r="L440" s="266"/>
      <c r="M440" s="204"/>
      <c r="N440" s="123"/>
      <c r="O440" s="204"/>
      <c r="P440" s="204"/>
      <c r="Q440" s="204"/>
      <c r="R440" s="123"/>
      <c r="S440" s="204"/>
      <c r="T440" s="204"/>
      <c r="U440" s="204"/>
      <c r="V440" s="123"/>
      <c r="W440" s="255"/>
      <c r="X440" s="255"/>
      <c r="Y440" s="255"/>
      <c r="Z440" s="123"/>
      <c r="AD440" s="123"/>
      <c r="AF440" s="255"/>
      <c r="AG440" s="255"/>
      <c r="AH440" s="123"/>
      <c r="AI440" s="32"/>
      <c r="AJ440" s="39"/>
      <c r="AL440" s="404"/>
    </row>
    <row r="441" spans="1:38" x14ac:dyDescent="0.25">
      <c r="A441" s="194">
        <v>436</v>
      </c>
      <c r="B441" s="12" t="s">
        <v>12</v>
      </c>
      <c r="E441" s="224"/>
      <c r="F441" s="123"/>
      <c r="G441" s="255"/>
      <c r="H441" s="255"/>
      <c r="I441" s="255"/>
      <c r="J441" s="123"/>
      <c r="K441" s="202"/>
      <c r="L441" s="266"/>
      <c r="M441" s="204"/>
      <c r="N441" s="123"/>
      <c r="O441" s="204"/>
      <c r="P441" s="204"/>
      <c r="Q441" s="204"/>
      <c r="R441" s="123"/>
      <c r="S441" s="204"/>
      <c r="T441" s="204"/>
      <c r="U441" s="204"/>
      <c r="V441" s="123"/>
      <c r="W441" s="255"/>
      <c r="X441" s="255"/>
      <c r="Y441" s="255"/>
      <c r="Z441" s="123"/>
      <c r="AD441" s="123"/>
      <c r="AF441" s="255"/>
      <c r="AG441" s="255"/>
      <c r="AH441" s="123"/>
      <c r="AI441" s="32"/>
      <c r="AJ441" s="39"/>
      <c r="AL441" s="404"/>
    </row>
    <row r="442" spans="1:38" x14ac:dyDescent="0.25">
      <c r="A442" s="194">
        <v>437</v>
      </c>
      <c r="B442" s="12" t="s">
        <v>20</v>
      </c>
      <c r="E442" s="224">
        <f>'1501 Summary'!AD311</f>
        <v>10134.079999999998</v>
      </c>
      <c r="F442" s="123"/>
      <c r="G442" s="255"/>
      <c r="H442" s="255"/>
      <c r="I442" s="255"/>
      <c r="J442" s="123"/>
      <c r="K442" s="202"/>
      <c r="L442" s="266"/>
      <c r="M442" s="204"/>
      <c r="N442" s="123"/>
      <c r="O442" s="204"/>
      <c r="P442" s="204"/>
      <c r="Q442" s="204"/>
      <c r="R442" s="123"/>
      <c r="S442" s="204"/>
      <c r="T442" s="204"/>
      <c r="U442" s="204"/>
      <c r="V442" s="123"/>
      <c r="W442" s="255"/>
      <c r="X442" s="255"/>
      <c r="Y442" s="255"/>
      <c r="Z442" s="123"/>
      <c r="AD442" s="123"/>
      <c r="AF442" s="255"/>
      <c r="AG442" s="255"/>
      <c r="AH442" s="123"/>
      <c r="AI442" s="32"/>
      <c r="AJ442" s="39"/>
      <c r="AL442" s="404"/>
    </row>
    <row r="443" spans="1:38" x14ac:dyDescent="0.25">
      <c r="A443" s="194">
        <v>438</v>
      </c>
      <c r="B443" s="12" t="s">
        <v>188</v>
      </c>
      <c r="E443" s="224">
        <f>'1501 Summary'!AD312</f>
        <v>0</v>
      </c>
      <c r="F443" s="123"/>
      <c r="G443" s="255"/>
      <c r="H443" s="255"/>
      <c r="I443" s="255"/>
      <c r="J443" s="123"/>
      <c r="K443" s="202"/>
      <c r="L443" s="266"/>
      <c r="M443" s="204"/>
      <c r="N443" s="123"/>
      <c r="O443" s="204"/>
      <c r="P443" s="204"/>
      <c r="Q443" s="204"/>
      <c r="R443" s="123"/>
      <c r="S443" s="204"/>
      <c r="T443" s="204"/>
      <c r="U443" s="204"/>
      <c r="V443" s="123"/>
      <c r="W443" s="255"/>
      <c r="X443" s="255"/>
      <c r="Y443" s="255"/>
      <c r="Z443" s="123"/>
      <c r="AD443" s="123"/>
      <c r="AF443" s="255"/>
      <c r="AG443" s="255"/>
      <c r="AH443" s="123"/>
      <c r="AI443" s="32"/>
      <c r="AJ443" s="39"/>
      <c r="AL443" s="404"/>
    </row>
    <row r="444" spans="1:38" x14ac:dyDescent="0.25">
      <c r="A444" s="194">
        <v>439</v>
      </c>
      <c r="B444" s="5" t="s">
        <v>53</v>
      </c>
      <c r="E444" s="224">
        <f>'Revenue Reconcilliation'!Q300</f>
        <v>-238843.04</v>
      </c>
      <c r="F444" s="123"/>
      <c r="G444" s="255"/>
      <c r="H444" s="255"/>
      <c r="I444" s="255"/>
      <c r="J444" s="123"/>
      <c r="K444" s="202"/>
      <c r="L444" s="266"/>
      <c r="M444" s="204"/>
      <c r="N444" s="123"/>
      <c r="O444" s="204"/>
      <c r="P444" s="204"/>
      <c r="Q444" s="204"/>
      <c r="R444" s="123"/>
      <c r="S444" s="204"/>
      <c r="T444" s="204"/>
      <c r="U444" s="204"/>
      <c r="V444" s="123"/>
      <c r="W444" s="255"/>
      <c r="X444" s="255"/>
      <c r="Y444" s="255"/>
      <c r="Z444" s="123"/>
      <c r="AD444" s="123"/>
      <c r="AF444" s="255"/>
      <c r="AG444" s="255"/>
      <c r="AH444" s="123"/>
      <c r="AI444" s="32"/>
      <c r="AJ444" s="39"/>
      <c r="AL444" s="404"/>
    </row>
    <row r="445" spans="1:38" x14ac:dyDescent="0.25">
      <c r="A445" s="194">
        <v>440</v>
      </c>
      <c r="B445" s="5" t="s">
        <v>54</v>
      </c>
      <c r="E445" s="224">
        <f>'Revenue Reconcilliation'!Q301</f>
        <v>238194.59</v>
      </c>
      <c r="F445" s="123"/>
      <c r="G445" s="255"/>
      <c r="H445" s="255"/>
      <c r="I445" s="255"/>
      <c r="J445" s="123"/>
      <c r="K445" s="202"/>
      <c r="L445" s="266"/>
      <c r="M445" s="204"/>
      <c r="N445" s="123"/>
      <c r="O445" s="204"/>
      <c r="P445" s="204"/>
      <c r="Q445" s="204"/>
      <c r="R445" s="123"/>
      <c r="S445" s="204"/>
      <c r="T445" s="204"/>
      <c r="U445" s="204"/>
      <c r="V445" s="123"/>
      <c r="W445" s="255"/>
      <c r="X445" s="255"/>
      <c r="Y445" s="255"/>
      <c r="Z445" s="123"/>
      <c r="AD445" s="123"/>
      <c r="AF445" s="255"/>
      <c r="AG445" s="255"/>
      <c r="AH445" s="123"/>
      <c r="AI445" s="32"/>
      <c r="AJ445" s="39"/>
      <c r="AL445" s="404"/>
    </row>
    <row r="446" spans="1:38" x14ac:dyDescent="0.25">
      <c r="A446" s="194">
        <v>441</v>
      </c>
      <c r="B446" s="11" t="s">
        <v>91</v>
      </c>
      <c r="E446" s="224">
        <f>SUM(E442:E445)</f>
        <v>9485.6299999999756</v>
      </c>
      <c r="F446" s="123"/>
      <c r="G446" s="255"/>
      <c r="H446" s="255"/>
      <c r="I446" s="255"/>
      <c r="J446" s="123"/>
      <c r="K446" s="202"/>
      <c r="L446" s="266"/>
      <c r="M446" s="204"/>
      <c r="N446" s="123"/>
      <c r="O446" s="204"/>
      <c r="P446" s="204"/>
      <c r="Q446" s="204"/>
      <c r="R446" s="123"/>
      <c r="S446" s="204"/>
      <c r="T446" s="204"/>
      <c r="U446" s="204"/>
      <c r="V446" s="123"/>
      <c r="W446" s="255"/>
      <c r="X446" s="255"/>
      <c r="Y446" s="255"/>
      <c r="Z446" s="123"/>
      <c r="AD446" s="123"/>
      <c r="AF446" s="255"/>
      <c r="AG446" s="255"/>
      <c r="AH446" s="123"/>
      <c r="AI446" s="32"/>
      <c r="AJ446" s="39"/>
      <c r="AL446" s="404"/>
    </row>
    <row r="447" spans="1:38" x14ac:dyDescent="0.25">
      <c r="A447" s="194">
        <v>442</v>
      </c>
      <c r="B447" s="5"/>
      <c r="E447" s="224"/>
      <c r="F447" s="117"/>
      <c r="G447" s="204"/>
      <c r="H447" s="204"/>
      <c r="I447" s="204"/>
      <c r="J447" s="117"/>
      <c r="K447" s="202"/>
      <c r="L447" s="266"/>
      <c r="M447" s="204"/>
      <c r="N447" s="117"/>
      <c r="O447" s="204"/>
      <c r="P447" s="204"/>
      <c r="Q447" s="204"/>
      <c r="R447" s="117"/>
      <c r="S447" s="204"/>
      <c r="T447" s="204"/>
      <c r="U447" s="204"/>
      <c r="V447" s="117"/>
      <c r="W447" s="204"/>
      <c r="X447" s="204"/>
      <c r="Y447" s="204"/>
      <c r="Z447" s="117"/>
      <c r="AD447" s="117"/>
      <c r="AF447" s="204"/>
      <c r="AG447" s="204"/>
      <c r="AH447" s="117"/>
      <c r="AI447" s="32"/>
      <c r="AJ447" s="39"/>
      <c r="AL447" s="404"/>
    </row>
    <row r="448" spans="1:38" x14ac:dyDescent="0.25">
      <c r="A448" s="194">
        <v>443</v>
      </c>
      <c r="B448" s="51" t="s">
        <v>140</v>
      </c>
      <c r="C448" s="208">
        <f>E448-'Revenue Reconcilliation'!Q302</f>
        <v>0</v>
      </c>
      <c r="D448" s="209" t="s">
        <v>45</v>
      </c>
      <c r="E448" s="228">
        <f>SUM(E439,E446)</f>
        <v>238194.58999999997</v>
      </c>
      <c r="F448" s="118"/>
      <c r="G448" s="207"/>
      <c r="H448" s="207"/>
      <c r="I448" s="207"/>
      <c r="J448" s="118"/>
      <c r="K448" s="239"/>
      <c r="L448" s="283"/>
      <c r="M448" s="207"/>
      <c r="N448" s="118"/>
      <c r="O448" s="207"/>
      <c r="P448" s="207"/>
      <c r="Q448" s="207"/>
      <c r="R448" s="118"/>
      <c r="S448" s="207"/>
      <c r="T448" s="207"/>
      <c r="U448" s="207"/>
      <c r="V448" s="118"/>
      <c r="W448" s="207"/>
      <c r="X448" s="207"/>
      <c r="Y448" s="207"/>
      <c r="Z448" s="118"/>
      <c r="AA448" s="209"/>
      <c r="AB448" s="209"/>
      <c r="AC448" s="209"/>
      <c r="AD448" s="118"/>
      <c r="AE448" s="239"/>
      <c r="AF448" s="207"/>
      <c r="AG448" s="207"/>
      <c r="AH448" s="118"/>
      <c r="AI448" s="38"/>
      <c r="AJ448" s="40"/>
      <c r="AK448" s="52"/>
      <c r="AL448" s="404"/>
    </row>
    <row r="449" spans="1:38" x14ac:dyDescent="0.25">
      <c r="A449" s="194">
        <v>444</v>
      </c>
      <c r="E449" s="204"/>
      <c r="F449" s="117"/>
      <c r="G449" s="204"/>
      <c r="H449" s="204"/>
      <c r="I449" s="204"/>
      <c r="J449" s="117"/>
      <c r="K449" s="202"/>
      <c r="L449" s="266"/>
      <c r="M449" s="204"/>
      <c r="N449" s="117"/>
      <c r="O449" s="204"/>
      <c r="P449" s="204"/>
      <c r="Q449" s="204"/>
      <c r="R449" s="117"/>
      <c r="S449" s="204"/>
      <c r="T449" s="204"/>
      <c r="U449" s="204"/>
      <c r="V449" s="117"/>
      <c r="W449" s="204"/>
      <c r="X449" s="204"/>
      <c r="Y449" s="204"/>
      <c r="Z449" s="117"/>
      <c r="AD449" s="117"/>
      <c r="AF449" s="204"/>
      <c r="AG449" s="204"/>
      <c r="AH449" s="117"/>
      <c r="AI449" s="32"/>
      <c r="AJ449" s="39"/>
      <c r="AL449" s="404"/>
    </row>
    <row r="450" spans="1:38" x14ac:dyDescent="0.25">
      <c r="A450" s="194">
        <v>445</v>
      </c>
      <c r="B450" s="18" t="s">
        <v>149</v>
      </c>
      <c r="E450" s="204"/>
      <c r="F450" s="117"/>
      <c r="G450" s="196" t="s">
        <v>527</v>
      </c>
      <c r="H450" s="204"/>
      <c r="I450" s="204"/>
      <c r="J450" s="117"/>
      <c r="K450" s="202"/>
      <c r="L450" s="266"/>
      <c r="M450" s="204"/>
      <c r="N450" s="117"/>
      <c r="O450" s="204"/>
      <c r="P450" s="204"/>
      <c r="Q450" s="204"/>
      <c r="R450" s="117"/>
      <c r="S450" s="204"/>
      <c r="T450" s="204"/>
      <c r="U450" s="204"/>
      <c r="V450" s="117"/>
      <c r="W450" s="204"/>
      <c r="X450" s="204"/>
      <c r="Y450" s="204"/>
      <c r="Z450" s="117"/>
      <c r="AD450" s="117"/>
      <c r="AF450" s="204"/>
      <c r="AG450" s="204"/>
      <c r="AH450" s="117"/>
      <c r="AI450" s="32"/>
      <c r="AJ450" s="39"/>
      <c r="AL450" s="404"/>
    </row>
    <row r="451" spans="1:38" x14ac:dyDescent="0.25">
      <c r="A451" s="194">
        <v>446</v>
      </c>
      <c r="B451" s="29" t="s">
        <v>9</v>
      </c>
      <c r="C451" s="220">
        <f t="shared" ref="C451:C457" si="115">E451/D451</f>
        <v>24</v>
      </c>
      <c r="D451" s="232">
        <v>625</v>
      </c>
      <c r="E451" s="204">
        <f>'1501 Summary'!AD319</f>
        <v>15000</v>
      </c>
      <c r="F451" s="112"/>
      <c r="G451" s="279">
        <f>-C451</f>
        <v>-24</v>
      </c>
      <c r="H451" s="204">
        <f>D451</f>
        <v>625</v>
      </c>
      <c r="I451" s="204">
        <f>H451*G451</f>
        <v>-15000</v>
      </c>
      <c r="J451" s="112"/>
      <c r="K451" s="202">
        <f t="shared" ref="K451:K484" si="116">C451+G451</f>
        <v>0</v>
      </c>
      <c r="L451" s="203">
        <f t="shared" si="108"/>
        <v>625</v>
      </c>
      <c r="M451" s="204">
        <f t="shared" ref="M451:M484" si="117">L451*K451</f>
        <v>0</v>
      </c>
      <c r="N451" s="112"/>
      <c r="O451" s="204"/>
      <c r="P451" s="204"/>
      <c r="Q451" s="204"/>
      <c r="R451" s="112"/>
      <c r="S451" s="204"/>
      <c r="T451" s="204"/>
      <c r="U451" s="204"/>
      <c r="V451" s="112"/>
      <c r="W451" s="203"/>
      <c r="X451" s="203"/>
      <c r="Y451" s="203"/>
      <c r="Z451" s="112"/>
      <c r="AA451" s="216"/>
      <c r="AB451" s="216"/>
      <c r="AC451" s="216"/>
      <c r="AD451" s="112"/>
      <c r="AF451" s="203"/>
      <c r="AG451" s="203"/>
      <c r="AH451" s="112"/>
      <c r="AI451" s="32"/>
      <c r="AJ451" s="39"/>
      <c r="AK451" s="39"/>
      <c r="AL451" s="404"/>
    </row>
    <row r="452" spans="1:38" x14ac:dyDescent="0.25">
      <c r="A452" s="194">
        <v>447</v>
      </c>
      <c r="B452" s="27" t="s">
        <v>157</v>
      </c>
      <c r="C452" s="202">
        <f>E452/D452</f>
        <v>6240000</v>
      </c>
      <c r="D452" s="231">
        <v>0.2</v>
      </c>
      <c r="E452" s="204">
        <f>'1501 Summary'!AD320</f>
        <v>1248000</v>
      </c>
      <c r="F452" s="112"/>
      <c r="G452" s="279">
        <f t="shared" ref="G452" si="118">-C452</f>
        <v>-6240000</v>
      </c>
      <c r="H452" s="204">
        <f t="shared" ref="H452" si="119">D452</f>
        <v>0.2</v>
      </c>
      <c r="I452" s="204">
        <f t="shared" ref="I452" si="120">H452*G452</f>
        <v>-1248000</v>
      </c>
      <c r="J452" s="112"/>
      <c r="K452" s="202">
        <f t="shared" si="116"/>
        <v>0</v>
      </c>
      <c r="L452" s="266">
        <f t="shared" si="108"/>
        <v>0.2</v>
      </c>
      <c r="M452" s="204">
        <f t="shared" si="117"/>
        <v>0</v>
      </c>
      <c r="N452" s="112"/>
      <c r="O452" s="204"/>
      <c r="P452" s="204"/>
      <c r="Q452" s="204"/>
      <c r="R452" s="112"/>
      <c r="S452" s="204"/>
      <c r="T452" s="204"/>
      <c r="U452" s="204"/>
      <c r="V452" s="112"/>
      <c r="W452" s="203"/>
      <c r="X452" s="203"/>
      <c r="Y452" s="203"/>
      <c r="Z452" s="112"/>
      <c r="AA452" s="216"/>
      <c r="AB452" s="216"/>
      <c r="AC452" s="216"/>
      <c r="AD452" s="112"/>
      <c r="AF452" s="203"/>
      <c r="AG452" s="203"/>
      <c r="AH452" s="112"/>
      <c r="AI452" s="32"/>
      <c r="AJ452" s="39"/>
      <c r="AK452" s="39"/>
      <c r="AL452" s="404"/>
    </row>
    <row r="453" spans="1:38" x14ac:dyDescent="0.25">
      <c r="A453" s="194">
        <v>448</v>
      </c>
      <c r="B453" s="27" t="s">
        <v>158</v>
      </c>
      <c r="C453" s="202">
        <f t="shared" si="115"/>
        <v>137398200</v>
      </c>
      <c r="D453" s="205">
        <v>4.0000000000000002E-4</v>
      </c>
      <c r="E453" s="204">
        <f>'1501 Summary'!AD321</f>
        <v>54959.280000000006</v>
      </c>
      <c r="F453" s="112"/>
      <c r="G453" s="279">
        <f t="shared" ref="G453:G457" si="121">-C453</f>
        <v>-137398200</v>
      </c>
      <c r="H453" s="204">
        <f t="shared" ref="H453:H457" si="122">D453</f>
        <v>4.0000000000000002E-4</v>
      </c>
      <c r="I453" s="204">
        <f t="shared" ref="I453:I457" si="123">H453*G453</f>
        <v>-54959.280000000006</v>
      </c>
      <c r="J453" s="112"/>
      <c r="K453" s="202">
        <f t="shared" si="116"/>
        <v>0</v>
      </c>
      <c r="L453" s="266">
        <f t="shared" si="108"/>
        <v>4.0000000000000002E-4</v>
      </c>
      <c r="M453" s="204">
        <f t="shared" si="117"/>
        <v>0</v>
      </c>
      <c r="N453" s="112"/>
      <c r="O453" s="204"/>
      <c r="P453" s="204"/>
      <c r="Q453" s="204"/>
      <c r="R453" s="112"/>
      <c r="S453" s="204"/>
      <c r="T453" s="204"/>
      <c r="U453" s="204"/>
      <c r="V453" s="112"/>
      <c r="W453" s="203"/>
      <c r="X453" s="203"/>
      <c r="Y453" s="203"/>
      <c r="Z453" s="112"/>
      <c r="AA453" s="216"/>
      <c r="AB453" s="216"/>
      <c r="AC453" s="216"/>
      <c r="AD453" s="112"/>
      <c r="AF453" s="203"/>
      <c r="AG453" s="203"/>
      <c r="AH453" s="112"/>
      <c r="AI453" s="32"/>
      <c r="AJ453" s="39"/>
      <c r="AK453" s="39"/>
      <c r="AL453" s="404"/>
    </row>
    <row r="454" spans="1:38" x14ac:dyDescent="0.25">
      <c r="A454" s="194">
        <v>449</v>
      </c>
      <c r="B454" s="27" t="s">
        <v>159</v>
      </c>
      <c r="C454" s="202">
        <f t="shared" si="115"/>
        <v>1200000</v>
      </c>
      <c r="D454" s="205">
        <v>5.3310000000000003E-2</v>
      </c>
      <c r="E454" s="204">
        <f>'1501 Summary'!AD322</f>
        <v>63972</v>
      </c>
      <c r="F454" s="112"/>
      <c r="G454" s="279">
        <f t="shared" si="121"/>
        <v>-1200000</v>
      </c>
      <c r="H454" s="204">
        <f t="shared" si="122"/>
        <v>5.3310000000000003E-2</v>
      </c>
      <c r="I454" s="204">
        <f t="shared" si="123"/>
        <v>-63972.000000000007</v>
      </c>
      <c r="J454" s="112"/>
      <c r="K454" s="202">
        <f t="shared" si="116"/>
        <v>0</v>
      </c>
      <c r="L454" s="266">
        <v>5.9889999999999999E-2</v>
      </c>
      <c r="M454" s="204">
        <f t="shared" si="117"/>
        <v>0</v>
      </c>
      <c r="N454" s="112"/>
      <c r="O454" s="204"/>
      <c r="P454" s="204"/>
      <c r="Q454" s="204"/>
      <c r="R454" s="112"/>
      <c r="S454" s="204"/>
      <c r="T454" s="204"/>
      <c r="U454" s="204"/>
      <c r="V454" s="112"/>
      <c r="W454" s="203"/>
      <c r="X454" s="203"/>
      <c r="Y454" s="203"/>
      <c r="Z454" s="112"/>
      <c r="AA454" s="216"/>
      <c r="AB454" s="216"/>
      <c r="AC454" s="216"/>
      <c r="AD454" s="112"/>
      <c r="AF454" s="203"/>
      <c r="AG454" s="203"/>
      <c r="AH454" s="112"/>
      <c r="AI454" s="32"/>
      <c r="AJ454" s="39"/>
      <c r="AK454" s="39"/>
      <c r="AL454" s="404"/>
    </row>
    <row r="455" spans="1:38" x14ac:dyDescent="0.25">
      <c r="A455" s="194">
        <v>450</v>
      </c>
      <c r="B455" s="27" t="s">
        <v>127</v>
      </c>
      <c r="C455" s="202">
        <f t="shared" si="115"/>
        <v>2521542.4164524423</v>
      </c>
      <c r="D455" s="205">
        <v>1.9449999999999999E-2</v>
      </c>
      <c r="E455" s="204">
        <f>'1501 Summary'!AD323</f>
        <v>49044</v>
      </c>
      <c r="F455" s="112"/>
      <c r="G455" s="279">
        <f t="shared" si="121"/>
        <v>-2521542.4164524423</v>
      </c>
      <c r="H455" s="204">
        <f t="shared" si="122"/>
        <v>1.9449999999999999E-2</v>
      </c>
      <c r="I455" s="204">
        <f t="shared" si="123"/>
        <v>-49044</v>
      </c>
      <c r="J455" s="112"/>
      <c r="K455" s="202">
        <f t="shared" si="116"/>
        <v>0</v>
      </c>
      <c r="L455" s="266">
        <v>2.3029999999999998E-2</v>
      </c>
      <c r="M455" s="204">
        <f t="shared" si="117"/>
        <v>0</v>
      </c>
      <c r="N455" s="112"/>
      <c r="O455" s="204"/>
      <c r="P455" s="204"/>
      <c r="Q455" s="204"/>
      <c r="R455" s="112"/>
      <c r="S455" s="204"/>
      <c r="T455" s="204"/>
      <c r="U455" s="204"/>
      <c r="V455" s="112"/>
      <c r="W455" s="203"/>
      <c r="X455" s="203"/>
      <c r="Y455" s="203"/>
      <c r="Z455" s="112"/>
      <c r="AA455" s="216"/>
      <c r="AB455" s="216"/>
      <c r="AC455" s="216"/>
      <c r="AD455" s="112"/>
      <c r="AF455" s="203"/>
      <c r="AG455" s="203"/>
      <c r="AH455" s="112"/>
      <c r="AI455" s="32"/>
      <c r="AJ455" s="39"/>
      <c r="AK455" s="39"/>
      <c r="AL455" s="404"/>
    </row>
    <row r="456" spans="1:38" x14ac:dyDescent="0.25">
      <c r="A456" s="194">
        <v>451</v>
      </c>
      <c r="B456" s="27" t="s">
        <v>127</v>
      </c>
      <c r="C456" s="202">
        <f t="shared" si="115"/>
        <v>2200000</v>
      </c>
      <c r="D456" s="205">
        <v>1.1820000000000001E-2</v>
      </c>
      <c r="E456" s="204">
        <f>'1501 Summary'!AD324</f>
        <v>26004</v>
      </c>
      <c r="F456" s="112"/>
      <c r="G456" s="279">
        <f t="shared" si="121"/>
        <v>-2200000</v>
      </c>
      <c r="H456" s="204">
        <f t="shared" si="122"/>
        <v>1.1820000000000001E-2</v>
      </c>
      <c r="I456" s="204">
        <f t="shared" si="123"/>
        <v>-26004</v>
      </c>
      <c r="J456" s="112"/>
      <c r="K456" s="202">
        <f t="shared" si="116"/>
        <v>0</v>
      </c>
      <c r="L456" s="266">
        <v>1.473E-2</v>
      </c>
      <c r="M456" s="204">
        <f t="shared" si="117"/>
        <v>0</v>
      </c>
      <c r="N456" s="112"/>
      <c r="O456" s="204"/>
      <c r="P456" s="204"/>
      <c r="Q456" s="204"/>
      <c r="R456" s="112"/>
      <c r="S456" s="204"/>
      <c r="T456" s="204"/>
      <c r="U456" s="204"/>
      <c r="V456" s="112"/>
      <c r="W456" s="203"/>
      <c r="X456" s="203"/>
      <c r="Y456" s="203"/>
      <c r="Z456" s="112"/>
      <c r="AA456" s="216"/>
      <c r="AB456" s="216"/>
      <c r="AC456" s="216"/>
      <c r="AD456" s="112"/>
      <c r="AF456" s="203"/>
      <c r="AG456" s="203"/>
      <c r="AH456" s="112"/>
      <c r="AI456" s="32"/>
      <c r="AJ456" s="39"/>
      <c r="AK456" s="39"/>
      <c r="AL456" s="404"/>
    </row>
    <row r="457" spans="1:38" x14ac:dyDescent="0.25">
      <c r="A457" s="194">
        <v>452</v>
      </c>
      <c r="B457" s="104" t="s">
        <v>128</v>
      </c>
      <c r="C457" s="202">
        <f t="shared" si="115"/>
        <v>131398231.31672597</v>
      </c>
      <c r="D457" s="205">
        <v>5.62E-3</v>
      </c>
      <c r="E457" s="207">
        <f>'1501 Summary'!AD325</f>
        <v>738458.05999999994</v>
      </c>
      <c r="F457" s="112"/>
      <c r="G457" s="279">
        <f t="shared" si="121"/>
        <v>-131398231.31672597</v>
      </c>
      <c r="H457" s="204">
        <f t="shared" si="122"/>
        <v>5.62E-3</v>
      </c>
      <c r="I457" s="207">
        <f t="shared" si="123"/>
        <v>-738458.05999999994</v>
      </c>
      <c r="J457" s="112"/>
      <c r="K457" s="202">
        <f t="shared" si="116"/>
        <v>0</v>
      </c>
      <c r="L457" s="266">
        <v>7.9799999999999992E-3</v>
      </c>
      <c r="M457" s="207">
        <f t="shared" si="117"/>
        <v>0</v>
      </c>
      <c r="N457" s="112"/>
      <c r="O457" s="204"/>
      <c r="P457" s="204"/>
      <c r="Q457" s="204"/>
      <c r="R457" s="112"/>
      <c r="S457" s="204"/>
      <c r="T457" s="204"/>
      <c r="U457" s="204"/>
      <c r="V457" s="112"/>
      <c r="W457" s="203"/>
      <c r="X457" s="203"/>
      <c r="Y457" s="203"/>
      <c r="Z457" s="112"/>
      <c r="AA457" s="216"/>
      <c r="AB457" s="216"/>
      <c r="AC457" s="216"/>
      <c r="AD457" s="112"/>
      <c r="AF457" s="203"/>
      <c r="AG457" s="203"/>
      <c r="AH457" s="112"/>
      <c r="AI457" s="32"/>
      <c r="AJ457" s="39"/>
      <c r="AK457" s="39"/>
      <c r="AL457" s="404"/>
    </row>
    <row r="458" spans="1:38" x14ac:dyDescent="0.25">
      <c r="A458" s="194">
        <v>453</v>
      </c>
      <c r="B458" s="12" t="s">
        <v>10</v>
      </c>
      <c r="E458" s="204">
        <f>SUM(E451:E457)</f>
        <v>2195437.34</v>
      </c>
      <c r="F458" s="112"/>
      <c r="G458" s="203"/>
      <c r="H458" s="203"/>
      <c r="I458" s="203">
        <f>SUM(I451:I457)</f>
        <v>-2195437.34</v>
      </c>
      <c r="J458" s="112"/>
      <c r="K458" s="202"/>
      <c r="L458" s="266"/>
      <c r="M458" s="204">
        <f>SUM(M451:M457)</f>
        <v>0</v>
      </c>
      <c r="N458" s="112"/>
      <c r="O458" s="204"/>
      <c r="P458" s="204"/>
      <c r="Q458" s="204"/>
      <c r="R458" s="112"/>
      <c r="S458" s="204"/>
      <c r="T458" s="204"/>
      <c r="U458" s="204"/>
      <c r="V458" s="112"/>
      <c r="W458" s="203"/>
      <c r="X458" s="203"/>
      <c r="Y458" s="203"/>
      <c r="Z458" s="112"/>
      <c r="AA458" s="216"/>
      <c r="AB458" s="216"/>
      <c r="AC458" s="216"/>
      <c r="AD458" s="112"/>
      <c r="AF458" s="203"/>
      <c r="AG458" s="203"/>
      <c r="AH458" s="112"/>
      <c r="AI458" s="32"/>
      <c r="AJ458" s="39"/>
      <c r="AK458" s="39"/>
      <c r="AL458" s="404"/>
    </row>
    <row r="459" spans="1:38" x14ac:dyDescent="0.25">
      <c r="A459" s="194">
        <v>454</v>
      </c>
      <c r="B459" s="27"/>
      <c r="E459" s="204"/>
      <c r="F459" s="117"/>
      <c r="G459" s="204"/>
      <c r="H459" s="204"/>
      <c r="I459" s="204"/>
      <c r="J459" s="117"/>
      <c r="K459" s="202"/>
      <c r="L459" s="266"/>
      <c r="M459" s="203"/>
      <c r="N459" s="117"/>
      <c r="O459" s="204"/>
      <c r="P459" s="204"/>
      <c r="Q459" s="204"/>
      <c r="R459" s="117"/>
      <c r="S459" s="204"/>
      <c r="T459" s="204"/>
      <c r="U459" s="204"/>
      <c r="V459" s="117"/>
      <c r="W459" s="204"/>
      <c r="X459" s="204"/>
      <c r="Y459" s="204"/>
      <c r="Z459" s="117"/>
      <c r="AD459" s="117"/>
      <c r="AF459" s="204"/>
      <c r="AG459" s="204"/>
      <c r="AH459" s="117"/>
      <c r="AI459" s="32"/>
      <c r="AJ459" s="39"/>
      <c r="AL459" s="404"/>
    </row>
    <row r="460" spans="1:38" x14ac:dyDescent="0.25">
      <c r="A460" s="194">
        <v>455</v>
      </c>
      <c r="B460" s="12" t="s">
        <v>12</v>
      </c>
      <c r="E460" s="204"/>
      <c r="F460" s="117"/>
      <c r="G460" s="204"/>
      <c r="H460" s="204"/>
      <c r="I460" s="204"/>
      <c r="J460" s="117"/>
      <c r="K460" s="202"/>
      <c r="L460" s="266"/>
      <c r="M460" s="203"/>
      <c r="N460" s="117"/>
      <c r="O460" s="204"/>
      <c r="P460" s="204"/>
      <c r="Q460" s="204"/>
      <c r="R460" s="117"/>
      <c r="S460" s="204"/>
      <c r="T460" s="204"/>
      <c r="U460" s="204"/>
      <c r="V460" s="117"/>
      <c r="W460" s="204"/>
      <c r="X460" s="204"/>
      <c r="Y460" s="204"/>
      <c r="Z460" s="117"/>
      <c r="AD460" s="117"/>
      <c r="AF460" s="204"/>
      <c r="AG460" s="204"/>
      <c r="AH460" s="117"/>
      <c r="AI460" s="32"/>
      <c r="AJ460" s="39"/>
      <c r="AL460" s="404"/>
    </row>
    <row r="461" spans="1:38" x14ac:dyDescent="0.25">
      <c r="A461" s="194">
        <v>456</v>
      </c>
      <c r="B461" s="27" t="s">
        <v>181</v>
      </c>
      <c r="E461" s="204">
        <f>'1501 Summary'!AD326</f>
        <v>-87576.800000000017</v>
      </c>
      <c r="F461" s="112"/>
      <c r="G461" s="203"/>
      <c r="H461" s="203"/>
      <c r="I461" s="203"/>
      <c r="J461" s="112"/>
      <c r="K461" s="202"/>
      <c r="L461" s="266"/>
      <c r="M461" s="203"/>
      <c r="N461" s="112"/>
      <c r="O461" s="204"/>
      <c r="P461" s="204"/>
      <c r="Q461" s="204"/>
      <c r="R461" s="112"/>
      <c r="S461" s="204"/>
      <c r="T461" s="204"/>
      <c r="U461" s="204"/>
      <c r="V461" s="112"/>
      <c r="W461" s="203"/>
      <c r="X461" s="203"/>
      <c r="Y461" s="203"/>
      <c r="Z461" s="112"/>
      <c r="AD461" s="112"/>
      <c r="AF461" s="203"/>
      <c r="AG461" s="203"/>
      <c r="AH461" s="112"/>
      <c r="AI461" s="32"/>
      <c r="AJ461" s="39"/>
      <c r="AL461" s="404"/>
    </row>
    <row r="462" spans="1:38" x14ac:dyDescent="0.25">
      <c r="A462" s="194">
        <v>457</v>
      </c>
      <c r="B462" s="27" t="s">
        <v>182</v>
      </c>
      <c r="E462" s="204">
        <f>'1501 Summary'!AD327</f>
        <v>-39477.209999999992</v>
      </c>
      <c r="F462" s="112"/>
      <c r="G462" s="203"/>
      <c r="H462" s="203"/>
      <c r="I462" s="203"/>
      <c r="J462" s="112"/>
      <c r="K462" s="202"/>
      <c r="L462" s="266"/>
      <c r="M462" s="203"/>
      <c r="N462" s="112"/>
      <c r="O462" s="204"/>
      <c r="P462" s="204"/>
      <c r="Q462" s="204"/>
      <c r="R462" s="112"/>
      <c r="S462" s="204"/>
      <c r="T462" s="204"/>
      <c r="U462" s="204"/>
      <c r="V462" s="112"/>
      <c r="W462" s="203"/>
      <c r="X462" s="203"/>
      <c r="Y462" s="203"/>
      <c r="Z462" s="112"/>
      <c r="AD462" s="112"/>
      <c r="AF462" s="203"/>
      <c r="AG462" s="203"/>
      <c r="AH462" s="112"/>
      <c r="AI462" s="32"/>
      <c r="AJ462" s="39"/>
      <c r="AL462" s="404"/>
    </row>
    <row r="463" spans="1:38" x14ac:dyDescent="0.25">
      <c r="A463" s="194">
        <v>458</v>
      </c>
      <c r="B463" s="27" t="s">
        <v>183</v>
      </c>
      <c r="E463" s="204">
        <f>'1501 Summary'!AD328</f>
        <v>-67337.549999999988</v>
      </c>
      <c r="F463" s="112"/>
      <c r="G463" s="203"/>
      <c r="H463" s="203"/>
      <c r="I463" s="203"/>
      <c r="J463" s="112"/>
      <c r="K463" s="202"/>
      <c r="L463" s="266"/>
      <c r="M463" s="203"/>
      <c r="N463" s="112"/>
      <c r="O463" s="204"/>
      <c r="P463" s="204"/>
      <c r="Q463" s="204"/>
      <c r="R463" s="112"/>
      <c r="S463" s="204"/>
      <c r="T463" s="204"/>
      <c r="U463" s="204"/>
      <c r="V463" s="112"/>
      <c r="W463" s="203"/>
      <c r="X463" s="203"/>
      <c r="Y463" s="203"/>
      <c r="Z463" s="112"/>
      <c r="AD463" s="112"/>
      <c r="AF463" s="203"/>
      <c r="AG463" s="203"/>
      <c r="AH463" s="112"/>
      <c r="AI463" s="32"/>
      <c r="AJ463" s="39"/>
      <c r="AL463" s="404"/>
    </row>
    <row r="464" spans="1:38" x14ac:dyDescent="0.25">
      <c r="A464" s="194">
        <v>459</v>
      </c>
      <c r="B464" s="27" t="s">
        <v>115</v>
      </c>
      <c r="E464" s="204">
        <f>'1501 Summary'!AD329</f>
        <v>42466.44999999999</v>
      </c>
      <c r="F464" s="112"/>
      <c r="G464" s="203"/>
      <c r="H464" s="203"/>
      <c r="I464" s="203"/>
      <c r="J464" s="112"/>
      <c r="K464" s="202"/>
      <c r="L464" s="266"/>
      <c r="M464" s="203"/>
      <c r="N464" s="112"/>
      <c r="O464" s="204"/>
      <c r="P464" s="204"/>
      <c r="Q464" s="204"/>
      <c r="R464" s="112"/>
      <c r="S464" s="204"/>
      <c r="T464" s="204"/>
      <c r="U464" s="204"/>
      <c r="V464" s="112"/>
      <c r="W464" s="203"/>
      <c r="X464" s="203"/>
      <c r="Y464" s="203"/>
      <c r="Z464" s="112"/>
      <c r="AD464" s="112"/>
      <c r="AF464" s="203"/>
      <c r="AG464" s="203"/>
      <c r="AH464" s="112"/>
      <c r="AI464" s="32"/>
      <c r="AJ464" s="39"/>
      <c r="AL464" s="404"/>
    </row>
    <row r="465" spans="1:38" x14ac:dyDescent="0.25">
      <c r="A465" s="194">
        <v>460</v>
      </c>
      <c r="B465" s="27" t="s">
        <v>116</v>
      </c>
      <c r="E465" s="204">
        <f>'1501 Summary'!AD330</f>
        <v>235331.93</v>
      </c>
      <c r="F465" s="112"/>
      <c r="G465" s="203"/>
      <c r="H465" s="203"/>
      <c r="I465" s="203"/>
      <c r="J465" s="112"/>
      <c r="K465" s="202"/>
      <c r="L465" s="266"/>
      <c r="M465" s="203"/>
      <c r="N465" s="112"/>
      <c r="O465" s="204"/>
      <c r="P465" s="204"/>
      <c r="Q465" s="204"/>
      <c r="R465" s="112"/>
      <c r="S465" s="204"/>
      <c r="T465" s="204"/>
      <c r="U465" s="204"/>
      <c r="V465" s="112"/>
      <c r="W465" s="203"/>
      <c r="X465" s="203"/>
      <c r="Y465" s="203"/>
      <c r="Z465" s="112"/>
      <c r="AD465" s="112"/>
      <c r="AF465" s="203"/>
      <c r="AG465" s="203"/>
      <c r="AH465" s="112"/>
      <c r="AI465" s="32"/>
      <c r="AJ465" s="39"/>
      <c r="AL465" s="404"/>
    </row>
    <row r="466" spans="1:38" x14ac:dyDescent="0.25">
      <c r="A466" s="194">
        <v>461</v>
      </c>
      <c r="B466" s="29" t="s">
        <v>20</v>
      </c>
      <c r="E466" s="204">
        <f>'1501 Summary'!AD331</f>
        <v>97279.780000000013</v>
      </c>
      <c r="F466" s="112"/>
      <c r="G466" s="203"/>
      <c r="H466" s="203"/>
      <c r="I466" s="203"/>
      <c r="J466" s="112"/>
      <c r="K466" s="202"/>
      <c r="L466" s="266"/>
      <c r="M466" s="203"/>
      <c r="N466" s="112"/>
      <c r="O466" s="204"/>
      <c r="P466" s="204"/>
      <c r="Q466" s="204"/>
      <c r="R466" s="112"/>
      <c r="S466" s="204"/>
      <c r="T466" s="204"/>
      <c r="U466" s="204"/>
      <c r="V466" s="112"/>
      <c r="W466" s="203"/>
      <c r="X466" s="203"/>
      <c r="Y466" s="203"/>
      <c r="Z466" s="112"/>
      <c r="AD466" s="112"/>
      <c r="AF466" s="203"/>
      <c r="AG466" s="203"/>
      <c r="AH466" s="112"/>
      <c r="AI466" s="32"/>
      <c r="AJ466" s="39"/>
      <c r="AL466" s="404"/>
    </row>
    <row r="467" spans="1:38" x14ac:dyDescent="0.25">
      <c r="A467" s="194">
        <v>462</v>
      </c>
      <c r="B467" s="29" t="s">
        <v>126</v>
      </c>
      <c r="E467" s="204">
        <f>'1501 Summary'!AD332</f>
        <v>720</v>
      </c>
      <c r="F467" s="112"/>
      <c r="G467" s="203"/>
      <c r="H467" s="203"/>
      <c r="I467" s="203"/>
      <c r="J467" s="112"/>
      <c r="K467" s="202"/>
      <c r="L467" s="266"/>
      <c r="M467" s="203"/>
      <c r="N467" s="112"/>
      <c r="O467" s="204"/>
      <c r="P467" s="204"/>
      <c r="Q467" s="204"/>
      <c r="R467" s="112"/>
      <c r="S467" s="204"/>
      <c r="T467" s="204"/>
      <c r="U467" s="204"/>
      <c r="V467" s="112"/>
      <c r="W467" s="203"/>
      <c r="X467" s="203"/>
      <c r="Y467" s="203"/>
      <c r="Z467" s="112"/>
      <c r="AD467" s="112"/>
      <c r="AF467" s="203"/>
      <c r="AG467" s="203"/>
      <c r="AH467" s="112"/>
      <c r="AI467" s="32"/>
      <c r="AJ467" s="39"/>
      <c r="AL467" s="404"/>
    </row>
    <row r="468" spans="1:38" x14ac:dyDescent="0.25">
      <c r="A468" s="194">
        <v>463</v>
      </c>
      <c r="B468" s="17" t="s">
        <v>191</v>
      </c>
      <c r="E468" s="204">
        <f>'Revenue Reconcilliation'!Q317</f>
        <v>-71127.929999999993</v>
      </c>
      <c r="F468" s="112"/>
      <c r="G468" s="203"/>
      <c r="H468" s="203"/>
      <c r="I468" s="203"/>
      <c r="J468" s="112"/>
      <c r="K468" s="202"/>
      <c r="L468" s="266"/>
      <c r="M468" s="203"/>
      <c r="N468" s="112"/>
      <c r="O468" s="204"/>
      <c r="P468" s="204"/>
      <c r="Q468" s="204"/>
      <c r="R468" s="112"/>
      <c r="S468" s="204"/>
      <c r="T468" s="204"/>
      <c r="U468" s="204"/>
      <c r="V468" s="112"/>
      <c r="W468" s="203"/>
      <c r="X468" s="203"/>
      <c r="Y468" s="203"/>
      <c r="Z468" s="112"/>
      <c r="AD468" s="112"/>
      <c r="AF468" s="203"/>
      <c r="AG468" s="203"/>
      <c r="AH468" s="112"/>
      <c r="AI468" s="32"/>
      <c r="AJ468" s="39"/>
      <c r="AL468" s="404"/>
    </row>
    <row r="469" spans="1:38" x14ac:dyDescent="0.25">
      <c r="A469" s="194">
        <v>464</v>
      </c>
      <c r="B469" s="5" t="s">
        <v>78</v>
      </c>
      <c r="E469" s="204">
        <f>'Revenue Reconcilliation'!Q318</f>
        <v>0</v>
      </c>
      <c r="F469" s="112"/>
      <c r="G469" s="203"/>
      <c r="H469" s="203"/>
      <c r="I469" s="203"/>
      <c r="J469" s="112"/>
      <c r="K469" s="202"/>
      <c r="L469" s="266"/>
      <c r="M469" s="203"/>
      <c r="N469" s="112"/>
      <c r="O469" s="204"/>
      <c r="P469" s="204"/>
      <c r="Q469" s="204"/>
      <c r="R469" s="112"/>
      <c r="S469" s="204"/>
      <c r="T469" s="204"/>
      <c r="U469" s="204"/>
      <c r="V469" s="112"/>
      <c r="W469" s="203"/>
      <c r="X469" s="203"/>
      <c r="Y469" s="203"/>
      <c r="Z469" s="112"/>
      <c r="AD469" s="112"/>
      <c r="AF469" s="203"/>
      <c r="AG469" s="203"/>
      <c r="AH469" s="112"/>
      <c r="AI469" s="32"/>
      <c r="AJ469" s="39"/>
      <c r="AL469" s="404"/>
    </row>
    <row r="470" spans="1:38" x14ac:dyDescent="0.25">
      <c r="A470" s="194">
        <v>465</v>
      </c>
      <c r="B470" s="5" t="s">
        <v>13</v>
      </c>
      <c r="E470" s="204">
        <f>'Revenue Reconcilliation'!Q319</f>
        <v>0</v>
      </c>
      <c r="F470" s="112"/>
      <c r="G470" s="203"/>
      <c r="H470" s="203"/>
      <c r="I470" s="203"/>
      <c r="J470" s="112"/>
      <c r="K470" s="202"/>
      <c r="L470" s="266"/>
      <c r="M470" s="203"/>
      <c r="N470" s="112"/>
      <c r="O470" s="204"/>
      <c r="P470" s="204"/>
      <c r="Q470" s="204"/>
      <c r="R470" s="112"/>
      <c r="S470" s="204"/>
      <c r="T470" s="204"/>
      <c r="U470" s="204"/>
      <c r="V470" s="112"/>
      <c r="W470" s="203"/>
      <c r="X470" s="203"/>
      <c r="Y470" s="203"/>
      <c r="Z470" s="112"/>
      <c r="AD470" s="112"/>
      <c r="AF470" s="203"/>
      <c r="AG470" s="203"/>
      <c r="AH470" s="112"/>
      <c r="AI470" s="32"/>
      <c r="AJ470" s="39"/>
      <c r="AL470" s="404"/>
    </row>
    <row r="471" spans="1:38" x14ac:dyDescent="0.25">
      <c r="A471" s="194">
        <v>466</v>
      </c>
      <c r="B471" s="5" t="s">
        <v>53</v>
      </c>
      <c r="E471" s="204">
        <f>'Revenue Reconcilliation'!Q320</f>
        <v>-2334400.6399999997</v>
      </c>
      <c r="F471" s="112"/>
      <c r="G471" s="203"/>
      <c r="H471" s="203"/>
      <c r="I471" s="203"/>
      <c r="J471" s="112"/>
      <c r="K471" s="202"/>
      <c r="L471" s="266"/>
      <c r="M471" s="203"/>
      <c r="N471" s="112"/>
      <c r="O471" s="204"/>
      <c r="P471" s="204"/>
      <c r="Q471" s="204"/>
      <c r="R471" s="112"/>
      <c r="S471" s="204"/>
      <c r="T471" s="204"/>
      <c r="U471" s="204"/>
      <c r="V471" s="112"/>
      <c r="W471" s="203"/>
      <c r="X471" s="203"/>
      <c r="Y471" s="203"/>
      <c r="Z471" s="112"/>
      <c r="AD471" s="112"/>
      <c r="AF471" s="203"/>
      <c r="AG471" s="203"/>
      <c r="AH471" s="112"/>
      <c r="AI471" s="32"/>
      <c r="AJ471" s="39"/>
      <c r="AL471" s="404"/>
    </row>
    <row r="472" spans="1:38" x14ac:dyDescent="0.25">
      <c r="A472" s="194">
        <v>467</v>
      </c>
      <c r="B472" s="5" t="s">
        <v>54</v>
      </c>
      <c r="E472" s="204">
        <f>'Revenue Reconcilliation'!Q321</f>
        <v>2340393.15</v>
      </c>
      <c r="F472" s="112"/>
      <c r="G472" s="203"/>
      <c r="H472" s="203"/>
      <c r="I472" s="203"/>
      <c r="J472" s="112"/>
      <c r="K472" s="202"/>
      <c r="L472" s="266"/>
      <c r="M472" s="203"/>
      <c r="N472" s="112"/>
      <c r="O472" s="204"/>
      <c r="P472" s="204"/>
      <c r="Q472" s="204"/>
      <c r="R472" s="112"/>
      <c r="S472" s="204"/>
      <c r="T472" s="204"/>
      <c r="U472" s="204"/>
      <c r="V472" s="112"/>
      <c r="W472" s="203"/>
      <c r="X472" s="203"/>
      <c r="Y472" s="203"/>
      <c r="Z472" s="112"/>
      <c r="AD472" s="112"/>
      <c r="AF472" s="203"/>
      <c r="AG472" s="203"/>
      <c r="AH472" s="112"/>
      <c r="AI472" s="32"/>
      <c r="AJ472" s="39"/>
      <c r="AL472" s="404"/>
    </row>
    <row r="473" spans="1:38" x14ac:dyDescent="0.25">
      <c r="A473" s="194">
        <v>468</v>
      </c>
      <c r="B473" s="11" t="s">
        <v>91</v>
      </c>
      <c r="E473" s="204">
        <f>SUM(E461:E472)</f>
        <v>116271.18000000017</v>
      </c>
      <c r="F473" s="117"/>
      <c r="G473" s="204"/>
      <c r="H473" s="204"/>
      <c r="I473" s="204"/>
      <c r="J473" s="117"/>
      <c r="K473" s="202"/>
      <c r="L473" s="266"/>
      <c r="M473" s="203"/>
      <c r="N473" s="117"/>
      <c r="O473" s="204"/>
      <c r="P473" s="204"/>
      <c r="Q473" s="204"/>
      <c r="R473" s="117"/>
      <c r="S473" s="204"/>
      <c r="T473" s="204"/>
      <c r="U473" s="204"/>
      <c r="V473" s="117"/>
      <c r="W473" s="204"/>
      <c r="X473" s="204"/>
      <c r="Y473" s="204"/>
      <c r="Z473" s="117"/>
      <c r="AD473" s="117"/>
      <c r="AF473" s="204"/>
      <c r="AG473" s="204"/>
      <c r="AH473" s="117"/>
      <c r="AI473" s="32"/>
      <c r="AJ473" s="39"/>
      <c r="AL473" s="404"/>
    </row>
    <row r="474" spans="1:38" x14ac:dyDescent="0.25">
      <c r="A474" s="194">
        <v>469</v>
      </c>
      <c r="E474" s="204"/>
      <c r="F474" s="117"/>
      <c r="G474" s="204"/>
      <c r="H474" s="204"/>
      <c r="I474" s="204"/>
      <c r="J474" s="117"/>
      <c r="K474" s="202"/>
      <c r="L474" s="266"/>
      <c r="M474" s="203"/>
      <c r="N474" s="117"/>
      <c r="O474" s="204"/>
      <c r="P474" s="204"/>
      <c r="Q474" s="204"/>
      <c r="R474" s="117"/>
      <c r="S474" s="204"/>
      <c r="T474" s="204"/>
      <c r="U474" s="204"/>
      <c r="V474" s="117"/>
      <c r="W474" s="204"/>
      <c r="X474" s="204"/>
      <c r="Y474" s="204"/>
      <c r="Z474" s="117"/>
      <c r="AD474" s="117"/>
      <c r="AF474" s="204"/>
      <c r="AG474" s="204"/>
      <c r="AH474" s="117"/>
      <c r="AI474" s="32"/>
      <c r="AJ474" s="39"/>
      <c r="AL474" s="404"/>
    </row>
    <row r="475" spans="1:38" x14ac:dyDescent="0.25">
      <c r="A475" s="194">
        <v>470</v>
      </c>
      <c r="B475" s="53" t="s">
        <v>150</v>
      </c>
      <c r="C475" s="208">
        <f>E475-'Revenue Reconcilliation'!Q322</f>
        <v>0</v>
      </c>
      <c r="D475" s="209" t="s">
        <v>45</v>
      </c>
      <c r="E475" s="207">
        <f>SUM(E458,E473)</f>
        <v>2311708.52</v>
      </c>
      <c r="F475" s="118"/>
      <c r="G475" s="207"/>
      <c r="H475" s="207"/>
      <c r="I475" s="207"/>
      <c r="J475" s="118"/>
      <c r="K475" s="239"/>
      <c r="L475" s="283"/>
      <c r="M475" s="208"/>
      <c r="N475" s="118"/>
      <c r="O475" s="207"/>
      <c r="P475" s="207"/>
      <c r="Q475" s="207"/>
      <c r="R475" s="118"/>
      <c r="S475" s="207"/>
      <c r="T475" s="207"/>
      <c r="U475" s="207"/>
      <c r="V475" s="118"/>
      <c r="W475" s="207"/>
      <c r="X475" s="207"/>
      <c r="Y475" s="207"/>
      <c r="Z475" s="118"/>
      <c r="AA475" s="209"/>
      <c r="AB475" s="209"/>
      <c r="AC475" s="209"/>
      <c r="AD475" s="118"/>
      <c r="AE475" s="239"/>
      <c r="AF475" s="207"/>
      <c r="AG475" s="207"/>
      <c r="AH475" s="118"/>
      <c r="AI475" s="38"/>
      <c r="AJ475" s="40"/>
      <c r="AK475" s="52"/>
      <c r="AL475" s="404"/>
    </row>
    <row r="476" spans="1:38" x14ac:dyDescent="0.25">
      <c r="A476" s="194">
        <v>471</v>
      </c>
      <c r="B476" s="11"/>
      <c r="E476" s="204"/>
      <c r="F476" s="117"/>
      <c r="G476" s="204"/>
      <c r="H476" s="204"/>
      <c r="I476" s="204"/>
      <c r="J476" s="117"/>
      <c r="K476" s="202"/>
      <c r="L476" s="266"/>
      <c r="M476" s="203"/>
      <c r="N476" s="117"/>
      <c r="O476" s="204"/>
      <c r="P476" s="204"/>
      <c r="Q476" s="204"/>
      <c r="R476" s="117"/>
      <c r="S476" s="204"/>
      <c r="T476" s="204"/>
      <c r="U476" s="204"/>
      <c r="V476" s="117"/>
      <c r="W476" s="204"/>
      <c r="X476" s="204"/>
      <c r="Y476" s="204"/>
      <c r="Z476" s="117"/>
      <c r="AA476" s="204"/>
      <c r="AB476" s="204"/>
      <c r="AC476" s="204"/>
      <c r="AD476" s="117"/>
      <c r="AF476" s="204"/>
      <c r="AG476" s="204"/>
      <c r="AH476" s="117"/>
      <c r="AI476" s="32"/>
      <c r="AJ476" s="39"/>
      <c r="AK476" s="25"/>
      <c r="AL476" s="404"/>
    </row>
    <row r="477" spans="1:38" x14ac:dyDescent="0.25">
      <c r="A477" s="194">
        <v>472</v>
      </c>
      <c r="B477" s="18" t="s">
        <v>141</v>
      </c>
      <c r="E477" s="204"/>
      <c r="F477" s="117"/>
      <c r="G477" s="196" t="s">
        <v>527</v>
      </c>
      <c r="H477" s="204"/>
      <c r="I477" s="204"/>
      <c r="J477" s="117"/>
      <c r="K477" s="202"/>
      <c r="L477" s="266"/>
      <c r="M477" s="203"/>
      <c r="N477" s="117"/>
      <c r="O477" s="204"/>
      <c r="P477" s="204"/>
      <c r="Q477" s="204"/>
      <c r="R477" s="117"/>
      <c r="S477" s="204"/>
      <c r="T477" s="204"/>
      <c r="U477" s="204"/>
      <c r="V477" s="117"/>
      <c r="W477" s="204"/>
      <c r="X477" s="204"/>
      <c r="Y477" s="204"/>
      <c r="Z477" s="117"/>
      <c r="AA477" s="204"/>
      <c r="AB477" s="204"/>
      <c r="AC477" s="204"/>
      <c r="AD477" s="117"/>
      <c r="AF477" s="204"/>
      <c r="AG477" s="204"/>
      <c r="AH477" s="117"/>
      <c r="AI477" s="32"/>
      <c r="AJ477" s="39"/>
      <c r="AK477" s="25"/>
      <c r="AL477" s="404"/>
    </row>
    <row r="478" spans="1:38" x14ac:dyDescent="0.25">
      <c r="A478" s="194">
        <v>473</v>
      </c>
      <c r="B478" s="12" t="s">
        <v>9</v>
      </c>
      <c r="C478" s="220">
        <f t="shared" ref="C478:C484" si="124">E478/D478</f>
        <v>12</v>
      </c>
      <c r="D478" s="232">
        <v>625</v>
      </c>
      <c r="E478" s="204">
        <f>'1501 Summary'!AD339</f>
        <v>7500</v>
      </c>
      <c r="F478" s="117"/>
      <c r="G478" s="279">
        <f>-C478</f>
        <v>-12</v>
      </c>
      <c r="H478" s="204">
        <f>D478</f>
        <v>625</v>
      </c>
      <c r="I478" s="204">
        <f>H478*G478</f>
        <v>-7500</v>
      </c>
      <c r="J478" s="117"/>
      <c r="K478" s="202">
        <f t="shared" si="116"/>
        <v>0</v>
      </c>
      <c r="L478" s="203">
        <f t="shared" ref="L478:L504" si="125">D478</f>
        <v>625</v>
      </c>
      <c r="M478" s="247">
        <f t="shared" si="117"/>
        <v>0</v>
      </c>
      <c r="N478" s="117"/>
      <c r="O478" s="204"/>
      <c r="P478" s="204"/>
      <c r="Q478" s="204"/>
      <c r="R478" s="117"/>
      <c r="S478" s="204"/>
      <c r="T478" s="204"/>
      <c r="U478" s="204"/>
      <c r="V478" s="117"/>
      <c r="W478" s="204"/>
      <c r="X478" s="204"/>
      <c r="Y478" s="204"/>
      <c r="Z478" s="117"/>
      <c r="AA478" s="216"/>
      <c r="AB478" s="216"/>
      <c r="AC478" s="216"/>
      <c r="AD478" s="117"/>
      <c r="AF478" s="204"/>
      <c r="AG478" s="204"/>
      <c r="AH478" s="117"/>
      <c r="AI478" s="32"/>
      <c r="AJ478" s="39"/>
      <c r="AK478" s="39"/>
      <c r="AL478" s="404"/>
    </row>
    <row r="479" spans="1:38" x14ac:dyDescent="0.25">
      <c r="A479" s="194">
        <v>474</v>
      </c>
      <c r="B479" s="12" t="s">
        <v>157</v>
      </c>
      <c r="C479" s="202">
        <f t="shared" si="124"/>
        <v>6240000</v>
      </c>
      <c r="D479" s="236">
        <v>0.2</v>
      </c>
      <c r="E479" s="204">
        <f>'1501 Summary'!AD340</f>
        <v>1248000</v>
      </c>
      <c r="F479" s="117"/>
      <c r="G479" s="279">
        <f t="shared" ref="G479" si="126">-C479</f>
        <v>-6240000</v>
      </c>
      <c r="H479" s="204">
        <f t="shared" ref="H479" si="127">D479</f>
        <v>0.2</v>
      </c>
      <c r="I479" s="204">
        <f t="shared" ref="I479" si="128">H479*G479</f>
        <v>-1248000</v>
      </c>
      <c r="J479" s="117"/>
      <c r="K479" s="202">
        <f t="shared" si="116"/>
        <v>0</v>
      </c>
      <c r="L479" s="266">
        <f t="shared" si="125"/>
        <v>0.2</v>
      </c>
      <c r="M479" s="247">
        <f t="shared" si="117"/>
        <v>0</v>
      </c>
      <c r="N479" s="117"/>
      <c r="O479" s="204"/>
      <c r="P479" s="204"/>
      <c r="Q479" s="204"/>
      <c r="R479" s="117"/>
      <c r="S479" s="204"/>
      <c r="T479" s="204"/>
      <c r="U479" s="204"/>
      <c r="V479" s="117"/>
      <c r="W479" s="204"/>
      <c r="X479" s="204"/>
      <c r="Y479" s="204"/>
      <c r="Z479" s="117"/>
      <c r="AA479" s="216"/>
      <c r="AB479" s="216"/>
      <c r="AC479" s="216"/>
      <c r="AD479" s="117"/>
      <c r="AF479" s="204"/>
      <c r="AG479" s="204"/>
      <c r="AH479" s="117"/>
      <c r="AI479" s="32"/>
      <c r="AJ479" s="39"/>
      <c r="AK479" s="39"/>
      <c r="AL479" s="404"/>
    </row>
    <row r="480" spans="1:38" x14ac:dyDescent="0.25">
      <c r="A480" s="194">
        <v>475</v>
      </c>
      <c r="B480" s="12" t="s">
        <v>158</v>
      </c>
      <c r="C480" s="202">
        <f t="shared" si="124"/>
        <v>78047625</v>
      </c>
      <c r="D480" s="236">
        <v>4.0000000000000002E-4</v>
      </c>
      <c r="E480" s="204">
        <f>'1501 Summary'!AD341</f>
        <v>31219.050000000003</v>
      </c>
      <c r="F480" s="117"/>
      <c r="G480" s="279">
        <f t="shared" ref="G480:G484" si="129">-C480</f>
        <v>-78047625</v>
      </c>
      <c r="H480" s="204">
        <f t="shared" ref="H480:H484" si="130">D480</f>
        <v>4.0000000000000002E-4</v>
      </c>
      <c r="I480" s="204">
        <f t="shared" ref="I480:I484" si="131">H480*G480</f>
        <v>-31219.050000000003</v>
      </c>
      <c r="J480" s="117"/>
      <c r="K480" s="202">
        <f t="shared" si="116"/>
        <v>0</v>
      </c>
      <c r="L480" s="266">
        <f t="shared" si="125"/>
        <v>4.0000000000000002E-4</v>
      </c>
      <c r="M480" s="247">
        <f t="shared" si="117"/>
        <v>0</v>
      </c>
      <c r="N480" s="117"/>
      <c r="O480" s="204"/>
      <c r="P480" s="204"/>
      <c r="Q480" s="204"/>
      <c r="R480" s="117"/>
      <c r="S480" s="204"/>
      <c r="T480" s="204"/>
      <c r="U480" s="204"/>
      <c r="V480" s="117"/>
      <c r="W480" s="204"/>
      <c r="X480" s="204"/>
      <c r="Y480" s="204"/>
      <c r="Z480" s="117"/>
      <c r="AA480" s="216"/>
      <c r="AB480" s="216"/>
      <c r="AC480" s="216"/>
      <c r="AD480" s="117"/>
      <c r="AF480" s="204"/>
      <c r="AG480" s="204"/>
      <c r="AH480" s="117"/>
      <c r="AI480" s="32"/>
      <c r="AJ480" s="39"/>
      <c r="AK480" s="39"/>
      <c r="AL480" s="404"/>
    </row>
    <row r="481" spans="1:38" x14ac:dyDescent="0.25">
      <c r="A481" s="194">
        <v>476</v>
      </c>
      <c r="B481" s="11" t="s">
        <v>159</v>
      </c>
      <c r="C481" s="202">
        <f t="shared" si="124"/>
        <v>1200000</v>
      </c>
      <c r="D481" s="205">
        <v>5.3310000000000003E-2</v>
      </c>
      <c r="E481" s="204">
        <f>'1501 Summary'!AD342</f>
        <v>63972</v>
      </c>
      <c r="F481" s="124"/>
      <c r="G481" s="279">
        <f t="shared" si="129"/>
        <v>-1200000</v>
      </c>
      <c r="H481" s="204">
        <f t="shared" si="130"/>
        <v>5.3310000000000003E-2</v>
      </c>
      <c r="I481" s="204">
        <f t="shared" si="131"/>
        <v>-63972.000000000007</v>
      </c>
      <c r="J481" s="124"/>
      <c r="K481" s="202">
        <f t="shared" si="116"/>
        <v>0</v>
      </c>
      <c r="L481" s="266">
        <v>5.9889999999999999E-2</v>
      </c>
      <c r="M481" s="247">
        <f t="shared" si="117"/>
        <v>0</v>
      </c>
      <c r="N481" s="124"/>
      <c r="O481" s="204"/>
      <c r="P481" s="204"/>
      <c r="Q481" s="204"/>
      <c r="R481" s="124"/>
      <c r="S481" s="204"/>
      <c r="T481" s="204"/>
      <c r="U481" s="204"/>
      <c r="V481" s="124"/>
      <c r="W481" s="280"/>
      <c r="X481" s="280"/>
      <c r="Y481" s="280"/>
      <c r="Z481" s="124"/>
      <c r="AA481" s="216"/>
      <c r="AB481" s="216"/>
      <c r="AC481" s="216"/>
      <c r="AD481" s="124"/>
      <c r="AF481" s="280"/>
      <c r="AG481" s="280"/>
      <c r="AH481" s="124"/>
      <c r="AI481" s="32"/>
      <c r="AJ481" s="39"/>
      <c r="AK481" s="39"/>
      <c r="AL481" s="404"/>
    </row>
    <row r="482" spans="1:38" x14ac:dyDescent="0.25">
      <c r="A482" s="194">
        <v>477</v>
      </c>
      <c r="B482" s="11" t="s">
        <v>127</v>
      </c>
      <c r="C482" s="202">
        <f t="shared" si="124"/>
        <v>2400000</v>
      </c>
      <c r="D482" s="205">
        <v>1.9449999999999999E-2</v>
      </c>
      <c r="E482" s="204">
        <f>'1501 Summary'!AD343</f>
        <v>46680</v>
      </c>
      <c r="F482" s="124"/>
      <c r="G482" s="279">
        <f t="shared" si="129"/>
        <v>-2400000</v>
      </c>
      <c r="H482" s="204">
        <f t="shared" si="130"/>
        <v>1.9449999999999999E-2</v>
      </c>
      <c r="I482" s="204">
        <f t="shared" si="131"/>
        <v>-46680</v>
      </c>
      <c r="J482" s="124"/>
      <c r="K482" s="202">
        <f t="shared" si="116"/>
        <v>0</v>
      </c>
      <c r="L482" s="266">
        <v>2.3029999999999998E-2</v>
      </c>
      <c r="M482" s="247">
        <f t="shared" si="117"/>
        <v>0</v>
      </c>
      <c r="N482" s="124"/>
      <c r="O482" s="204"/>
      <c r="P482" s="204"/>
      <c r="Q482" s="204"/>
      <c r="R482" s="124"/>
      <c r="S482" s="204"/>
      <c r="T482" s="204"/>
      <c r="U482" s="204"/>
      <c r="V482" s="124"/>
      <c r="W482" s="280"/>
      <c r="X482" s="280"/>
      <c r="Y482" s="280"/>
      <c r="Z482" s="124"/>
      <c r="AA482" s="216"/>
      <c r="AB482" s="216"/>
      <c r="AC482" s="216"/>
      <c r="AD482" s="124"/>
      <c r="AF482" s="280"/>
      <c r="AG482" s="280"/>
      <c r="AH482" s="124"/>
      <c r="AI482" s="32"/>
      <c r="AJ482" s="39"/>
      <c r="AK482" s="39"/>
      <c r="AL482" s="404"/>
    </row>
    <row r="483" spans="1:38" x14ac:dyDescent="0.25">
      <c r="A483" s="194">
        <v>478</v>
      </c>
      <c r="B483" s="11" t="s">
        <v>127</v>
      </c>
      <c r="C483" s="202">
        <f t="shared" si="124"/>
        <v>2281981.3874788494</v>
      </c>
      <c r="D483" s="205">
        <v>1.1820000000000001E-2</v>
      </c>
      <c r="E483" s="204">
        <f>'1501 Summary'!AD344</f>
        <v>26973.02</v>
      </c>
      <c r="F483" s="124"/>
      <c r="G483" s="279">
        <f t="shared" si="129"/>
        <v>-2281981.3874788494</v>
      </c>
      <c r="H483" s="204">
        <f t="shared" si="130"/>
        <v>1.1820000000000001E-2</v>
      </c>
      <c r="I483" s="204">
        <f t="shared" si="131"/>
        <v>-26973.02</v>
      </c>
      <c r="J483" s="124"/>
      <c r="K483" s="202">
        <f t="shared" si="116"/>
        <v>0</v>
      </c>
      <c r="L483" s="266">
        <v>1.473E-2</v>
      </c>
      <c r="M483" s="247">
        <f t="shared" si="117"/>
        <v>0</v>
      </c>
      <c r="N483" s="124"/>
      <c r="O483" s="204"/>
      <c r="P483" s="204"/>
      <c r="Q483" s="204"/>
      <c r="R483" s="124"/>
      <c r="S483" s="204"/>
      <c r="T483" s="204"/>
      <c r="U483" s="204"/>
      <c r="V483" s="124"/>
      <c r="W483" s="280"/>
      <c r="X483" s="280"/>
      <c r="Y483" s="280"/>
      <c r="Z483" s="124"/>
      <c r="AA483" s="216"/>
      <c r="AB483" s="216"/>
      <c r="AC483" s="216"/>
      <c r="AD483" s="124"/>
      <c r="AF483" s="280"/>
      <c r="AG483" s="280"/>
      <c r="AH483" s="124"/>
      <c r="AI483" s="32"/>
      <c r="AJ483" s="39"/>
      <c r="AK483" s="39"/>
      <c r="AL483" s="404"/>
    </row>
    <row r="484" spans="1:38" x14ac:dyDescent="0.25">
      <c r="A484" s="194">
        <v>479</v>
      </c>
      <c r="B484" s="34" t="s">
        <v>128</v>
      </c>
      <c r="C484" s="202">
        <f t="shared" si="124"/>
        <v>72165599.644128114</v>
      </c>
      <c r="D484" s="205">
        <v>5.62E-3</v>
      </c>
      <c r="E484" s="207">
        <f>'1501 Summary'!AD345</f>
        <v>405570.67000000004</v>
      </c>
      <c r="F484" s="124"/>
      <c r="G484" s="279">
        <f t="shared" si="129"/>
        <v>-72165599.644128114</v>
      </c>
      <c r="H484" s="204">
        <f t="shared" si="130"/>
        <v>5.62E-3</v>
      </c>
      <c r="I484" s="207">
        <f t="shared" si="131"/>
        <v>-405570.67</v>
      </c>
      <c r="J484" s="124"/>
      <c r="K484" s="202">
        <f t="shared" si="116"/>
        <v>0</v>
      </c>
      <c r="L484" s="266">
        <v>7.9799999999999992E-3</v>
      </c>
      <c r="M484" s="249">
        <f t="shared" si="117"/>
        <v>0</v>
      </c>
      <c r="N484" s="124"/>
      <c r="O484" s="204"/>
      <c r="P484" s="204"/>
      <c r="Q484" s="204"/>
      <c r="R484" s="124"/>
      <c r="S484" s="204"/>
      <c r="T484" s="204"/>
      <c r="U484" s="204"/>
      <c r="V484" s="124"/>
      <c r="W484" s="280"/>
      <c r="X484" s="280"/>
      <c r="Y484" s="280"/>
      <c r="Z484" s="124"/>
      <c r="AA484" s="216"/>
      <c r="AB484" s="216"/>
      <c r="AC484" s="216"/>
      <c r="AD484" s="124"/>
      <c r="AF484" s="280"/>
      <c r="AG484" s="280"/>
      <c r="AH484" s="124"/>
      <c r="AI484" s="32"/>
      <c r="AJ484" s="39"/>
      <c r="AK484" s="39"/>
      <c r="AL484" s="404"/>
    </row>
    <row r="485" spans="1:38" x14ac:dyDescent="0.25">
      <c r="A485" s="194">
        <v>480</v>
      </c>
      <c r="B485" s="12" t="s">
        <v>10</v>
      </c>
      <c r="E485" s="204">
        <f>SUM(E478:E484)</f>
        <v>1829914.7400000002</v>
      </c>
      <c r="F485" s="124"/>
      <c r="G485" s="280"/>
      <c r="H485" s="280"/>
      <c r="I485" s="265">
        <f>SUM(I478:I484)</f>
        <v>-1829914.74</v>
      </c>
      <c r="J485" s="124"/>
      <c r="K485" s="202"/>
      <c r="L485" s="266"/>
      <c r="M485" s="247">
        <f>SUM(M478:M484)</f>
        <v>0</v>
      </c>
      <c r="N485" s="124"/>
      <c r="O485" s="204"/>
      <c r="P485" s="204"/>
      <c r="Q485" s="204"/>
      <c r="R485" s="124"/>
      <c r="S485" s="204"/>
      <c r="T485" s="204"/>
      <c r="U485" s="204"/>
      <c r="V485" s="124"/>
      <c r="W485" s="280"/>
      <c r="X485" s="280"/>
      <c r="Y485" s="280"/>
      <c r="Z485" s="124"/>
      <c r="AA485" s="216"/>
      <c r="AB485" s="216"/>
      <c r="AC485" s="216"/>
      <c r="AD485" s="124"/>
      <c r="AF485" s="280"/>
      <c r="AG485" s="280"/>
      <c r="AH485" s="124"/>
      <c r="AI485" s="32"/>
      <c r="AJ485" s="39"/>
      <c r="AK485" s="39"/>
      <c r="AL485" s="404"/>
    </row>
    <row r="486" spans="1:38" x14ac:dyDescent="0.25">
      <c r="A486" s="194">
        <v>481</v>
      </c>
      <c r="K486" s="202"/>
      <c r="L486" s="266"/>
      <c r="M486" s="247"/>
      <c r="O486" s="204"/>
      <c r="P486" s="204"/>
      <c r="Q486" s="204"/>
      <c r="S486" s="204"/>
      <c r="T486" s="204"/>
      <c r="U486" s="204"/>
      <c r="AI486" s="32"/>
      <c r="AJ486" s="39"/>
      <c r="AL486" s="404"/>
    </row>
    <row r="487" spans="1:38" x14ac:dyDescent="0.25">
      <c r="A487" s="194">
        <v>482</v>
      </c>
      <c r="B487" s="12" t="s">
        <v>12</v>
      </c>
      <c r="K487" s="202"/>
      <c r="L487" s="266"/>
      <c r="M487" s="247"/>
      <c r="O487" s="204"/>
      <c r="P487" s="204"/>
      <c r="Q487" s="204"/>
      <c r="S487" s="204"/>
      <c r="T487" s="204"/>
      <c r="U487" s="204"/>
      <c r="AI487" s="32"/>
      <c r="AJ487" s="39"/>
      <c r="AL487" s="404"/>
    </row>
    <row r="488" spans="1:38" x14ac:dyDescent="0.25">
      <c r="A488" s="194">
        <v>483</v>
      </c>
      <c r="B488" s="48" t="s">
        <v>181</v>
      </c>
      <c r="E488" s="213">
        <f>'1501 Summary'!AD346</f>
        <v>-49646.470000000008</v>
      </c>
      <c r="F488" s="113"/>
      <c r="G488" s="250"/>
      <c r="H488" s="250"/>
      <c r="I488" s="250"/>
      <c r="J488" s="113"/>
      <c r="K488" s="202"/>
      <c r="L488" s="266"/>
      <c r="M488" s="247"/>
      <c r="N488" s="113"/>
      <c r="O488" s="204"/>
      <c r="P488" s="204"/>
      <c r="Q488" s="204"/>
      <c r="R488" s="113"/>
      <c r="S488" s="204"/>
      <c r="T488" s="204"/>
      <c r="U488" s="204"/>
      <c r="V488" s="113"/>
      <c r="W488" s="250"/>
      <c r="X488" s="250"/>
      <c r="Y488" s="250"/>
      <c r="Z488" s="113"/>
      <c r="AD488" s="113"/>
      <c r="AF488" s="250"/>
      <c r="AG488" s="250"/>
      <c r="AH488" s="113"/>
      <c r="AI488" s="32"/>
      <c r="AJ488" s="39"/>
      <c r="AL488" s="404"/>
    </row>
    <row r="489" spans="1:38" x14ac:dyDescent="0.25">
      <c r="A489" s="194">
        <v>484</v>
      </c>
      <c r="B489" s="48" t="s">
        <v>182</v>
      </c>
      <c r="E489" s="213">
        <f>'1501 Summary'!AD347</f>
        <v>-22461.08</v>
      </c>
      <c r="F489" s="113"/>
      <c r="G489" s="250"/>
      <c r="H489" s="250"/>
      <c r="I489" s="250"/>
      <c r="J489" s="113"/>
      <c r="K489" s="202"/>
      <c r="L489" s="266"/>
      <c r="M489" s="247"/>
      <c r="N489" s="113"/>
      <c r="O489" s="204"/>
      <c r="P489" s="204"/>
      <c r="Q489" s="204"/>
      <c r="R489" s="113"/>
      <c r="S489" s="204"/>
      <c r="T489" s="204"/>
      <c r="U489" s="204"/>
      <c r="V489" s="113"/>
      <c r="W489" s="250"/>
      <c r="X489" s="250"/>
      <c r="Y489" s="250"/>
      <c r="Z489" s="113"/>
      <c r="AD489" s="113"/>
      <c r="AF489" s="250"/>
      <c r="AG489" s="250"/>
      <c r="AH489" s="113"/>
      <c r="AI489" s="32"/>
      <c r="AJ489" s="39"/>
      <c r="AL489" s="404"/>
    </row>
    <row r="490" spans="1:38" x14ac:dyDescent="0.25">
      <c r="A490" s="194">
        <v>485</v>
      </c>
      <c r="B490" s="48" t="s">
        <v>183</v>
      </c>
      <c r="E490" s="213">
        <f>'1501 Summary'!AD348</f>
        <v>-38929.449999999997</v>
      </c>
      <c r="F490" s="113"/>
      <c r="G490" s="250"/>
      <c r="H490" s="250"/>
      <c r="I490" s="250"/>
      <c r="J490" s="113"/>
      <c r="K490" s="202"/>
      <c r="L490" s="266"/>
      <c r="M490" s="247"/>
      <c r="N490" s="113"/>
      <c r="O490" s="204"/>
      <c r="P490" s="204"/>
      <c r="Q490" s="204"/>
      <c r="R490" s="113"/>
      <c r="S490" s="204"/>
      <c r="T490" s="204"/>
      <c r="U490" s="204"/>
      <c r="V490" s="113"/>
      <c r="W490" s="250"/>
      <c r="X490" s="250"/>
      <c r="Y490" s="250"/>
      <c r="Z490" s="113"/>
      <c r="AD490" s="113"/>
      <c r="AF490" s="250"/>
      <c r="AG490" s="250"/>
      <c r="AH490" s="113"/>
      <c r="AI490" s="32"/>
      <c r="AJ490" s="39"/>
      <c r="AL490" s="404"/>
    </row>
    <row r="491" spans="1:38" x14ac:dyDescent="0.25">
      <c r="A491" s="194">
        <v>486</v>
      </c>
      <c r="B491" s="12" t="s">
        <v>115</v>
      </c>
      <c r="E491" s="213">
        <f>'1501 Summary'!AD349</f>
        <v>24135.17</v>
      </c>
      <c r="F491" s="113"/>
      <c r="G491" s="250"/>
      <c r="H491" s="250"/>
      <c r="I491" s="250"/>
      <c r="J491" s="113"/>
      <c r="K491" s="202"/>
      <c r="L491" s="266"/>
      <c r="M491" s="247"/>
      <c r="N491" s="113"/>
      <c r="O491" s="204"/>
      <c r="P491" s="204"/>
      <c r="Q491" s="204"/>
      <c r="R491" s="113"/>
      <c r="S491" s="204"/>
      <c r="T491" s="204"/>
      <c r="U491" s="204"/>
      <c r="V491" s="113"/>
      <c r="W491" s="250"/>
      <c r="X491" s="250"/>
      <c r="Y491" s="250"/>
      <c r="Z491" s="113"/>
      <c r="AD491" s="113"/>
      <c r="AF491" s="250"/>
      <c r="AG491" s="250"/>
      <c r="AH491" s="113"/>
      <c r="AI491" s="32"/>
      <c r="AJ491" s="39"/>
      <c r="AL491" s="404"/>
    </row>
    <row r="492" spans="1:38" x14ac:dyDescent="0.25">
      <c r="A492" s="194">
        <v>487</v>
      </c>
      <c r="B492" s="12" t="s">
        <v>116</v>
      </c>
      <c r="E492" s="213">
        <f>'1501 Summary'!AD350</f>
        <v>133640.04</v>
      </c>
      <c r="F492" s="113"/>
      <c r="G492" s="250"/>
      <c r="H492" s="250"/>
      <c r="I492" s="250"/>
      <c r="J492" s="113"/>
      <c r="K492" s="202"/>
      <c r="L492" s="266"/>
      <c r="M492" s="247"/>
      <c r="N492" s="113"/>
      <c r="O492" s="204"/>
      <c r="P492" s="204"/>
      <c r="Q492" s="204"/>
      <c r="R492" s="113"/>
      <c r="S492" s="204"/>
      <c r="T492" s="204"/>
      <c r="U492" s="204"/>
      <c r="V492" s="113"/>
      <c r="W492" s="250"/>
      <c r="X492" s="250"/>
      <c r="Y492" s="250"/>
      <c r="Z492" s="113"/>
      <c r="AD492" s="113"/>
      <c r="AF492" s="250"/>
      <c r="AG492" s="250"/>
      <c r="AH492" s="113"/>
      <c r="AI492" s="32"/>
      <c r="AJ492" s="39"/>
      <c r="AL492" s="404"/>
    </row>
    <row r="493" spans="1:38" x14ac:dyDescent="0.25">
      <c r="A493" s="194">
        <v>488</v>
      </c>
      <c r="B493" s="12" t="s">
        <v>20</v>
      </c>
      <c r="E493" s="213">
        <f>'1501 Summary'!AD351</f>
        <v>81083.53</v>
      </c>
      <c r="F493" s="113"/>
      <c r="G493" s="250"/>
      <c r="H493" s="250"/>
      <c r="I493" s="250"/>
      <c r="J493" s="113"/>
      <c r="K493" s="202"/>
      <c r="L493" s="266"/>
      <c r="M493" s="247"/>
      <c r="N493" s="113"/>
      <c r="O493" s="204"/>
      <c r="P493" s="204"/>
      <c r="Q493" s="204"/>
      <c r="R493" s="113"/>
      <c r="S493" s="204"/>
      <c r="T493" s="204"/>
      <c r="U493" s="204"/>
      <c r="V493" s="113"/>
      <c r="W493" s="250"/>
      <c r="X493" s="250"/>
      <c r="Y493" s="250"/>
      <c r="Z493" s="113"/>
      <c r="AD493" s="113"/>
      <c r="AF493" s="250"/>
      <c r="AG493" s="250"/>
      <c r="AH493" s="113"/>
      <c r="AI493" s="32"/>
      <c r="AJ493" s="39"/>
      <c r="AL493" s="404"/>
    </row>
    <row r="494" spans="1:38" x14ac:dyDescent="0.25">
      <c r="A494" s="194">
        <v>489</v>
      </c>
      <c r="B494" s="5" t="s">
        <v>53</v>
      </c>
      <c r="E494" s="247">
        <f>'Revenue Reconcilliation'!Q340</f>
        <v>-1933601.3099999998</v>
      </c>
      <c r="F494" s="114"/>
      <c r="G494" s="210"/>
      <c r="H494" s="210"/>
      <c r="I494" s="210"/>
      <c r="J494" s="114"/>
      <c r="K494" s="202"/>
      <c r="L494" s="266"/>
      <c r="M494" s="247"/>
      <c r="N494" s="114"/>
      <c r="O494" s="204"/>
      <c r="P494" s="204"/>
      <c r="Q494" s="204"/>
      <c r="R494" s="114"/>
      <c r="S494" s="204"/>
      <c r="T494" s="204"/>
      <c r="U494" s="204"/>
      <c r="V494" s="114"/>
      <c r="W494" s="210"/>
      <c r="X494" s="210"/>
      <c r="Y494" s="210"/>
      <c r="Z494" s="114"/>
      <c r="AD494" s="114"/>
      <c r="AF494" s="210"/>
      <c r="AG494" s="210"/>
      <c r="AH494" s="114"/>
      <c r="AI494" s="32"/>
      <c r="AJ494" s="39"/>
      <c r="AL494" s="404"/>
    </row>
    <row r="495" spans="1:38" x14ac:dyDescent="0.25">
      <c r="A495" s="194">
        <v>490</v>
      </c>
      <c r="B495" s="105" t="s">
        <v>54</v>
      </c>
      <c r="E495" s="247">
        <f>'Revenue Reconcilliation'!Q341</f>
        <v>2002491.73</v>
      </c>
      <c r="F495" s="114"/>
      <c r="G495" s="210"/>
      <c r="H495" s="210"/>
      <c r="I495" s="210"/>
      <c r="J495" s="114"/>
      <c r="K495" s="202"/>
      <c r="L495" s="266"/>
      <c r="M495" s="247"/>
      <c r="N495" s="114"/>
      <c r="O495" s="204"/>
      <c r="P495" s="204"/>
      <c r="Q495" s="204"/>
      <c r="R495" s="114"/>
      <c r="S495" s="204"/>
      <c r="T495" s="204"/>
      <c r="U495" s="204"/>
      <c r="V495" s="114"/>
      <c r="W495" s="210"/>
      <c r="X495" s="210"/>
      <c r="Y495" s="210"/>
      <c r="Z495" s="114"/>
      <c r="AD495" s="114"/>
      <c r="AF495" s="210"/>
      <c r="AG495" s="210"/>
      <c r="AH495" s="114"/>
      <c r="AI495" s="32"/>
      <c r="AJ495" s="39"/>
      <c r="AL495" s="404"/>
    </row>
    <row r="496" spans="1:38" x14ac:dyDescent="0.25">
      <c r="A496" s="194">
        <v>491</v>
      </c>
      <c r="B496" s="11" t="s">
        <v>91</v>
      </c>
      <c r="E496" s="213">
        <f>SUM(E488:E495)</f>
        <v>196712.16000000015</v>
      </c>
      <c r="F496" s="113"/>
      <c r="G496" s="250"/>
      <c r="H496" s="250"/>
      <c r="I496" s="250"/>
      <c r="J496" s="113"/>
      <c r="K496" s="202"/>
      <c r="L496" s="266"/>
      <c r="M496" s="247"/>
      <c r="N496" s="113"/>
      <c r="O496" s="204"/>
      <c r="P496" s="204"/>
      <c r="Q496" s="204"/>
      <c r="R496" s="113"/>
      <c r="S496" s="204"/>
      <c r="T496" s="204"/>
      <c r="U496" s="204"/>
      <c r="V496" s="113"/>
      <c r="W496" s="250"/>
      <c r="X496" s="250"/>
      <c r="Y496" s="250"/>
      <c r="Z496" s="113"/>
      <c r="AD496" s="113"/>
      <c r="AF496" s="250"/>
      <c r="AG496" s="250"/>
      <c r="AH496" s="113"/>
      <c r="AI496" s="32"/>
      <c r="AJ496" s="39"/>
      <c r="AL496" s="404"/>
    </row>
    <row r="497" spans="1:38" x14ac:dyDescent="0.25">
      <c r="A497" s="194">
        <v>492</v>
      </c>
      <c r="E497" s="247"/>
      <c r="F497" s="113"/>
      <c r="G497" s="250"/>
      <c r="H497" s="250"/>
      <c r="I497" s="250"/>
      <c r="J497" s="113"/>
      <c r="K497" s="202"/>
      <c r="L497" s="266"/>
      <c r="M497" s="247"/>
      <c r="N497" s="113"/>
      <c r="O497" s="204"/>
      <c r="P497" s="204"/>
      <c r="Q497" s="204"/>
      <c r="R497" s="113"/>
      <c r="S497" s="204"/>
      <c r="T497" s="204"/>
      <c r="U497" s="204"/>
      <c r="V497" s="113"/>
      <c r="W497" s="250"/>
      <c r="X497" s="250"/>
      <c r="Y497" s="250"/>
      <c r="Z497" s="113"/>
      <c r="AD497" s="113"/>
      <c r="AF497" s="250"/>
      <c r="AG497" s="250"/>
      <c r="AH497" s="113"/>
      <c r="AI497" s="32"/>
      <c r="AJ497" s="39"/>
      <c r="AL497" s="404"/>
    </row>
    <row r="498" spans="1:38" x14ac:dyDescent="0.25">
      <c r="A498" s="194">
        <v>493</v>
      </c>
      <c r="B498" s="53" t="s">
        <v>193</v>
      </c>
      <c r="C498" s="248">
        <f>E498-'Revenue Reconcilliation'!Q342</f>
        <v>0</v>
      </c>
      <c r="D498" s="209" t="s">
        <v>45</v>
      </c>
      <c r="E498" s="249">
        <f>SUM(E485,E496)</f>
        <v>2026626.9000000004</v>
      </c>
      <c r="F498" s="125"/>
      <c r="G498" s="248"/>
      <c r="H498" s="248"/>
      <c r="I498" s="248"/>
      <c r="J498" s="125"/>
      <c r="K498" s="239"/>
      <c r="L498" s="283"/>
      <c r="M498" s="249"/>
      <c r="N498" s="125"/>
      <c r="O498" s="207"/>
      <c r="P498" s="207"/>
      <c r="Q498" s="207"/>
      <c r="R498" s="125"/>
      <c r="S498" s="207"/>
      <c r="T498" s="207"/>
      <c r="U498" s="207"/>
      <c r="V498" s="125"/>
      <c r="W498" s="248"/>
      <c r="X498" s="248"/>
      <c r="Y498" s="248"/>
      <c r="Z498" s="125"/>
      <c r="AA498" s="209"/>
      <c r="AB498" s="209"/>
      <c r="AC498" s="209"/>
      <c r="AD498" s="125"/>
      <c r="AE498" s="239"/>
      <c r="AF498" s="248"/>
      <c r="AG498" s="248"/>
      <c r="AH498" s="125"/>
      <c r="AI498" s="38"/>
      <c r="AJ498" s="40"/>
      <c r="AK498" s="52"/>
      <c r="AL498" s="404"/>
    </row>
    <row r="499" spans="1:38" x14ac:dyDescent="0.25">
      <c r="A499" s="194">
        <v>494</v>
      </c>
      <c r="E499" s="250"/>
      <c r="F499" s="113"/>
      <c r="G499" s="250"/>
      <c r="H499" s="250"/>
      <c r="I499" s="250"/>
      <c r="J499" s="113"/>
      <c r="K499" s="202"/>
      <c r="L499" s="266"/>
      <c r="M499" s="247"/>
      <c r="N499" s="113"/>
      <c r="O499" s="204"/>
      <c r="P499" s="204"/>
      <c r="Q499" s="204"/>
      <c r="R499" s="113"/>
      <c r="S499" s="204"/>
      <c r="T499" s="204"/>
      <c r="U499" s="204"/>
      <c r="V499" s="113"/>
      <c r="W499" s="250"/>
      <c r="X499" s="250"/>
      <c r="Y499" s="250"/>
      <c r="Z499" s="113"/>
      <c r="AD499" s="113"/>
      <c r="AF499" s="250"/>
      <c r="AG499" s="250"/>
      <c r="AH499" s="113"/>
      <c r="AI499" s="32"/>
      <c r="AJ499" s="39"/>
      <c r="AL499" s="404"/>
    </row>
    <row r="500" spans="1:38" x14ac:dyDescent="0.25">
      <c r="A500" s="194">
        <v>495</v>
      </c>
      <c r="B500" s="19"/>
      <c r="K500" s="202"/>
      <c r="L500" s="266"/>
      <c r="M500" s="247"/>
      <c r="O500" s="204"/>
      <c r="P500" s="204"/>
      <c r="Q500" s="204"/>
      <c r="S500" s="204"/>
      <c r="T500" s="204"/>
      <c r="U500" s="204"/>
      <c r="AI500" s="32"/>
      <c r="AJ500" s="39"/>
      <c r="AL500" s="404"/>
    </row>
    <row r="501" spans="1:38" x14ac:dyDescent="0.25">
      <c r="A501" s="194">
        <v>496</v>
      </c>
      <c r="B501" s="11"/>
      <c r="K501" s="202"/>
      <c r="L501" s="266"/>
      <c r="M501" s="247"/>
      <c r="O501" s="204"/>
      <c r="P501" s="204"/>
      <c r="Q501" s="204"/>
      <c r="S501" s="204"/>
      <c r="T501" s="204"/>
      <c r="U501" s="204"/>
      <c r="AI501" s="32"/>
      <c r="AJ501" s="39"/>
      <c r="AL501" s="404"/>
    </row>
    <row r="502" spans="1:38" x14ac:dyDescent="0.25">
      <c r="A502" s="194">
        <v>497</v>
      </c>
      <c r="B502" s="18" t="s">
        <v>142</v>
      </c>
      <c r="G502" s="196" t="s">
        <v>527</v>
      </c>
      <c r="K502" s="202"/>
      <c r="L502" s="266"/>
      <c r="M502" s="247"/>
      <c r="O502" s="204"/>
      <c r="P502" s="204"/>
      <c r="Q502" s="204"/>
      <c r="S502" s="204"/>
      <c r="T502" s="204"/>
      <c r="U502" s="204"/>
      <c r="AI502" s="32"/>
      <c r="AJ502" s="39"/>
      <c r="AL502" s="404"/>
    </row>
    <row r="503" spans="1:38" x14ac:dyDescent="0.25">
      <c r="A503" s="194">
        <v>498</v>
      </c>
      <c r="B503" s="12" t="s">
        <v>9</v>
      </c>
      <c r="C503" s="224">
        <f>E503/D503</f>
        <v>12</v>
      </c>
      <c r="D503" s="232">
        <v>625</v>
      </c>
      <c r="E503" s="224">
        <f>'1501 Summary'!AD358</f>
        <v>7500</v>
      </c>
      <c r="F503" s="123"/>
      <c r="G503" s="279">
        <f>-C503</f>
        <v>-12</v>
      </c>
      <c r="H503" s="204">
        <f>D503</f>
        <v>625</v>
      </c>
      <c r="I503" s="204">
        <f>H503*G503</f>
        <v>-7500</v>
      </c>
      <c r="J503" s="123"/>
      <c r="K503" s="202">
        <f t="shared" ref="K503:K540" si="132">C503+G503</f>
        <v>0</v>
      </c>
      <c r="L503" s="203">
        <f t="shared" si="125"/>
        <v>625</v>
      </c>
      <c r="M503" s="247">
        <f t="shared" ref="M503:M508" si="133">L503*K503</f>
        <v>0</v>
      </c>
      <c r="N503" s="123"/>
      <c r="O503" s="204"/>
      <c r="P503" s="204"/>
      <c r="Q503" s="204"/>
      <c r="R503" s="123"/>
      <c r="S503" s="204"/>
      <c r="T503" s="204"/>
      <c r="U503" s="204"/>
      <c r="V503" s="123"/>
      <c r="W503" s="255"/>
      <c r="X503" s="255"/>
      <c r="Y503" s="255"/>
      <c r="Z503" s="123"/>
      <c r="AA503" s="213"/>
      <c r="AB503" s="213"/>
      <c r="AC503" s="213"/>
      <c r="AD503" s="123"/>
      <c r="AF503" s="255"/>
      <c r="AG503" s="255"/>
      <c r="AH503" s="123"/>
      <c r="AI503" s="32"/>
      <c r="AJ503" s="39"/>
      <c r="AK503" s="36"/>
      <c r="AL503" s="404"/>
    </row>
    <row r="504" spans="1:38" x14ac:dyDescent="0.25">
      <c r="A504" s="194">
        <v>499</v>
      </c>
      <c r="B504" s="12" t="s">
        <v>158</v>
      </c>
      <c r="C504" s="224">
        <f t="shared" ref="C504:C508" si="134">E504/D504</f>
        <v>22276174.999999996</v>
      </c>
      <c r="D504" s="236">
        <v>4.0000000000000002E-4</v>
      </c>
      <c r="E504" s="224">
        <f>'1501 Summary'!AD359</f>
        <v>8910.4699999999993</v>
      </c>
      <c r="F504" s="123"/>
      <c r="G504" s="279">
        <f t="shared" ref="G504" si="135">-C504</f>
        <v>-22276174.999999996</v>
      </c>
      <c r="H504" s="204">
        <f t="shared" ref="H504" si="136">D504</f>
        <v>4.0000000000000002E-4</v>
      </c>
      <c r="I504" s="204">
        <f t="shared" ref="I504" si="137">H504*G504</f>
        <v>-8910.4699999999993</v>
      </c>
      <c r="J504" s="123"/>
      <c r="K504" s="202">
        <f t="shared" si="132"/>
        <v>0</v>
      </c>
      <c r="L504" s="266">
        <f t="shared" si="125"/>
        <v>4.0000000000000002E-4</v>
      </c>
      <c r="M504" s="247">
        <f t="shared" si="133"/>
        <v>0</v>
      </c>
      <c r="N504" s="123"/>
      <c r="O504" s="204"/>
      <c r="P504" s="204"/>
      <c r="Q504" s="204"/>
      <c r="R504" s="123"/>
      <c r="S504" s="204"/>
      <c r="T504" s="204"/>
      <c r="U504" s="204"/>
      <c r="V504" s="123"/>
      <c r="W504" s="255"/>
      <c r="X504" s="255"/>
      <c r="Y504" s="255"/>
      <c r="Z504" s="123"/>
      <c r="AA504" s="213"/>
      <c r="AB504" s="213"/>
      <c r="AC504" s="213"/>
      <c r="AD504" s="123"/>
      <c r="AF504" s="255"/>
      <c r="AG504" s="255"/>
      <c r="AH504" s="123"/>
      <c r="AI504" s="32"/>
      <c r="AJ504" s="39"/>
      <c r="AK504" s="36"/>
      <c r="AL504" s="404"/>
    </row>
    <row r="505" spans="1:38" x14ac:dyDescent="0.25">
      <c r="A505" s="194">
        <v>500</v>
      </c>
      <c r="B505" s="12" t="s">
        <v>159</v>
      </c>
      <c r="C505" s="224">
        <f t="shared" si="134"/>
        <v>981752.95441755757</v>
      </c>
      <c r="D505" s="205">
        <v>5.3310000000000003E-2</v>
      </c>
      <c r="E505" s="224">
        <f>'1501 Summary'!AD360</f>
        <v>52337.25</v>
      </c>
      <c r="F505" s="123"/>
      <c r="G505" s="279">
        <f t="shared" ref="G505:G508" si="138">-C505</f>
        <v>-981752.95441755757</v>
      </c>
      <c r="H505" s="204">
        <f t="shared" ref="H505:H508" si="139">D505</f>
        <v>5.3310000000000003E-2</v>
      </c>
      <c r="I505" s="204">
        <f t="shared" ref="I505:I508" si="140">H505*G505</f>
        <v>-52337.25</v>
      </c>
      <c r="J505" s="123"/>
      <c r="K505" s="202">
        <f t="shared" si="132"/>
        <v>0</v>
      </c>
      <c r="L505" s="266">
        <v>5.9889999999999999E-2</v>
      </c>
      <c r="M505" s="247">
        <f t="shared" si="133"/>
        <v>0</v>
      </c>
      <c r="N505" s="123"/>
      <c r="O505" s="204"/>
      <c r="P505" s="204"/>
      <c r="Q505" s="204"/>
      <c r="R505" s="123"/>
      <c r="S505" s="204"/>
      <c r="T505" s="204"/>
      <c r="U505" s="204"/>
      <c r="V505" s="123"/>
      <c r="W505" s="255"/>
      <c r="X505" s="255"/>
      <c r="Y505" s="255"/>
      <c r="Z505" s="123"/>
      <c r="AA505" s="213"/>
      <c r="AB505" s="213"/>
      <c r="AC505" s="213"/>
      <c r="AD505" s="123"/>
      <c r="AF505" s="255"/>
      <c r="AG505" s="255"/>
      <c r="AH505" s="123"/>
      <c r="AI505" s="32"/>
      <c r="AJ505" s="39"/>
      <c r="AK505" s="36"/>
      <c r="AL505" s="404"/>
    </row>
    <row r="506" spans="1:38" x14ac:dyDescent="0.25">
      <c r="A506" s="194">
        <v>501</v>
      </c>
      <c r="B506" s="12" t="s">
        <v>127</v>
      </c>
      <c r="C506" s="224">
        <f t="shared" si="134"/>
        <v>1380094.0874035992</v>
      </c>
      <c r="D506" s="205">
        <v>1.9449999999999999E-2</v>
      </c>
      <c r="E506" s="224">
        <f>'1501 Summary'!AD361</f>
        <v>26842.83</v>
      </c>
      <c r="F506" s="123"/>
      <c r="G506" s="279">
        <f t="shared" si="138"/>
        <v>-1380094.0874035992</v>
      </c>
      <c r="H506" s="204">
        <f t="shared" si="139"/>
        <v>1.9449999999999999E-2</v>
      </c>
      <c r="I506" s="204">
        <f t="shared" si="140"/>
        <v>-26842.83</v>
      </c>
      <c r="J506" s="123"/>
      <c r="K506" s="202">
        <f t="shared" si="132"/>
        <v>0</v>
      </c>
      <c r="L506" s="266">
        <v>2.3029999999999998E-2</v>
      </c>
      <c r="M506" s="247">
        <f t="shared" si="133"/>
        <v>0</v>
      </c>
      <c r="N506" s="123"/>
      <c r="O506" s="204"/>
      <c r="P506" s="204"/>
      <c r="Q506" s="204"/>
      <c r="R506" s="123"/>
      <c r="S506" s="204"/>
      <c r="T506" s="204"/>
      <c r="U506" s="204"/>
      <c r="V506" s="123"/>
      <c r="W506" s="255"/>
      <c r="X506" s="255"/>
      <c r="Y506" s="255"/>
      <c r="Z506" s="123"/>
      <c r="AA506" s="213"/>
      <c r="AB506" s="213"/>
      <c r="AC506" s="213"/>
      <c r="AD506" s="123"/>
      <c r="AF506" s="255"/>
      <c r="AG506" s="255"/>
      <c r="AH506" s="123"/>
      <c r="AI506" s="32"/>
      <c r="AJ506" s="39"/>
      <c r="AK506" s="36"/>
      <c r="AL506" s="404"/>
    </row>
    <row r="507" spans="1:38" x14ac:dyDescent="0.25">
      <c r="A507" s="194">
        <v>502</v>
      </c>
      <c r="B507" s="12" t="s">
        <v>127</v>
      </c>
      <c r="C507" s="224">
        <f t="shared" si="134"/>
        <v>1000000</v>
      </c>
      <c r="D507" s="205">
        <v>1.1820000000000001E-2</v>
      </c>
      <c r="E507" s="224">
        <f>'1501 Summary'!AD362</f>
        <v>11820</v>
      </c>
      <c r="F507" s="123"/>
      <c r="G507" s="279">
        <f t="shared" si="138"/>
        <v>-1000000</v>
      </c>
      <c r="H507" s="204">
        <f t="shared" si="139"/>
        <v>1.1820000000000001E-2</v>
      </c>
      <c r="I507" s="204">
        <f t="shared" si="140"/>
        <v>-11820</v>
      </c>
      <c r="J507" s="123"/>
      <c r="K507" s="202">
        <f t="shared" si="132"/>
        <v>0</v>
      </c>
      <c r="L507" s="266">
        <v>1.473E-2</v>
      </c>
      <c r="M507" s="247">
        <f t="shared" si="133"/>
        <v>0</v>
      </c>
      <c r="N507" s="123"/>
      <c r="O507" s="204"/>
      <c r="P507" s="204"/>
      <c r="Q507" s="204"/>
      <c r="R507" s="123"/>
      <c r="S507" s="204"/>
      <c r="T507" s="204"/>
      <c r="U507" s="204"/>
      <c r="V507" s="123"/>
      <c r="W507" s="255"/>
      <c r="X507" s="255"/>
      <c r="Y507" s="255"/>
      <c r="Z507" s="123"/>
      <c r="AA507" s="213"/>
      <c r="AB507" s="213"/>
      <c r="AC507" s="213"/>
      <c r="AD507" s="123"/>
      <c r="AF507" s="255"/>
      <c r="AG507" s="255"/>
      <c r="AH507" s="123"/>
      <c r="AI507" s="32"/>
      <c r="AJ507" s="39"/>
      <c r="AK507" s="36"/>
      <c r="AL507" s="404"/>
    </row>
    <row r="508" spans="1:38" x14ac:dyDescent="0.25">
      <c r="A508" s="194">
        <v>503</v>
      </c>
      <c r="B508" s="106" t="s">
        <v>179</v>
      </c>
      <c r="C508" s="224">
        <f t="shared" si="134"/>
        <v>18914325.622775801</v>
      </c>
      <c r="D508" s="205">
        <v>5.62E-3</v>
      </c>
      <c r="E508" s="228">
        <f>'1501 Summary'!AD363</f>
        <v>106298.51000000001</v>
      </c>
      <c r="F508" s="123"/>
      <c r="G508" s="279">
        <f t="shared" si="138"/>
        <v>-18914325.622775801</v>
      </c>
      <c r="H508" s="204">
        <f t="shared" si="139"/>
        <v>5.62E-3</v>
      </c>
      <c r="I508" s="207">
        <f t="shared" si="140"/>
        <v>-106298.51</v>
      </c>
      <c r="J508" s="123"/>
      <c r="K508" s="202">
        <f t="shared" si="132"/>
        <v>0</v>
      </c>
      <c r="L508" s="266">
        <v>7.9799999999999992E-3</v>
      </c>
      <c r="M508" s="249">
        <f t="shared" si="133"/>
        <v>0</v>
      </c>
      <c r="N508" s="123"/>
      <c r="O508" s="204"/>
      <c r="P508" s="204"/>
      <c r="Q508" s="204"/>
      <c r="R508" s="123"/>
      <c r="S508" s="204"/>
      <c r="T508" s="204"/>
      <c r="U508" s="204"/>
      <c r="V508" s="123"/>
      <c r="W508" s="255"/>
      <c r="X508" s="255"/>
      <c r="Y508" s="255"/>
      <c r="Z508" s="123"/>
      <c r="AA508" s="213"/>
      <c r="AB508" s="213"/>
      <c r="AC508" s="213"/>
      <c r="AD508" s="123"/>
      <c r="AF508" s="255"/>
      <c r="AG508" s="255"/>
      <c r="AH508" s="123"/>
      <c r="AI508" s="32"/>
      <c r="AJ508" s="39"/>
      <c r="AK508" s="36"/>
      <c r="AL508" s="404"/>
    </row>
    <row r="509" spans="1:38" x14ac:dyDescent="0.25">
      <c r="A509" s="194">
        <v>504</v>
      </c>
      <c r="B509" s="12" t="s">
        <v>10</v>
      </c>
      <c r="E509" s="224">
        <f>SUM(E503:E508)</f>
        <v>213709.06</v>
      </c>
      <c r="F509" s="123"/>
      <c r="G509" s="255"/>
      <c r="H509" s="255"/>
      <c r="I509" s="224">
        <f>SUM(I503:I508)</f>
        <v>-213709.06</v>
      </c>
      <c r="J509" s="123"/>
      <c r="K509" s="202"/>
      <c r="L509" s="266"/>
      <c r="M509" s="247">
        <f>SUM(M503:M508)</f>
        <v>0</v>
      </c>
      <c r="N509" s="123"/>
      <c r="O509" s="204"/>
      <c r="P509" s="204"/>
      <c r="Q509" s="204"/>
      <c r="R509" s="123"/>
      <c r="S509" s="204"/>
      <c r="T509" s="204"/>
      <c r="U509" s="204"/>
      <c r="V509" s="123"/>
      <c r="W509" s="255"/>
      <c r="X509" s="255"/>
      <c r="Y509" s="255"/>
      <c r="Z509" s="123"/>
      <c r="AA509" s="213"/>
      <c r="AB509" s="213"/>
      <c r="AC509" s="213"/>
      <c r="AD509" s="123"/>
      <c r="AF509" s="255"/>
      <c r="AG509" s="255"/>
      <c r="AH509" s="123"/>
      <c r="AI509" s="32"/>
      <c r="AJ509" s="39"/>
      <c r="AK509" s="36"/>
      <c r="AL509" s="404"/>
    </row>
    <row r="510" spans="1:38" x14ac:dyDescent="0.25">
      <c r="A510" s="194">
        <v>505</v>
      </c>
      <c r="B510" s="11"/>
      <c r="K510" s="202"/>
      <c r="L510" s="266"/>
      <c r="M510" s="247"/>
      <c r="O510" s="204"/>
      <c r="P510" s="204"/>
      <c r="Q510" s="204"/>
      <c r="S510" s="204"/>
      <c r="T510" s="204"/>
      <c r="U510" s="204"/>
      <c r="AI510" s="32"/>
      <c r="AJ510" s="39"/>
      <c r="AL510" s="404"/>
    </row>
    <row r="511" spans="1:38" x14ac:dyDescent="0.25">
      <c r="A511" s="194">
        <v>506</v>
      </c>
      <c r="B511" s="12" t="s">
        <v>12</v>
      </c>
      <c r="K511" s="202"/>
      <c r="L511" s="266"/>
      <c r="M511" s="247"/>
      <c r="O511" s="204"/>
      <c r="P511" s="204"/>
      <c r="Q511" s="204"/>
      <c r="S511" s="204"/>
      <c r="T511" s="204"/>
      <c r="U511" s="204"/>
      <c r="AA511" s="229"/>
      <c r="AB511" s="229"/>
      <c r="AC511" s="229"/>
      <c r="AI511" s="32"/>
      <c r="AJ511" s="39"/>
      <c r="AK511" s="12"/>
      <c r="AL511" s="404"/>
    </row>
    <row r="512" spans="1:38" x14ac:dyDescent="0.25">
      <c r="A512" s="194">
        <v>507</v>
      </c>
      <c r="B512" s="48" t="s">
        <v>181</v>
      </c>
      <c r="E512" s="213">
        <f>'1501 Summary'!AD364</f>
        <v>-14050.880000000001</v>
      </c>
      <c r="F512" s="113"/>
      <c r="G512" s="250"/>
      <c r="H512" s="250"/>
      <c r="I512" s="250"/>
      <c r="J512" s="113"/>
      <c r="K512" s="202"/>
      <c r="L512" s="266"/>
      <c r="M512" s="247"/>
      <c r="N512" s="113"/>
      <c r="O512" s="204"/>
      <c r="P512" s="204"/>
      <c r="Q512" s="204"/>
      <c r="R512" s="113"/>
      <c r="S512" s="204"/>
      <c r="T512" s="204"/>
      <c r="U512" s="204"/>
      <c r="V512" s="113"/>
      <c r="W512" s="250"/>
      <c r="X512" s="250"/>
      <c r="Y512" s="250"/>
      <c r="Z512" s="113"/>
      <c r="AA512" s="415"/>
      <c r="AB512" s="415"/>
      <c r="AC512" s="415"/>
      <c r="AD512" s="113"/>
      <c r="AF512" s="250"/>
      <c r="AG512" s="250"/>
      <c r="AH512" s="113"/>
      <c r="AI512" s="32"/>
      <c r="AJ512" s="39"/>
      <c r="AK512" s="408"/>
      <c r="AL512" s="404"/>
    </row>
    <row r="513" spans="1:38" x14ac:dyDescent="0.25">
      <c r="A513" s="194">
        <v>508</v>
      </c>
      <c r="B513" s="48" t="s">
        <v>182</v>
      </c>
      <c r="E513" s="213">
        <f>'1501 Summary'!AD365</f>
        <v>-6453.96</v>
      </c>
      <c r="F513" s="113"/>
      <c r="G513" s="250"/>
      <c r="H513" s="250"/>
      <c r="I513" s="250"/>
      <c r="J513" s="113"/>
      <c r="K513" s="202"/>
      <c r="L513" s="266"/>
      <c r="M513" s="247"/>
      <c r="N513" s="113"/>
      <c r="O513" s="204"/>
      <c r="P513" s="204"/>
      <c r="Q513" s="204"/>
      <c r="R513" s="113"/>
      <c r="S513" s="204"/>
      <c r="T513" s="204"/>
      <c r="U513" s="204"/>
      <c r="V513" s="113"/>
      <c r="W513" s="250"/>
      <c r="X513" s="250"/>
      <c r="Y513" s="250"/>
      <c r="Z513" s="113"/>
      <c r="AA513" s="415"/>
      <c r="AB513" s="415"/>
      <c r="AC513" s="415"/>
      <c r="AD513" s="113"/>
      <c r="AF513" s="250"/>
      <c r="AG513" s="250"/>
      <c r="AH513" s="113"/>
      <c r="AI513" s="32"/>
      <c r="AJ513" s="39"/>
      <c r="AK513" s="408"/>
      <c r="AL513" s="404"/>
    </row>
    <row r="514" spans="1:38" x14ac:dyDescent="0.25">
      <c r="A514" s="194">
        <v>509</v>
      </c>
      <c r="B514" s="48" t="s">
        <v>183</v>
      </c>
      <c r="E514" s="213">
        <f>'1501 Summary'!AD366</f>
        <v>-11915.06</v>
      </c>
      <c r="F514" s="113"/>
      <c r="G514" s="250"/>
      <c r="H514" s="250"/>
      <c r="I514" s="250"/>
      <c r="J514" s="113"/>
      <c r="K514" s="202"/>
      <c r="L514" s="266"/>
      <c r="M514" s="247"/>
      <c r="N514" s="113"/>
      <c r="O514" s="204"/>
      <c r="P514" s="204"/>
      <c r="Q514" s="204"/>
      <c r="R514" s="113"/>
      <c r="S514" s="204"/>
      <c r="T514" s="204"/>
      <c r="U514" s="204"/>
      <c r="V514" s="113"/>
      <c r="W514" s="250"/>
      <c r="X514" s="250"/>
      <c r="Y514" s="250"/>
      <c r="Z514" s="113"/>
      <c r="AA514" s="415"/>
      <c r="AB514" s="415"/>
      <c r="AC514" s="415"/>
      <c r="AD514" s="113"/>
      <c r="AF514" s="250"/>
      <c r="AG514" s="250"/>
      <c r="AH514" s="113"/>
      <c r="AI514" s="32"/>
      <c r="AJ514" s="39"/>
      <c r="AK514" s="408"/>
      <c r="AL514" s="404"/>
    </row>
    <row r="515" spans="1:38" x14ac:dyDescent="0.25">
      <c r="A515" s="194">
        <v>510</v>
      </c>
      <c r="B515" s="31" t="s">
        <v>115</v>
      </c>
      <c r="C515" s="226"/>
      <c r="E515" s="213">
        <f>'1501 Summary'!AD367</f>
        <v>6903.52</v>
      </c>
      <c r="F515" s="113"/>
      <c r="G515" s="250"/>
      <c r="H515" s="250"/>
      <c r="I515" s="250"/>
      <c r="J515" s="113"/>
      <c r="K515" s="202"/>
      <c r="L515" s="266"/>
      <c r="M515" s="247"/>
      <c r="N515" s="113"/>
      <c r="O515" s="204"/>
      <c r="P515" s="204"/>
      <c r="Q515" s="204"/>
      <c r="R515" s="113"/>
      <c r="S515" s="204"/>
      <c r="T515" s="204"/>
      <c r="U515" s="204"/>
      <c r="V515" s="113"/>
      <c r="W515" s="250"/>
      <c r="X515" s="250"/>
      <c r="Y515" s="250"/>
      <c r="Z515" s="113"/>
      <c r="AA515" s="229"/>
      <c r="AB515" s="229"/>
      <c r="AC515" s="229"/>
      <c r="AD515" s="113"/>
      <c r="AF515" s="250"/>
      <c r="AG515" s="250"/>
      <c r="AH515" s="113"/>
      <c r="AI515" s="32"/>
      <c r="AJ515" s="39"/>
      <c r="AK515" s="12"/>
      <c r="AL515" s="404"/>
    </row>
    <row r="516" spans="1:38" x14ac:dyDescent="0.25">
      <c r="A516" s="194">
        <v>511</v>
      </c>
      <c r="B516" s="31" t="s">
        <v>116</v>
      </c>
      <c r="C516" s="226"/>
      <c r="E516" s="213">
        <f>'1501 Summary'!AD368</f>
        <v>38098.6</v>
      </c>
      <c r="F516" s="113"/>
      <c r="G516" s="250"/>
      <c r="H516" s="250"/>
      <c r="I516" s="250"/>
      <c r="J516" s="113"/>
      <c r="K516" s="202"/>
      <c r="L516" s="266"/>
      <c r="M516" s="247"/>
      <c r="N516" s="113"/>
      <c r="O516" s="204"/>
      <c r="P516" s="204"/>
      <c r="Q516" s="204"/>
      <c r="R516" s="113"/>
      <c r="S516" s="204"/>
      <c r="T516" s="204"/>
      <c r="U516" s="204"/>
      <c r="V516" s="113"/>
      <c r="W516" s="250"/>
      <c r="X516" s="250"/>
      <c r="Y516" s="250"/>
      <c r="Z516" s="113"/>
      <c r="AA516" s="229"/>
      <c r="AB516" s="229"/>
      <c r="AC516" s="229"/>
      <c r="AD516" s="113"/>
      <c r="AF516" s="250"/>
      <c r="AG516" s="250"/>
      <c r="AH516" s="113"/>
      <c r="AI516" s="32"/>
      <c r="AJ516" s="39"/>
      <c r="AK516" s="12"/>
      <c r="AL516" s="404"/>
    </row>
    <row r="517" spans="1:38" x14ac:dyDescent="0.25">
      <c r="A517" s="194">
        <v>512</v>
      </c>
      <c r="B517" s="31" t="s">
        <v>151</v>
      </c>
      <c r="C517" s="226"/>
      <c r="E517" s="213">
        <f>'1501 Summary'!AD369</f>
        <v>-45745.35</v>
      </c>
      <c r="F517" s="113"/>
      <c r="G517" s="250"/>
      <c r="H517" s="250"/>
      <c r="I517" s="250"/>
      <c r="J517" s="113"/>
      <c r="K517" s="202"/>
      <c r="L517" s="266"/>
      <c r="M517" s="247"/>
      <c r="N517" s="113"/>
      <c r="O517" s="204"/>
      <c r="P517" s="204"/>
      <c r="Q517" s="204"/>
      <c r="R517" s="113"/>
      <c r="S517" s="204"/>
      <c r="T517" s="204"/>
      <c r="U517" s="204"/>
      <c r="V517" s="113"/>
      <c r="W517" s="250"/>
      <c r="X517" s="250"/>
      <c r="Y517" s="250"/>
      <c r="Z517" s="113"/>
      <c r="AA517" s="229"/>
      <c r="AB517" s="229"/>
      <c r="AC517" s="229"/>
      <c r="AD517" s="113"/>
      <c r="AF517" s="250"/>
      <c r="AG517" s="250"/>
      <c r="AH517" s="113"/>
      <c r="AI517" s="32"/>
      <c r="AJ517" s="39"/>
      <c r="AK517" s="12"/>
      <c r="AL517" s="404"/>
    </row>
    <row r="518" spans="1:38" x14ac:dyDescent="0.25">
      <c r="A518" s="194">
        <v>513</v>
      </c>
      <c r="B518" s="31" t="s">
        <v>152</v>
      </c>
      <c r="C518" s="226"/>
      <c r="E518" s="213">
        <f>'1501 Summary'!AD370</f>
        <v>-22166.370000000003</v>
      </c>
      <c r="F518" s="113"/>
      <c r="G518" s="250"/>
      <c r="H518" s="250"/>
      <c r="I518" s="250"/>
      <c r="J518" s="113"/>
      <c r="K518" s="202"/>
      <c r="L518" s="266"/>
      <c r="M518" s="247"/>
      <c r="N518" s="113"/>
      <c r="O518" s="204"/>
      <c r="P518" s="204"/>
      <c r="Q518" s="204"/>
      <c r="R518" s="113"/>
      <c r="S518" s="204"/>
      <c r="T518" s="204"/>
      <c r="U518" s="204"/>
      <c r="V518" s="113"/>
      <c r="W518" s="250"/>
      <c r="X518" s="250"/>
      <c r="Y518" s="250"/>
      <c r="Z518" s="113"/>
      <c r="AA518" s="229"/>
      <c r="AB518" s="229"/>
      <c r="AC518" s="229"/>
      <c r="AD518" s="113"/>
      <c r="AF518" s="250"/>
      <c r="AG518" s="250"/>
      <c r="AH518" s="113"/>
      <c r="AI518" s="32"/>
      <c r="AJ518" s="39"/>
      <c r="AK518" s="12"/>
      <c r="AL518" s="404"/>
    </row>
    <row r="519" spans="1:38" x14ac:dyDescent="0.25">
      <c r="A519" s="194">
        <v>514</v>
      </c>
      <c r="B519" s="31" t="s">
        <v>152</v>
      </c>
      <c r="C519" s="226"/>
      <c r="E519" s="213">
        <f>'1501 Summary'!AD371</f>
        <v>-8410</v>
      </c>
      <c r="F519" s="113"/>
      <c r="G519" s="250"/>
      <c r="H519" s="250"/>
      <c r="I519" s="250"/>
      <c r="J519" s="113"/>
      <c r="K519" s="202"/>
      <c r="L519" s="266"/>
      <c r="M519" s="247"/>
      <c r="N519" s="113"/>
      <c r="O519" s="204"/>
      <c r="P519" s="204"/>
      <c r="Q519" s="204"/>
      <c r="R519" s="113"/>
      <c r="S519" s="204"/>
      <c r="T519" s="204"/>
      <c r="U519" s="204"/>
      <c r="V519" s="113"/>
      <c r="W519" s="250"/>
      <c r="X519" s="250"/>
      <c r="Y519" s="250"/>
      <c r="Z519" s="113"/>
      <c r="AA519" s="229"/>
      <c r="AB519" s="229"/>
      <c r="AC519" s="229"/>
      <c r="AD519" s="113"/>
      <c r="AF519" s="250"/>
      <c r="AG519" s="250"/>
      <c r="AH519" s="113"/>
      <c r="AI519" s="32"/>
      <c r="AJ519" s="39"/>
      <c r="AK519" s="12"/>
      <c r="AL519" s="404"/>
    </row>
    <row r="520" spans="1:38" x14ac:dyDescent="0.25">
      <c r="A520" s="194">
        <v>515</v>
      </c>
      <c r="B520" s="31" t="s">
        <v>153</v>
      </c>
      <c r="C520" s="226"/>
      <c r="E520" s="213">
        <f>'1501 Summary'!AD372</f>
        <v>-4125</v>
      </c>
      <c r="F520" s="113"/>
      <c r="G520" s="250"/>
      <c r="H520" s="250"/>
      <c r="I520" s="250"/>
      <c r="J520" s="113"/>
      <c r="K520" s="202"/>
      <c r="L520" s="266"/>
      <c r="M520" s="247"/>
      <c r="N520" s="113"/>
      <c r="O520" s="204"/>
      <c r="P520" s="204"/>
      <c r="Q520" s="204"/>
      <c r="R520" s="113"/>
      <c r="S520" s="204"/>
      <c r="T520" s="204"/>
      <c r="U520" s="204"/>
      <c r="V520" s="113"/>
      <c r="W520" s="250"/>
      <c r="X520" s="250"/>
      <c r="Y520" s="250"/>
      <c r="Z520" s="113"/>
      <c r="AA520" s="229"/>
      <c r="AB520" s="229"/>
      <c r="AC520" s="229"/>
      <c r="AD520" s="113"/>
      <c r="AF520" s="250"/>
      <c r="AG520" s="250"/>
      <c r="AH520" s="113"/>
      <c r="AI520" s="32"/>
      <c r="AJ520" s="39"/>
      <c r="AK520" s="12"/>
      <c r="AL520" s="404"/>
    </row>
    <row r="521" spans="1:38" x14ac:dyDescent="0.25">
      <c r="A521" s="194">
        <v>516</v>
      </c>
      <c r="B521" s="31" t="s">
        <v>154</v>
      </c>
      <c r="C521" s="226"/>
      <c r="E521" s="213">
        <f>'1501 Summary'!AD373</f>
        <v>-9658.26</v>
      </c>
      <c r="F521" s="113"/>
      <c r="G521" s="250"/>
      <c r="H521" s="250"/>
      <c r="I521" s="250"/>
      <c r="J521" s="113"/>
      <c r="K521" s="202"/>
      <c r="L521" s="266"/>
      <c r="M521" s="247"/>
      <c r="N521" s="113"/>
      <c r="O521" s="204"/>
      <c r="P521" s="204"/>
      <c r="Q521" s="204"/>
      <c r="R521" s="113"/>
      <c r="S521" s="204"/>
      <c r="T521" s="204"/>
      <c r="U521" s="204"/>
      <c r="V521" s="113"/>
      <c r="W521" s="250"/>
      <c r="X521" s="250"/>
      <c r="Y521" s="250"/>
      <c r="Z521" s="113"/>
      <c r="AA521" s="229"/>
      <c r="AB521" s="229"/>
      <c r="AC521" s="229"/>
      <c r="AD521" s="113"/>
      <c r="AF521" s="250"/>
      <c r="AG521" s="250"/>
      <c r="AH521" s="113"/>
      <c r="AI521" s="32"/>
      <c r="AJ521" s="39"/>
      <c r="AK521" s="12"/>
      <c r="AL521" s="404"/>
    </row>
    <row r="522" spans="1:38" x14ac:dyDescent="0.25">
      <c r="A522" s="194">
        <v>517</v>
      </c>
      <c r="B522" s="31" t="s">
        <v>180</v>
      </c>
      <c r="C522" s="226"/>
      <c r="E522" s="213">
        <f>'1501 Summary'!AD374</f>
        <v>-6358.02</v>
      </c>
      <c r="F522" s="113"/>
      <c r="G522" s="250"/>
      <c r="H522" s="250"/>
      <c r="I522" s="250"/>
      <c r="J522" s="113"/>
      <c r="K522" s="202"/>
      <c r="L522" s="266"/>
      <c r="M522" s="247"/>
      <c r="N522" s="113"/>
      <c r="O522" s="204"/>
      <c r="P522" s="204"/>
      <c r="Q522" s="204"/>
      <c r="R522" s="113"/>
      <c r="S522" s="204"/>
      <c r="T522" s="204"/>
      <c r="U522" s="204"/>
      <c r="V522" s="113"/>
      <c r="W522" s="250"/>
      <c r="X522" s="250"/>
      <c r="Y522" s="250"/>
      <c r="Z522" s="113"/>
      <c r="AA522" s="229"/>
      <c r="AB522" s="229"/>
      <c r="AC522" s="229"/>
      <c r="AD522" s="113"/>
      <c r="AF522" s="250"/>
      <c r="AG522" s="250"/>
      <c r="AH522" s="113"/>
      <c r="AI522" s="32"/>
      <c r="AJ522" s="39"/>
      <c r="AK522" s="12"/>
      <c r="AL522" s="404"/>
    </row>
    <row r="523" spans="1:38" x14ac:dyDescent="0.25">
      <c r="A523" s="194">
        <v>518</v>
      </c>
      <c r="B523" s="103" t="s">
        <v>184</v>
      </c>
      <c r="C523" s="251"/>
      <c r="E523" s="213">
        <f>'1501 Summary'!AD375</f>
        <v>-53643.950000000004</v>
      </c>
      <c r="F523" s="113"/>
      <c r="G523" s="250"/>
      <c r="H523" s="250"/>
      <c r="I523" s="250"/>
      <c r="J523" s="113"/>
      <c r="K523" s="202"/>
      <c r="L523" s="266"/>
      <c r="M523" s="247"/>
      <c r="N523" s="113"/>
      <c r="O523" s="204"/>
      <c r="P523" s="204"/>
      <c r="Q523" s="204"/>
      <c r="R523" s="113"/>
      <c r="S523" s="204"/>
      <c r="T523" s="204"/>
      <c r="U523" s="204"/>
      <c r="V523" s="113"/>
      <c r="W523" s="250"/>
      <c r="X523" s="250"/>
      <c r="Y523" s="250"/>
      <c r="Z523" s="113"/>
      <c r="AA523" s="229"/>
      <c r="AB523" s="229"/>
      <c r="AC523" s="229"/>
      <c r="AD523" s="113"/>
      <c r="AF523" s="250"/>
      <c r="AG523" s="250"/>
      <c r="AH523" s="113"/>
      <c r="AI523" s="32"/>
      <c r="AJ523" s="39"/>
      <c r="AK523" s="12"/>
      <c r="AL523" s="404"/>
    </row>
    <row r="524" spans="1:38" x14ac:dyDescent="0.25">
      <c r="A524" s="194">
        <v>519</v>
      </c>
      <c r="B524" s="31" t="s">
        <v>155</v>
      </c>
      <c r="C524" s="226"/>
      <c r="E524" s="213">
        <f>'1501 Summary'!AD376</f>
        <v>1445820</v>
      </c>
      <c r="F524" s="113"/>
      <c r="G524" s="250"/>
      <c r="H524" s="250"/>
      <c r="I524" s="250"/>
      <c r="J524" s="113"/>
      <c r="K524" s="202"/>
      <c r="L524" s="266"/>
      <c r="M524" s="247"/>
      <c r="N524" s="113"/>
      <c r="O524" s="204"/>
      <c r="P524" s="204"/>
      <c r="Q524" s="204"/>
      <c r="R524" s="113"/>
      <c r="S524" s="204"/>
      <c r="T524" s="204"/>
      <c r="U524" s="204"/>
      <c r="V524" s="113"/>
      <c r="W524" s="250"/>
      <c r="X524" s="250"/>
      <c r="Y524" s="250"/>
      <c r="Z524" s="113"/>
      <c r="AA524" s="229"/>
      <c r="AB524" s="229"/>
      <c r="AC524" s="229"/>
      <c r="AD524" s="113"/>
      <c r="AF524" s="250"/>
      <c r="AG524" s="250"/>
      <c r="AH524" s="113"/>
      <c r="AI524" s="32"/>
      <c r="AJ524" s="39"/>
      <c r="AK524" s="12"/>
      <c r="AL524" s="404"/>
    </row>
    <row r="525" spans="1:38" x14ac:dyDescent="0.25">
      <c r="A525" s="194">
        <v>520</v>
      </c>
      <c r="B525" s="31" t="s">
        <v>156</v>
      </c>
      <c r="C525" s="226"/>
      <c r="E525" s="213">
        <f>'1501 Summary'!AD377</f>
        <v>-16195.589999999998</v>
      </c>
      <c r="F525" s="113"/>
      <c r="G525" s="250"/>
      <c r="H525" s="250"/>
      <c r="I525" s="250"/>
      <c r="J525" s="113"/>
      <c r="K525" s="202"/>
      <c r="L525" s="266"/>
      <c r="M525" s="247"/>
      <c r="N525" s="113"/>
      <c r="O525" s="204"/>
      <c r="P525" s="204"/>
      <c r="Q525" s="204"/>
      <c r="R525" s="113"/>
      <c r="S525" s="204"/>
      <c r="T525" s="204"/>
      <c r="U525" s="204"/>
      <c r="V525" s="113"/>
      <c r="W525" s="250"/>
      <c r="X525" s="250"/>
      <c r="Y525" s="250"/>
      <c r="Z525" s="113"/>
      <c r="AA525" s="229"/>
      <c r="AB525" s="229"/>
      <c r="AC525" s="229"/>
      <c r="AD525" s="113"/>
      <c r="AF525" s="250"/>
      <c r="AG525" s="250"/>
      <c r="AH525" s="113"/>
      <c r="AI525" s="32"/>
      <c r="AJ525" s="39"/>
      <c r="AK525" s="12"/>
      <c r="AL525" s="404"/>
    </row>
    <row r="526" spans="1:38" x14ac:dyDescent="0.25">
      <c r="A526" s="194">
        <v>521</v>
      </c>
      <c r="B526" s="31" t="s">
        <v>20</v>
      </c>
      <c r="C526" s="226"/>
      <c r="E526" s="213">
        <f>'1501 Summary'!AD378</f>
        <v>66164.850000000006</v>
      </c>
      <c r="F526" s="113"/>
      <c r="G526" s="250"/>
      <c r="H526" s="250"/>
      <c r="I526" s="250"/>
      <c r="J526" s="113"/>
      <c r="K526" s="202"/>
      <c r="L526" s="266"/>
      <c r="M526" s="247"/>
      <c r="N526" s="113"/>
      <c r="O526" s="204"/>
      <c r="P526" s="204"/>
      <c r="Q526" s="204"/>
      <c r="R526" s="113"/>
      <c r="S526" s="204"/>
      <c r="T526" s="204"/>
      <c r="U526" s="204"/>
      <c r="V526" s="113"/>
      <c r="W526" s="250"/>
      <c r="X526" s="250"/>
      <c r="Y526" s="250"/>
      <c r="Z526" s="113"/>
      <c r="AA526" s="229"/>
      <c r="AB526" s="229"/>
      <c r="AC526" s="229"/>
      <c r="AD526" s="113"/>
      <c r="AF526" s="250"/>
      <c r="AG526" s="250"/>
      <c r="AH526" s="113"/>
      <c r="AI526" s="32"/>
      <c r="AJ526" s="39"/>
      <c r="AK526" s="12"/>
      <c r="AL526" s="404"/>
    </row>
    <row r="527" spans="1:38" x14ac:dyDescent="0.25">
      <c r="A527" s="194">
        <v>522</v>
      </c>
      <c r="B527" s="5" t="s">
        <v>53</v>
      </c>
      <c r="C527" s="226"/>
      <c r="E527" s="247">
        <f>'Revenue Reconcilliation'!Q360</f>
        <v>-1565070.0700000003</v>
      </c>
      <c r="F527" s="114"/>
      <c r="G527" s="210"/>
      <c r="H527" s="210"/>
      <c r="I527" s="210"/>
      <c r="J527" s="114"/>
      <c r="K527" s="202"/>
      <c r="L527" s="266"/>
      <c r="M527" s="247"/>
      <c r="N527" s="114"/>
      <c r="O527" s="204"/>
      <c r="P527" s="204"/>
      <c r="Q527" s="204"/>
      <c r="R527" s="114"/>
      <c r="S527" s="204"/>
      <c r="T527" s="204"/>
      <c r="U527" s="204"/>
      <c r="V527" s="114"/>
      <c r="W527" s="210"/>
      <c r="X527" s="210"/>
      <c r="Y527" s="210"/>
      <c r="Z527" s="114"/>
      <c r="AA527" s="229"/>
      <c r="AB527" s="229"/>
      <c r="AC527" s="229"/>
      <c r="AD527" s="114"/>
      <c r="AF527" s="210"/>
      <c r="AG527" s="210"/>
      <c r="AH527" s="114"/>
      <c r="AI527" s="32"/>
      <c r="AJ527" s="39"/>
      <c r="AK527" s="12"/>
      <c r="AL527" s="404"/>
    </row>
    <row r="528" spans="1:38" x14ac:dyDescent="0.25">
      <c r="A528" s="194">
        <v>523</v>
      </c>
      <c r="B528" s="5" t="s">
        <v>54</v>
      </c>
      <c r="C528" s="226"/>
      <c r="E528" s="247">
        <f>'Revenue Reconcilliation'!Q361</f>
        <v>1565178.5200000005</v>
      </c>
      <c r="F528" s="114"/>
      <c r="G528" s="210"/>
      <c r="H528" s="210"/>
      <c r="I528" s="210"/>
      <c r="J528" s="114"/>
      <c r="K528" s="202"/>
      <c r="L528" s="266"/>
      <c r="M528" s="247"/>
      <c r="N528" s="114"/>
      <c r="O528" s="204"/>
      <c r="P528" s="204"/>
      <c r="Q528" s="204"/>
      <c r="R528" s="114"/>
      <c r="S528" s="204"/>
      <c r="T528" s="204"/>
      <c r="U528" s="204"/>
      <c r="V528" s="114"/>
      <c r="W528" s="210"/>
      <c r="X528" s="210"/>
      <c r="Y528" s="210"/>
      <c r="Z528" s="114"/>
      <c r="AA528" s="229"/>
      <c r="AB528" s="229"/>
      <c r="AC528" s="229"/>
      <c r="AD528" s="114"/>
      <c r="AF528" s="210"/>
      <c r="AG528" s="210"/>
      <c r="AH528" s="114"/>
      <c r="AI528" s="32"/>
      <c r="AJ528" s="39"/>
      <c r="AK528" s="12"/>
      <c r="AL528" s="404"/>
    </row>
    <row r="529" spans="1:38" x14ac:dyDescent="0.25">
      <c r="A529" s="194">
        <v>524</v>
      </c>
      <c r="B529" s="11" t="s">
        <v>91</v>
      </c>
      <c r="C529" s="229"/>
      <c r="E529" s="213">
        <f>SUM(E512:E528)</f>
        <v>1358372.9800000002</v>
      </c>
      <c r="F529" s="113"/>
      <c r="G529" s="250"/>
      <c r="H529" s="250"/>
      <c r="I529" s="250"/>
      <c r="J529" s="113"/>
      <c r="K529" s="202"/>
      <c r="L529" s="266"/>
      <c r="M529" s="247"/>
      <c r="N529" s="113"/>
      <c r="O529" s="204"/>
      <c r="P529" s="204"/>
      <c r="Q529" s="204"/>
      <c r="R529" s="113"/>
      <c r="S529" s="204"/>
      <c r="T529" s="204"/>
      <c r="U529" s="204"/>
      <c r="V529" s="113"/>
      <c r="W529" s="250"/>
      <c r="X529" s="250"/>
      <c r="Y529" s="250"/>
      <c r="Z529" s="113"/>
      <c r="AA529" s="229"/>
      <c r="AB529" s="229"/>
      <c r="AC529" s="229"/>
      <c r="AD529" s="113"/>
      <c r="AF529" s="250"/>
      <c r="AG529" s="250"/>
      <c r="AH529" s="113"/>
      <c r="AI529" s="32"/>
      <c r="AJ529" s="39"/>
      <c r="AK529" s="12"/>
      <c r="AL529" s="404"/>
    </row>
    <row r="530" spans="1:38" x14ac:dyDescent="0.25">
      <c r="A530" s="194">
        <v>525</v>
      </c>
      <c r="B530" s="11"/>
      <c r="C530" s="229"/>
      <c r="E530" s="247"/>
      <c r="F530" s="113"/>
      <c r="G530" s="250"/>
      <c r="H530" s="250"/>
      <c r="I530" s="250"/>
      <c r="J530" s="113"/>
      <c r="K530" s="202"/>
      <c r="L530" s="266"/>
      <c r="M530" s="247"/>
      <c r="N530" s="113"/>
      <c r="O530" s="204"/>
      <c r="P530" s="204"/>
      <c r="Q530" s="204"/>
      <c r="R530" s="113"/>
      <c r="S530" s="204"/>
      <c r="T530" s="204"/>
      <c r="U530" s="204"/>
      <c r="V530" s="113"/>
      <c r="W530" s="250"/>
      <c r="X530" s="250"/>
      <c r="Y530" s="250"/>
      <c r="Z530" s="113"/>
      <c r="AA530" s="229"/>
      <c r="AB530" s="229"/>
      <c r="AC530" s="229"/>
      <c r="AD530" s="113"/>
      <c r="AF530" s="250"/>
      <c r="AG530" s="250"/>
      <c r="AH530" s="113"/>
      <c r="AI530" s="32"/>
      <c r="AJ530" s="39"/>
      <c r="AK530" s="12"/>
      <c r="AL530" s="404"/>
    </row>
    <row r="531" spans="1:38" x14ac:dyDescent="0.25">
      <c r="A531" s="194">
        <v>526</v>
      </c>
      <c r="B531" s="51" t="s">
        <v>143</v>
      </c>
      <c r="C531" s="252">
        <f>E531-'Revenue Reconcilliation'!Q362</f>
        <v>0</v>
      </c>
      <c r="D531" s="209" t="s">
        <v>45</v>
      </c>
      <c r="E531" s="249">
        <f>SUM(E509,E529)</f>
        <v>1572082.0400000003</v>
      </c>
      <c r="F531" s="128"/>
      <c r="G531" s="281"/>
      <c r="H531" s="281"/>
      <c r="I531" s="281"/>
      <c r="J531" s="128"/>
      <c r="K531" s="239"/>
      <c r="L531" s="283"/>
      <c r="M531" s="249"/>
      <c r="N531" s="128"/>
      <c r="O531" s="204"/>
      <c r="P531" s="204"/>
      <c r="Q531" s="204"/>
      <c r="R531" s="128"/>
      <c r="S531" s="204"/>
      <c r="T531" s="204"/>
      <c r="U531" s="204"/>
      <c r="V531" s="123"/>
      <c r="W531" s="255"/>
      <c r="X531" s="255"/>
      <c r="Y531" s="255"/>
      <c r="Z531" s="123"/>
      <c r="AA531" s="229"/>
      <c r="AB531" s="229"/>
      <c r="AC531" s="229"/>
      <c r="AD531" s="123"/>
      <c r="AF531" s="255"/>
      <c r="AG531" s="255"/>
      <c r="AH531" s="123"/>
      <c r="AI531" s="32"/>
      <c r="AJ531" s="39"/>
      <c r="AK531" s="12"/>
      <c r="AL531" s="404"/>
    </row>
    <row r="532" spans="1:38" x14ac:dyDescent="0.25">
      <c r="A532" s="194">
        <v>527</v>
      </c>
      <c r="K532" s="202"/>
      <c r="L532" s="266"/>
      <c r="M532" s="247"/>
      <c r="O532" s="204"/>
      <c r="P532" s="204"/>
      <c r="Q532" s="204"/>
      <c r="S532" s="204"/>
      <c r="T532" s="204"/>
      <c r="U532" s="204"/>
      <c r="AA532" s="229"/>
      <c r="AB532" s="229"/>
      <c r="AC532" s="229"/>
      <c r="AI532" s="32"/>
      <c r="AJ532" s="39"/>
      <c r="AK532" s="12"/>
      <c r="AL532" s="404"/>
    </row>
    <row r="533" spans="1:38" x14ac:dyDescent="0.25">
      <c r="A533" s="194">
        <v>528</v>
      </c>
      <c r="B533" s="18" t="s">
        <v>144</v>
      </c>
      <c r="K533" s="202"/>
      <c r="L533" s="266"/>
      <c r="M533" s="247"/>
      <c r="O533" s="204"/>
      <c r="P533" s="204"/>
      <c r="Q533" s="204"/>
      <c r="S533" s="204"/>
      <c r="T533" s="204"/>
      <c r="U533" s="204"/>
      <c r="AI533" s="32"/>
      <c r="AJ533" s="39"/>
      <c r="AL533" s="404"/>
    </row>
    <row r="534" spans="1:38" x14ac:dyDescent="0.25">
      <c r="A534" s="194">
        <v>529</v>
      </c>
      <c r="B534" s="20" t="s">
        <v>25</v>
      </c>
      <c r="C534" s="240">
        <f t="shared" ref="C534:C540" si="141">E534/D534</f>
        <v>12</v>
      </c>
      <c r="D534" s="232">
        <v>625</v>
      </c>
      <c r="E534" s="216">
        <f>'1501 Summary'!AD385</f>
        <v>7500</v>
      </c>
      <c r="F534" s="123"/>
      <c r="G534" s="255"/>
      <c r="H534" s="255"/>
      <c r="I534" s="255"/>
      <c r="J534" s="123"/>
      <c r="K534" s="202">
        <f t="shared" si="132"/>
        <v>12</v>
      </c>
      <c r="L534" s="203">
        <f t="shared" ref="L534:L559" si="142">D534</f>
        <v>625</v>
      </c>
      <c r="M534" s="247">
        <f>L534*K534</f>
        <v>7500</v>
      </c>
      <c r="N534" s="123"/>
      <c r="O534" s="265"/>
      <c r="P534" s="250"/>
      <c r="Q534" s="204"/>
      <c r="R534" s="123"/>
      <c r="S534" s="265"/>
      <c r="T534" s="250"/>
      <c r="U534" s="204"/>
      <c r="V534" s="123"/>
      <c r="W534" s="255"/>
      <c r="X534" s="255"/>
      <c r="Y534" s="255"/>
      <c r="Z534" s="123"/>
      <c r="AA534" s="216"/>
      <c r="AB534" s="216"/>
      <c r="AC534" s="216"/>
      <c r="AD534" s="123"/>
      <c r="AF534" s="255"/>
      <c r="AG534" s="255"/>
      <c r="AH534" s="123"/>
      <c r="AI534" s="32"/>
      <c r="AJ534" s="39"/>
      <c r="AK534" s="39"/>
      <c r="AL534" s="404"/>
    </row>
    <row r="535" spans="1:38" x14ac:dyDescent="0.25">
      <c r="A535" s="194">
        <v>530</v>
      </c>
      <c r="B535" s="20" t="s">
        <v>186</v>
      </c>
      <c r="C535" s="240">
        <f t="shared" si="141"/>
        <v>12.039999296475147</v>
      </c>
      <c r="D535" s="253">
        <v>20468.36</v>
      </c>
      <c r="E535" s="216">
        <f>'1501 Summary'!AD386</f>
        <v>246439.04000000004</v>
      </c>
      <c r="F535" s="123"/>
      <c r="G535" s="255"/>
      <c r="H535" s="255"/>
      <c r="I535" s="255"/>
      <c r="J535" s="123"/>
      <c r="K535" s="202">
        <f t="shared" si="132"/>
        <v>12.039999296475147</v>
      </c>
      <c r="L535" s="203">
        <f t="shared" si="142"/>
        <v>20468.36</v>
      </c>
      <c r="M535" s="247">
        <f t="shared" ref="M535:M538" si="143">L535*K535</f>
        <v>246439.04000000004</v>
      </c>
      <c r="N535" s="123"/>
      <c r="O535" s="265"/>
      <c r="P535" s="250"/>
      <c r="Q535" s="204"/>
      <c r="R535" s="123"/>
      <c r="S535" s="265"/>
      <c r="T535" s="250"/>
      <c r="U535" s="204"/>
      <c r="V535" s="123"/>
      <c r="W535" s="255"/>
      <c r="X535" s="255"/>
      <c r="Y535" s="255"/>
      <c r="Z535" s="123"/>
      <c r="AA535" s="216"/>
      <c r="AB535" s="216"/>
      <c r="AC535" s="216"/>
      <c r="AD535" s="123"/>
      <c r="AF535" s="255"/>
      <c r="AG535" s="255"/>
      <c r="AH535" s="123"/>
      <c r="AI535" s="32"/>
      <c r="AJ535" s="39"/>
      <c r="AK535" s="39"/>
      <c r="AL535" s="404"/>
    </row>
    <row r="536" spans="1:38" x14ac:dyDescent="0.25">
      <c r="A536" s="194">
        <v>531</v>
      </c>
      <c r="B536" s="20" t="s">
        <v>157</v>
      </c>
      <c r="C536" s="240">
        <v>0</v>
      </c>
      <c r="D536" s="236">
        <v>0</v>
      </c>
      <c r="E536" s="216">
        <f>'1501 Summary'!AD387</f>
        <v>0</v>
      </c>
      <c r="F536" s="123"/>
      <c r="G536" s="255"/>
      <c r="H536" s="255"/>
      <c r="I536" s="255"/>
      <c r="J536" s="123"/>
      <c r="K536" s="202"/>
      <c r="L536" s="266"/>
      <c r="M536" s="247">
        <f t="shared" si="143"/>
        <v>0</v>
      </c>
      <c r="N536" s="123"/>
      <c r="O536" s="204"/>
      <c r="P536" s="250"/>
      <c r="Q536" s="204"/>
      <c r="R536" s="123"/>
      <c r="S536" s="204"/>
      <c r="T536" s="250"/>
      <c r="U536" s="204"/>
      <c r="V536" s="123"/>
      <c r="W536" s="255"/>
      <c r="X536" s="255"/>
      <c r="Y536" s="255"/>
      <c r="Z536" s="123"/>
      <c r="AA536" s="216"/>
      <c r="AB536" s="216"/>
      <c r="AC536" s="216"/>
      <c r="AD536" s="123"/>
      <c r="AF536" s="255"/>
      <c r="AG536" s="255"/>
      <c r="AH536" s="123"/>
      <c r="AI536" s="32"/>
      <c r="AJ536" s="39"/>
      <c r="AK536" s="39"/>
      <c r="AL536" s="404"/>
    </row>
    <row r="537" spans="1:38" x14ac:dyDescent="0.25">
      <c r="A537" s="194">
        <v>532</v>
      </c>
      <c r="B537" s="20" t="s">
        <v>25</v>
      </c>
      <c r="C537" s="240">
        <v>0</v>
      </c>
      <c r="D537" s="196">
        <v>0</v>
      </c>
      <c r="E537" s="216">
        <f>'1501 Summary'!AD388</f>
        <v>0</v>
      </c>
      <c r="K537" s="202"/>
      <c r="L537" s="266"/>
      <c r="M537" s="247">
        <f t="shared" si="143"/>
        <v>0</v>
      </c>
      <c r="O537" s="204"/>
      <c r="P537" s="250"/>
      <c r="Q537" s="204"/>
      <c r="S537" s="204"/>
      <c r="T537" s="250"/>
      <c r="U537" s="204"/>
      <c r="AA537" s="216"/>
      <c r="AB537" s="216"/>
      <c r="AC537" s="216"/>
      <c r="AI537" s="32"/>
      <c r="AJ537" s="39"/>
      <c r="AK537" s="39"/>
      <c r="AL537" s="404"/>
    </row>
    <row r="538" spans="1:38" x14ac:dyDescent="0.25">
      <c r="A538" s="194">
        <v>533</v>
      </c>
      <c r="B538" s="20" t="s">
        <v>158</v>
      </c>
      <c r="C538" s="240">
        <f t="shared" si="141"/>
        <v>86593950</v>
      </c>
      <c r="D538" s="196">
        <v>4.0000000000000002E-4</v>
      </c>
      <c r="E538" s="216">
        <f>'1501 Summary'!AD389</f>
        <v>34637.58</v>
      </c>
      <c r="F538" s="123"/>
      <c r="G538" s="255"/>
      <c r="H538" s="255"/>
      <c r="I538" s="255"/>
      <c r="J538" s="123"/>
      <c r="K538" s="202">
        <f t="shared" si="132"/>
        <v>86593950</v>
      </c>
      <c r="L538" s="266">
        <f t="shared" si="142"/>
        <v>4.0000000000000002E-4</v>
      </c>
      <c r="M538" s="247">
        <f t="shared" si="143"/>
        <v>34637.58</v>
      </c>
      <c r="N538" s="123"/>
      <c r="O538" s="202"/>
      <c r="P538" s="250"/>
      <c r="Q538" s="204"/>
      <c r="R538" s="123"/>
      <c r="S538" s="202"/>
      <c r="T538" s="250"/>
      <c r="U538" s="204"/>
      <c r="V538" s="123"/>
      <c r="W538" s="255"/>
      <c r="X538" s="255"/>
      <c r="Y538" s="255"/>
      <c r="Z538" s="123"/>
      <c r="AA538" s="216"/>
      <c r="AB538" s="216"/>
      <c r="AC538" s="216"/>
      <c r="AD538" s="123"/>
      <c r="AF538" s="255"/>
      <c r="AG538" s="255"/>
      <c r="AH538" s="123"/>
      <c r="AI538" s="94"/>
      <c r="AJ538" s="39"/>
      <c r="AK538" s="39"/>
      <c r="AL538" s="404"/>
    </row>
    <row r="539" spans="1:38" x14ac:dyDescent="0.25">
      <c r="A539" s="194">
        <v>534</v>
      </c>
      <c r="B539" s="190" t="s">
        <v>528</v>
      </c>
      <c r="C539" s="240">
        <f t="shared" si="141"/>
        <v>51950663.220098466</v>
      </c>
      <c r="D539" s="196">
        <v>1.50101E-2</v>
      </c>
      <c r="E539" s="216">
        <f>SUM('1501 Summary'!G390:S390)</f>
        <v>779784.65</v>
      </c>
      <c r="F539" s="123"/>
      <c r="G539" s="255"/>
      <c r="H539" s="255"/>
      <c r="I539" s="255"/>
      <c r="J539" s="123"/>
      <c r="K539" s="202">
        <f t="shared" si="132"/>
        <v>51950663.220098466</v>
      </c>
      <c r="L539" s="266"/>
      <c r="M539" s="247"/>
      <c r="N539" s="123"/>
      <c r="O539" s="202"/>
      <c r="P539" s="250"/>
      <c r="Q539" s="204"/>
      <c r="R539" s="123"/>
      <c r="S539" s="202"/>
      <c r="T539" s="250"/>
      <c r="U539" s="204"/>
      <c r="V539" s="123"/>
      <c r="W539" s="255"/>
      <c r="X539" s="255"/>
      <c r="Y539" s="255"/>
      <c r="Z539" s="123"/>
      <c r="AA539" s="216"/>
      <c r="AB539" s="216"/>
      <c r="AC539" s="216"/>
      <c r="AD539" s="123"/>
      <c r="AF539" s="255"/>
      <c r="AG539" s="255"/>
      <c r="AH539" s="123"/>
      <c r="AI539" s="94"/>
      <c r="AJ539" s="39"/>
      <c r="AK539" s="39"/>
      <c r="AL539" s="404"/>
    </row>
    <row r="540" spans="1:38" x14ac:dyDescent="0.25">
      <c r="A540" s="194">
        <v>535</v>
      </c>
      <c r="B540" s="54" t="s">
        <v>529</v>
      </c>
      <c r="C540" s="240">
        <f t="shared" si="141"/>
        <v>34582074.115117207</v>
      </c>
      <c r="D540" s="196">
        <v>1.51602E-2</v>
      </c>
      <c r="E540" s="254">
        <f>SUM('1501 Summary'!U390:AC390)</f>
        <v>524271.15999999992</v>
      </c>
      <c r="F540" s="123"/>
      <c r="G540" s="255"/>
      <c r="H540" s="255"/>
      <c r="I540" s="255"/>
      <c r="J540" s="123"/>
      <c r="K540" s="202">
        <f t="shared" si="132"/>
        <v>34582074.115117207</v>
      </c>
      <c r="L540" s="266">
        <f t="shared" si="142"/>
        <v>1.51602E-2</v>
      </c>
      <c r="M540" s="249">
        <f>L540*SUM(K540,K539)</f>
        <v>1311853.6045493367</v>
      </c>
      <c r="N540" s="123"/>
      <c r="O540" s="202"/>
      <c r="P540" s="250"/>
      <c r="Q540" s="204"/>
      <c r="R540" s="123"/>
      <c r="S540" s="202"/>
      <c r="T540" s="250"/>
      <c r="U540" s="204"/>
      <c r="V540" s="123"/>
      <c r="W540" s="255"/>
      <c r="X540" s="255"/>
      <c r="Y540" s="255"/>
      <c r="Z540" s="123"/>
      <c r="AA540" s="216"/>
      <c r="AB540" s="216"/>
      <c r="AC540" s="216"/>
      <c r="AD540" s="123"/>
      <c r="AF540" s="255"/>
      <c r="AG540" s="255"/>
      <c r="AH540" s="123"/>
      <c r="AI540" s="94"/>
      <c r="AJ540" s="39"/>
      <c r="AK540" s="39"/>
      <c r="AL540" s="404"/>
    </row>
    <row r="541" spans="1:38" x14ac:dyDescent="0.25">
      <c r="A541" s="194">
        <v>536</v>
      </c>
      <c r="B541" s="12" t="s">
        <v>10</v>
      </c>
      <c r="E541" s="216">
        <f>SUM(E534:E540)</f>
        <v>1592632.43</v>
      </c>
      <c r="F541" s="123"/>
      <c r="G541" s="255"/>
      <c r="H541" s="255"/>
      <c r="I541" s="255"/>
      <c r="J541" s="123"/>
      <c r="K541" s="202"/>
      <c r="L541" s="266"/>
      <c r="M541" s="247">
        <f>SUM(M534:M540)</f>
        <v>1600430.2245493368</v>
      </c>
      <c r="N541" s="123"/>
      <c r="O541" s="204"/>
      <c r="P541" s="204"/>
      <c r="Q541" s="204"/>
      <c r="R541" s="123"/>
      <c r="S541" s="204"/>
      <c r="T541" s="204"/>
      <c r="U541" s="204"/>
      <c r="V541" s="123"/>
      <c r="W541" s="255"/>
      <c r="X541" s="255"/>
      <c r="Y541" s="255"/>
      <c r="Z541" s="123"/>
      <c r="AA541" s="216"/>
      <c r="AB541" s="216"/>
      <c r="AC541" s="216"/>
      <c r="AD541" s="123"/>
      <c r="AF541" s="255"/>
      <c r="AG541" s="255"/>
      <c r="AH541" s="123"/>
      <c r="AI541" s="32"/>
      <c r="AJ541" s="39"/>
      <c r="AK541" s="39"/>
      <c r="AL541" s="404"/>
    </row>
    <row r="542" spans="1:38" x14ac:dyDescent="0.25">
      <c r="A542" s="194">
        <v>537</v>
      </c>
      <c r="E542" s="255"/>
      <c r="F542" s="123"/>
      <c r="G542" s="255"/>
      <c r="H542" s="255"/>
      <c r="I542" s="255"/>
      <c r="J542" s="123"/>
      <c r="K542" s="202"/>
      <c r="L542" s="266"/>
      <c r="M542" s="247"/>
      <c r="N542" s="123"/>
      <c r="O542" s="204"/>
      <c r="P542" s="204"/>
      <c r="Q542" s="204"/>
      <c r="R542" s="123"/>
      <c r="S542" s="204"/>
      <c r="T542" s="204"/>
      <c r="U542" s="204"/>
      <c r="V542" s="123"/>
      <c r="W542" s="255"/>
      <c r="X542" s="255"/>
      <c r="Y542" s="255"/>
      <c r="Z542" s="123"/>
      <c r="AD542" s="123"/>
      <c r="AF542" s="255"/>
      <c r="AG542" s="255"/>
      <c r="AH542" s="123"/>
      <c r="AI542" s="32"/>
      <c r="AJ542" s="39"/>
      <c r="AL542" s="404"/>
    </row>
    <row r="543" spans="1:38" x14ac:dyDescent="0.25">
      <c r="A543" s="194">
        <v>538</v>
      </c>
      <c r="B543" s="12" t="s">
        <v>12</v>
      </c>
      <c r="K543" s="202"/>
      <c r="L543" s="266"/>
      <c r="M543" s="247"/>
      <c r="O543" s="204"/>
      <c r="P543" s="204"/>
      <c r="Q543" s="204"/>
      <c r="S543" s="204"/>
      <c r="T543" s="204"/>
      <c r="U543" s="204"/>
      <c r="AI543" s="32"/>
      <c r="AJ543" s="39"/>
      <c r="AL543" s="404"/>
    </row>
    <row r="544" spans="1:38" x14ac:dyDescent="0.25">
      <c r="A544" s="194">
        <v>539</v>
      </c>
      <c r="B544" s="12" t="s">
        <v>20</v>
      </c>
      <c r="E544" s="213">
        <f>'1501 Summary'!AD391</f>
        <v>70569.55</v>
      </c>
      <c r="F544" s="113"/>
      <c r="G544" s="250"/>
      <c r="H544" s="250"/>
      <c r="I544" s="250"/>
      <c r="J544" s="113"/>
      <c r="K544" s="202"/>
      <c r="L544" s="266"/>
      <c r="M544" s="247"/>
      <c r="N544" s="113"/>
      <c r="O544" s="204"/>
      <c r="P544" s="204"/>
      <c r="Q544" s="204"/>
      <c r="R544" s="113"/>
      <c r="S544" s="204"/>
      <c r="T544" s="204"/>
      <c r="U544" s="204"/>
      <c r="V544" s="113"/>
      <c r="W544" s="250"/>
      <c r="X544" s="250"/>
      <c r="Y544" s="250"/>
      <c r="Z544" s="113"/>
      <c r="AD544" s="113"/>
      <c r="AF544" s="250"/>
      <c r="AG544" s="250"/>
      <c r="AH544" s="113"/>
      <c r="AI544" s="32"/>
      <c r="AJ544" s="39"/>
      <c r="AL544" s="404"/>
    </row>
    <row r="545" spans="1:38" x14ac:dyDescent="0.25">
      <c r="A545" s="194">
        <v>540</v>
      </c>
      <c r="B545" s="12" t="s">
        <v>188</v>
      </c>
      <c r="E545" s="213">
        <f>'1501 Summary'!AD392</f>
        <v>0</v>
      </c>
      <c r="F545" s="113"/>
      <c r="G545" s="250"/>
      <c r="H545" s="250"/>
      <c r="I545" s="250"/>
      <c r="J545" s="113"/>
      <c r="K545" s="202"/>
      <c r="L545" s="266"/>
      <c r="M545" s="247"/>
      <c r="N545" s="113"/>
      <c r="O545" s="204"/>
      <c r="P545" s="204"/>
      <c r="Q545" s="204"/>
      <c r="R545" s="113"/>
      <c r="S545" s="204"/>
      <c r="T545" s="204"/>
      <c r="U545" s="204"/>
      <c r="V545" s="113"/>
      <c r="W545" s="250"/>
      <c r="X545" s="250"/>
      <c r="Y545" s="250"/>
      <c r="Z545" s="113"/>
      <c r="AD545" s="113"/>
      <c r="AF545" s="250"/>
      <c r="AG545" s="250"/>
      <c r="AH545" s="113"/>
      <c r="AI545" s="32"/>
      <c r="AJ545" s="39"/>
      <c r="AL545" s="404"/>
    </row>
    <row r="546" spans="1:38" x14ac:dyDescent="0.25">
      <c r="A546" s="194">
        <v>541</v>
      </c>
      <c r="B546" s="5" t="s">
        <v>53</v>
      </c>
      <c r="E546" s="247">
        <f>'Revenue Reconcilliation'!Q380</f>
        <v>-1663201.98</v>
      </c>
      <c r="F546" s="114"/>
      <c r="G546" s="210"/>
      <c r="H546" s="210"/>
      <c r="I546" s="210"/>
      <c r="J546" s="114"/>
      <c r="K546" s="202"/>
      <c r="L546" s="266"/>
      <c r="M546" s="247"/>
      <c r="N546" s="114"/>
      <c r="O546" s="204"/>
      <c r="P546" s="204"/>
      <c r="Q546" s="204"/>
      <c r="R546" s="114"/>
      <c r="S546" s="204"/>
      <c r="T546" s="204"/>
      <c r="U546" s="204"/>
      <c r="V546" s="114"/>
      <c r="W546" s="210"/>
      <c r="X546" s="210"/>
      <c r="Y546" s="210"/>
      <c r="Z546" s="114"/>
      <c r="AD546" s="114"/>
      <c r="AF546" s="210"/>
      <c r="AG546" s="210"/>
      <c r="AH546" s="114"/>
      <c r="AI546" s="32"/>
      <c r="AJ546" s="39"/>
      <c r="AL546" s="404"/>
    </row>
    <row r="547" spans="1:38" x14ac:dyDescent="0.25">
      <c r="A547" s="194">
        <v>542</v>
      </c>
      <c r="B547" s="5" t="s">
        <v>54</v>
      </c>
      <c r="E547" s="247">
        <f>'Revenue Reconcilliation'!Q381</f>
        <v>1657519.34</v>
      </c>
      <c r="F547" s="114"/>
      <c r="G547" s="210"/>
      <c r="H547" s="210"/>
      <c r="I547" s="210"/>
      <c r="J547" s="114"/>
      <c r="K547" s="202"/>
      <c r="L547" s="266"/>
      <c r="M547" s="247"/>
      <c r="N547" s="114"/>
      <c r="O547" s="204"/>
      <c r="P547" s="204"/>
      <c r="Q547" s="204"/>
      <c r="R547" s="114"/>
      <c r="S547" s="204"/>
      <c r="T547" s="204"/>
      <c r="U547" s="204"/>
      <c r="V547" s="114"/>
      <c r="W547" s="210"/>
      <c r="X547" s="210"/>
      <c r="Y547" s="210"/>
      <c r="Z547" s="114"/>
      <c r="AD547" s="114"/>
      <c r="AF547" s="210"/>
      <c r="AG547" s="210"/>
      <c r="AH547" s="114"/>
      <c r="AI547" s="32"/>
      <c r="AJ547" s="39"/>
      <c r="AL547" s="404"/>
    </row>
    <row r="548" spans="1:38" x14ac:dyDescent="0.25">
      <c r="A548" s="194">
        <v>543</v>
      </c>
      <c r="B548" s="11" t="s">
        <v>91</v>
      </c>
      <c r="E548" s="213">
        <f>SUM(E544:E547)</f>
        <v>64886.910000000149</v>
      </c>
      <c r="F548" s="113"/>
      <c r="G548" s="250"/>
      <c r="H548" s="250"/>
      <c r="I548" s="250"/>
      <c r="J548" s="113"/>
      <c r="K548" s="202"/>
      <c r="L548" s="266"/>
      <c r="M548" s="247"/>
      <c r="N548" s="113"/>
      <c r="O548" s="204"/>
      <c r="P548" s="204"/>
      <c r="Q548" s="204"/>
      <c r="R548" s="113"/>
      <c r="S548" s="204"/>
      <c r="T548" s="204"/>
      <c r="U548" s="204"/>
      <c r="V548" s="113"/>
      <c r="W548" s="250"/>
      <c r="X548" s="250"/>
      <c r="Y548" s="250"/>
      <c r="Z548" s="113"/>
      <c r="AD548" s="113"/>
      <c r="AF548" s="250"/>
      <c r="AG548" s="250"/>
      <c r="AH548" s="113"/>
      <c r="AI548" s="32"/>
      <c r="AJ548" s="39"/>
      <c r="AL548" s="404"/>
    </row>
    <row r="549" spans="1:38" x14ac:dyDescent="0.25">
      <c r="A549" s="194">
        <v>544</v>
      </c>
      <c r="E549" s="247"/>
      <c r="K549" s="202"/>
      <c r="L549" s="266"/>
      <c r="M549" s="247"/>
      <c r="O549" s="204"/>
      <c r="P549" s="204"/>
      <c r="Q549" s="204"/>
      <c r="S549" s="204"/>
      <c r="T549" s="204"/>
      <c r="U549" s="204"/>
      <c r="AI549" s="32"/>
      <c r="AJ549" s="39"/>
      <c r="AL549" s="404"/>
    </row>
    <row r="550" spans="1:38" x14ac:dyDescent="0.25">
      <c r="A550" s="194">
        <v>545</v>
      </c>
      <c r="B550" s="51" t="s">
        <v>145</v>
      </c>
      <c r="C550" s="227">
        <f>E550-'Revenue Reconcilliation'!Q382</f>
        <v>0</v>
      </c>
      <c r="D550" s="209" t="s">
        <v>45</v>
      </c>
      <c r="E550" s="256">
        <f>SUM(E541,E548)</f>
        <v>1657519.34</v>
      </c>
      <c r="F550" s="128"/>
      <c r="G550" s="281"/>
      <c r="H550" s="281"/>
      <c r="I550" s="281"/>
      <c r="J550" s="128"/>
      <c r="K550" s="239"/>
      <c r="L550" s="283"/>
      <c r="M550" s="249"/>
      <c r="N550" s="128"/>
      <c r="O550" s="204"/>
      <c r="P550" s="204"/>
      <c r="Q550" s="204"/>
      <c r="R550" s="128"/>
      <c r="S550" s="204"/>
      <c r="T550" s="204"/>
      <c r="U550" s="204"/>
      <c r="V550" s="123"/>
      <c r="W550" s="255"/>
      <c r="X550" s="255"/>
      <c r="Y550" s="255"/>
      <c r="Z550" s="123"/>
      <c r="AD550" s="123"/>
      <c r="AF550" s="255"/>
      <c r="AG550" s="255"/>
      <c r="AH550" s="123"/>
      <c r="AI550" s="32"/>
      <c r="AJ550" s="39"/>
      <c r="AL550" s="404"/>
    </row>
    <row r="551" spans="1:38" x14ac:dyDescent="0.25">
      <c r="A551" s="194">
        <v>546</v>
      </c>
      <c r="K551" s="202"/>
      <c r="L551" s="266"/>
      <c r="M551" s="247"/>
      <c r="O551" s="204"/>
      <c r="P551" s="204"/>
      <c r="Q551" s="204"/>
      <c r="S551" s="204"/>
      <c r="T551" s="204"/>
      <c r="U551" s="204"/>
      <c r="AI551" s="32"/>
      <c r="AJ551" s="39"/>
      <c r="AL551" s="404"/>
    </row>
    <row r="552" spans="1:38" x14ac:dyDescent="0.25">
      <c r="A552" s="194">
        <v>547</v>
      </c>
      <c r="B552" s="18" t="s">
        <v>21</v>
      </c>
      <c r="K552" s="202"/>
      <c r="L552" s="266"/>
      <c r="M552" s="247"/>
      <c r="O552" s="204"/>
      <c r="P552" s="204"/>
      <c r="Q552" s="204"/>
      <c r="S552" s="204"/>
      <c r="T552" s="204"/>
      <c r="U552" s="204"/>
      <c r="AI552" s="32"/>
      <c r="AJ552" s="39"/>
      <c r="AL552" s="404"/>
    </row>
    <row r="553" spans="1:38" x14ac:dyDescent="0.25">
      <c r="A553" s="194">
        <v>548</v>
      </c>
      <c r="B553" s="12" t="s">
        <v>25</v>
      </c>
      <c r="C553" s="240">
        <f t="shared" ref="C553:C559" si="144">E553/D553</f>
        <v>12</v>
      </c>
      <c r="D553" s="212">
        <v>625</v>
      </c>
      <c r="E553" s="224">
        <f>'1501 Summary'!AD399</f>
        <v>7500</v>
      </c>
      <c r="F553" s="123"/>
      <c r="G553" s="255"/>
      <c r="H553" s="255"/>
      <c r="I553" s="255"/>
      <c r="J553" s="123"/>
      <c r="K553" s="202">
        <f t="shared" ref="K553:K577" si="145">C553+G553</f>
        <v>12</v>
      </c>
      <c r="L553" s="232">
        <f t="shared" si="142"/>
        <v>625</v>
      </c>
      <c r="M553" s="247">
        <f>L553*K553</f>
        <v>7500</v>
      </c>
      <c r="N553" s="123"/>
      <c r="O553" s="265"/>
      <c r="P553" s="250"/>
      <c r="Q553" s="204"/>
      <c r="R553" s="123"/>
      <c r="S553" s="265"/>
      <c r="T553" s="250"/>
      <c r="U553" s="204"/>
      <c r="V553" s="123"/>
      <c r="W553" s="255"/>
      <c r="X553" s="255"/>
      <c r="Y553" s="255"/>
      <c r="Z553" s="123"/>
      <c r="AA553" s="216"/>
      <c r="AB553" s="216"/>
      <c r="AC553" s="216"/>
      <c r="AD553" s="123"/>
      <c r="AF553" s="255"/>
      <c r="AG553" s="255"/>
      <c r="AH553" s="123"/>
      <c r="AI553" s="32"/>
      <c r="AJ553" s="39"/>
      <c r="AK553" s="39"/>
      <c r="AL553" s="404"/>
    </row>
    <row r="554" spans="1:38" x14ac:dyDescent="0.25">
      <c r="A554" s="194">
        <v>549</v>
      </c>
      <c r="B554" s="12" t="s">
        <v>186</v>
      </c>
      <c r="C554" s="240">
        <f t="shared" si="144"/>
        <v>12.047506330280404</v>
      </c>
      <c r="D554" s="212">
        <v>14541.22</v>
      </c>
      <c r="E554" s="224">
        <f>'1501 Summary'!AD400</f>
        <v>175185.44</v>
      </c>
      <c r="F554" s="123"/>
      <c r="G554" s="255"/>
      <c r="H554" s="255"/>
      <c r="I554" s="255"/>
      <c r="J554" s="123"/>
      <c r="K554" s="202">
        <f t="shared" si="145"/>
        <v>12.047506330280404</v>
      </c>
      <c r="L554" s="203">
        <f t="shared" si="142"/>
        <v>14541.22</v>
      </c>
      <c r="M554" s="247">
        <f t="shared" ref="M554:M557" si="146">L554*K554</f>
        <v>175185.44</v>
      </c>
      <c r="N554" s="123"/>
      <c r="O554" s="265"/>
      <c r="P554" s="250"/>
      <c r="Q554" s="204"/>
      <c r="R554" s="123"/>
      <c r="S554" s="265"/>
      <c r="T554" s="250"/>
      <c r="U554" s="204"/>
      <c r="V554" s="123"/>
      <c r="W554" s="255"/>
      <c r="X554" s="255"/>
      <c r="Y554" s="255"/>
      <c r="Z554" s="123"/>
      <c r="AA554" s="216"/>
      <c r="AB554" s="216"/>
      <c r="AC554" s="216"/>
      <c r="AD554" s="123"/>
      <c r="AF554" s="255"/>
      <c r="AG554" s="255"/>
      <c r="AH554" s="123"/>
      <c r="AI554" s="32"/>
      <c r="AJ554" s="39"/>
      <c r="AK554" s="39"/>
      <c r="AL554" s="404"/>
    </row>
    <row r="555" spans="1:38" x14ac:dyDescent="0.25">
      <c r="A555" s="194">
        <v>550</v>
      </c>
      <c r="B555" s="12" t="s">
        <v>157</v>
      </c>
      <c r="C555" s="210">
        <v>0</v>
      </c>
      <c r="D555" s="212">
        <v>0</v>
      </c>
      <c r="E555" s="224">
        <f>'1501 Summary'!AD401</f>
        <v>0</v>
      </c>
      <c r="K555" s="202"/>
      <c r="L555" s="266"/>
      <c r="M555" s="247">
        <f t="shared" si="146"/>
        <v>0</v>
      </c>
      <c r="O555" s="204"/>
      <c r="P555" s="250"/>
      <c r="Q555" s="204"/>
      <c r="S555" s="204"/>
      <c r="T555" s="250"/>
      <c r="U555" s="204"/>
      <c r="AA555" s="216"/>
      <c r="AB555" s="216"/>
      <c r="AC555" s="216"/>
      <c r="AI555" s="32"/>
      <c r="AJ555" s="39"/>
      <c r="AK555" s="39"/>
      <c r="AL555" s="404"/>
    </row>
    <row r="556" spans="1:38" x14ac:dyDescent="0.25">
      <c r="A556" s="194">
        <v>551</v>
      </c>
      <c r="B556" s="12" t="s">
        <v>25</v>
      </c>
      <c r="C556" s="210">
        <v>0</v>
      </c>
      <c r="D556" s="212">
        <v>0</v>
      </c>
      <c r="E556" s="224">
        <f>'1501 Summary'!AD402</f>
        <v>0</v>
      </c>
      <c r="K556" s="202"/>
      <c r="L556" s="266"/>
      <c r="M556" s="247">
        <f t="shared" si="146"/>
        <v>0</v>
      </c>
      <c r="O556" s="204"/>
      <c r="P556" s="250"/>
      <c r="Q556" s="204"/>
      <c r="S556" s="204"/>
      <c r="T556" s="250"/>
      <c r="U556" s="204"/>
      <c r="AA556" s="216"/>
      <c r="AB556" s="216"/>
      <c r="AC556" s="216"/>
      <c r="AI556" s="32"/>
      <c r="AJ556" s="39"/>
      <c r="AK556" s="39"/>
      <c r="AL556" s="404"/>
    </row>
    <row r="557" spans="1:38" x14ac:dyDescent="0.25">
      <c r="A557" s="194">
        <v>552</v>
      </c>
      <c r="B557" s="12" t="s">
        <v>158</v>
      </c>
      <c r="C557" s="240">
        <f t="shared" si="144"/>
        <v>29380275.000000004</v>
      </c>
      <c r="D557" s="257">
        <v>4.0000000000000002E-4</v>
      </c>
      <c r="E557" s="224">
        <f>'1501 Summary'!AD403</f>
        <v>11752.110000000002</v>
      </c>
      <c r="K557" s="202">
        <f t="shared" si="145"/>
        <v>29380275.000000004</v>
      </c>
      <c r="L557" s="266">
        <f t="shared" si="142"/>
        <v>4.0000000000000002E-4</v>
      </c>
      <c r="M557" s="247">
        <f t="shared" si="146"/>
        <v>11752.110000000002</v>
      </c>
      <c r="O557" s="202"/>
      <c r="P557" s="250"/>
      <c r="Q557" s="204"/>
      <c r="S557" s="202"/>
      <c r="T557" s="250"/>
      <c r="U557" s="204"/>
      <c r="AA557" s="216"/>
      <c r="AB557" s="216"/>
      <c r="AC557" s="216"/>
      <c r="AI557" s="94"/>
      <c r="AJ557" s="39"/>
      <c r="AK557" s="39"/>
      <c r="AL557" s="404"/>
    </row>
    <row r="558" spans="1:38" x14ac:dyDescent="0.25">
      <c r="A558" s="194">
        <v>553</v>
      </c>
      <c r="B558" s="190" t="s">
        <v>530</v>
      </c>
      <c r="C558" s="240">
        <f t="shared" si="144"/>
        <v>3685061.7555635022</v>
      </c>
      <c r="D558" s="258">
        <v>1.4541200000000001E-2</v>
      </c>
      <c r="E558" s="224">
        <f>SUM('1501 Summary'!G404:Q404)</f>
        <v>53585.22</v>
      </c>
      <c r="K558" s="202">
        <f t="shared" si="145"/>
        <v>3685061.7555635022</v>
      </c>
      <c r="L558" s="266"/>
      <c r="M558" s="247"/>
      <c r="O558" s="202"/>
      <c r="P558" s="250"/>
      <c r="Q558" s="204"/>
      <c r="S558" s="202"/>
      <c r="T558" s="250"/>
      <c r="U558" s="204"/>
      <c r="AA558" s="216"/>
      <c r="AB558" s="216"/>
      <c r="AC558" s="216"/>
      <c r="AI558" s="94"/>
      <c r="AJ558" s="39"/>
      <c r="AK558" s="39"/>
      <c r="AL558" s="404"/>
    </row>
    <row r="559" spans="1:38" x14ac:dyDescent="0.25">
      <c r="A559" s="194">
        <v>554</v>
      </c>
      <c r="B559" s="54" t="s">
        <v>531</v>
      </c>
      <c r="C559" s="240">
        <f t="shared" si="144"/>
        <v>25663291.165110055</v>
      </c>
      <c r="D559" s="258">
        <v>1.4679299999999999E-2</v>
      </c>
      <c r="E559" s="228">
        <f>SUM('1501 Summary'!S404:AC404)</f>
        <v>376719.15</v>
      </c>
      <c r="K559" s="202">
        <f t="shared" si="145"/>
        <v>25663291.165110055</v>
      </c>
      <c r="L559" s="266">
        <f t="shared" si="142"/>
        <v>1.4679299999999999E-2</v>
      </c>
      <c r="M559" s="249">
        <f>L559*SUM(K559,K558)</f>
        <v>430813.27702844329</v>
      </c>
      <c r="O559" s="202"/>
      <c r="P559" s="250"/>
      <c r="Q559" s="204"/>
      <c r="S559" s="202"/>
      <c r="T559" s="250"/>
      <c r="U559" s="204"/>
      <c r="AA559" s="216"/>
      <c r="AB559" s="216"/>
      <c r="AC559" s="216"/>
      <c r="AI559" s="94"/>
      <c r="AJ559" s="39"/>
      <c r="AK559" s="39"/>
      <c r="AL559" s="404"/>
    </row>
    <row r="560" spans="1:38" x14ac:dyDescent="0.25">
      <c r="A560" s="194">
        <v>555</v>
      </c>
      <c r="B560" s="12" t="s">
        <v>10</v>
      </c>
      <c r="E560" s="224">
        <f>SUM(E553:E559)</f>
        <v>624741.92000000004</v>
      </c>
      <c r="F560" s="123"/>
      <c r="G560" s="255"/>
      <c r="H560" s="255"/>
      <c r="I560" s="255"/>
      <c r="J560" s="123"/>
      <c r="K560" s="202"/>
      <c r="L560" s="266"/>
      <c r="M560" s="247">
        <f>SUM(M553:M559)</f>
        <v>625250.82702844334</v>
      </c>
      <c r="N560" s="123"/>
      <c r="O560" s="204"/>
      <c r="P560" s="204"/>
      <c r="Q560" s="204"/>
      <c r="R560" s="123"/>
      <c r="S560" s="204"/>
      <c r="T560" s="204"/>
      <c r="U560" s="204"/>
      <c r="V560" s="123"/>
      <c r="W560" s="255"/>
      <c r="X560" s="255"/>
      <c r="Y560" s="255"/>
      <c r="Z560" s="123"/>
      <c r="AA560" s="216"/>
      <c r="AB560" s="216"/>
      <c r="AC560" s="216"/>
      <c r="AD560" s="123"/>
      <c r="AF560" s="255"/>
      <c r="AG560" s="255"/>
      <c r="AH560" s="123"/>
      <c r="AI560" s="32"/>
      <c r="AJ560" s="39"/>
      <c r="AK560" s="39"/>
      <c r="AL560" s="404"/>
    </row>
    <row r="561" spans="1:38" x14ac:dyDescent="0.25">
      <c r="A561" s="194">
        <v>556</v>
      </c>
      <c r="E561" s="224"/>
      <c r="F561" s="123"/>
      <c r="G561" s="255"/>
      <c r="H561" s="255"/>
      <c r="I561" s="255"/>
      <c r="J561" s="123"/>
      <c r="K561" s="202"/>
      <c r="L561" s="266"/>
      <c r="M561" s="247"/>
      <c r="N561" s="123"/>
      <c r="O561" s="204"/>
      <c r="P561" s="204"/>
      <c r="Q561" s="204"/>
      <c r="R561" s="123"/>
      <c r="S561" s="204"/>
      <c r="T561" s="204"/>
      <c r="U561" s="204"/>
      <c r="V561" s="123"/>
      <c r="W561" s="255"/>
      <c r="X561" s="255"/>
      <c r="Y561" s="255"/>
      <c r="Z561" s="123"/>
      <c r="AD561" s="123"/>
      <c r="AF561" s="255"/>
      <c r="AG561" s="255"/>
      <c r="AH561" s="123"/>
      <c r="AI561" s="32"/>
      <c r="AJ561" s="39"/>
      <c r="AL561" s="404"/>
    </row>
    <row r="562" spans="1:38" x14ac:dyDescent="0.25">
      <c r="A562" s="194">
        <v>557</v>
      </c>
      <c r="B562" s="12" t="s">
        <v>12</v>
      </c>
      <c r="E562" s="224"/>
      <c r="K562" s="202"/>
      <c r="L562" s="266"/>
      <c r="M562" s="247"/>
      <c r="O562" s="204"/>
      <c r="P562" s="204"/>
      <c r="Q562" s="204"/>
      <c r="S562" s="204"/>
      <c r="T562" s="204"/>
      <c r="U562" s="204"/>
      <c r="AI562" s="32"/>
      <c r="AJ562" s="39"/>
      <c r="AL562" s="404"/>
    </row>
    <row r="563" spans="1:38" x14ac:dyDescent="0.25">
      <c r="A563" s="194">
        <v>558</v>
      </c>
      <c r="B563" s="12" t="s">
        <v>20</v>
      </c>
      <c r="E563" s="224">
        <f>'1501 Summary'!AD405</f>
        <v>28281.54</v>
      </c>
      <c r="F563" s="113"/>
      <c r="G563" s="250"/>
      <c r="H563" s="250"/>
      <c r="I563" s="250"/>
      <c r="J563" s="113"/>
      <c r="K563" s="202"/>
      <c r="L563" s="266"/>
      <c r="M563" s="247"/>
      <c r="N563" s="113"/>
      <c r="O563" s="204"/>
      <c r="P563" s="204"/>
      <c r="Q563" s="204"/>
      <c r="R563" s="113"/>
      <c r="S563" s="204"/>
      <c r="T563" s="204"/>
      <c r="U563" s="204"/>
      <c r="V563" s="113"/>
      <c r="W563" s="250"/>
      <c r="X563" s="250"/>
      <c r="Y563" s="250"/>
      <c r="Z563" s="113"/>
      <c r="AD563" s="113"/>
      <c r="AF563" s="250"/>
      <c r="AG563" s="250"/>
      <c r="AH563" s="113"/>
      <c r="AI563" s="32"/>
      <c r="AJ563" s="39"/>
      <c r="AL563" s="404"/>
    </row>
    <row r="564" spans="1:38" x14ac:dyDescent="0.25">
      <c r="A564" s="194">
        <v>559</v>
      </c>
      <c r="B564" s="12" t="s">
        <v>188</v>
      </c>
      <c r="E564" s="229">
        <v>0</v>
      </c>
      <c r="F564" s="113"/>
      <c r="G564" s="250"/>
      <c r="H564" s="250"/>
      <c r="I564" s="250"/>
      <c r="J564" s="113"/>
      <c r="K564" s="202"/>
      <c r="L564" s="266"/>
      <c r="M564" s="247"/>
      <c r="N564" s="113"/>
      <c r="O564" s="204"/>
      <c r="P564" s="204"/>
      <c r="Q564" s="204"/>
      <c r="R564" s="113"/>
      <c r="S564" s="204"/>
      <c r="T564" s="204"/>
      <c r="U564" s="204"/>
      <c r="V564" s="113"/>
      <c r="W564" s="250"/>
      <c r="X564" s="250"/>
      <c r="Y564" s="250"/>
      <c r="Z564" s="113"/>
      <c r="AD564" s="113"/>
      <c r="AF564" s="250"/>
      <c r="AG564" s="250"/>
      <c r="AH564" s="113"/>
      <c r="AI564" s="32"/>
      <c r="AJ564" s="39"/>
      <c r="AL564" s="404"/>
    </row>
    <row r="565" spans="1:38" x14ac:dyDescent="0.25">
      <c r="A565" s="194">
        <v>560</v>
      </c>
      <c r="B565" s="12" t="s">
        <v>120</v>
      </c>
      <c r="E565" s="224">
        <f>'1501 Summary'!AD406</f>
        <v>41574.770000000004</v>
      </c>
      <c r="F565" s="113"/>
      <c r="G565" s="250"/>
      <c r="H565" s="250"/>
      <c r="I565" s="250"/>
      <c r="J565" s="113"/>
      <c r="K565" s="202"/>
      <c r="L565" s="266"/>
      <c r="M565" s="247"/>
      <c r="N565" s="113"/>
      <c r="O565" s="204"/>
      <c r="P565" s="204"/>
      <c r="Q565" s="204"/>
      <c r="R565" s="113"/>
      <c r="S565" s="204"/>
      <c r="T565" s="204"/>
      <c r="U565" s="204"/>
      <c r="V565" s="113"/>
      <c r="W565" s="250"/>
      <c r="X565" s="250"/>
      <c r="Y565" s="250"/>
      <c r="Z565" s="113"/>
      <c r="AD565" s="113"/>
      <c r="AF565" s="250"/>
      <c r="AG565" s="250"/>
      <c r="AH565" s="113"/>
      <c r="AI565" s="32"/>
      <c r="AJ565" s="39"/>
      <c r="AL565" s="404"/>
    </row>
    <row r="566" spans="1:38" x14ac:dyDescent="0.25">
      <c r="A566" s="194">
        <v>561</v>
      </c>
      <c r="B566" s="12" t="s">
        <v>173</v>
      </c>
      <c r="E566" s="224">
        <f>'1501 Summary'!AD407</f>
        <v>12898.31</v>
      </c>
      <c r="F566" s="113"/>
      <c r="G566" s="250"/>
      <c r="H566" s="250"/>
      <c r="I566" s="250"/>
      <c r="J566" s="113"/>
      <c r="K566" s="202"/>
      <c r="L566" s="266"/>
      <c r="M566" s="247"/>
      <c r="N566" s="113"/>
      <c r="O566" s="204"/>
      <c r="P566" s="204"/>
      <c r="Q566" s="204"/>
      <c r="R566" s="113"/>
      <c r="S566" s="204"/>
      <c r="T566" s="204"/>
      <c r="U566" s="204"/>
      <c r="V566" s="113"/>
      <c r="W566" s="250"/>
      <c r="X566" s="250"/>
      <c r="Y566" s="250"/>
      <c r="Z566" s="113"/>
      <c r="AD566" s="113"/>
      <c r="AF566" s="250"/>
      <c r="AG566" s="250"/>
      <c r="AH566" s="113"/>
      <c r="AI566" s="32"/>
      <c r="AJ566" s="39"/>
      <c r="AL566" s="404"/>
    </row>
    <row r="567" spans="1:38" x14ac:dyDescent="0.25">
      <c r="A567" s="194">
        <v>562</v>
      </c>
      <c r="B567" s="5" t="s">
        <v>53</v>
      </c>
      <c r="E567" s="224">
        <f>'Revenue Reconcilliation'!Q400</f>
        <v>-692911.09</v>
      </c>
      <c r="F567" s="114"/>
      <c r="G567" s="210"/>
      <c r="H567" s="210"/>
      <c r="I567" s="210"/>
      <c r="J567" s="114"/>
      <c r="K567" s="202"/>
      <c r="L567" s="266"/>
      <c r="M567" s="247"/>
      <c r="N567" s="114"/>
      <c r="O567" s="204"/>
      <c r="P567" s="204"/>
      <c r="Q567" s="204"/>
      <c r="R567" s="114"/>
      <c r="S567" s="204"/>
      <c r="T567" s="204"/>
      <c r="U567" s="204"/>
      <c r="V567" s="114"/>
      <c r="W567" s="210"/>
      <c r="X567" s="210"/>
      <c r="Y567" s="210"/>
      <c r="Z567" s="114"/>
      <c r="AD567" s="114"/>
      <c r="AF567" s="210"/>
      <c r="AG567" s="210"/>
      <c r="AH567" s="114"/>
      <c r="AI567" s="32"/>
      <c r="AJ567" s="39"/>
      <c r="AL567" s="404"/>
    </row>
    <row r="568" spans="1:38" x14ac:dyDescent="0.25">
      <c r="A568" s="194">
        <v>563</v>
      </c>
      <c r="B568" s="5" t="s">
        <v>54</v>
      </c>
      <c r="E568" s="228">
        <f>'Revenue Reconcilliation'!Q401</f>
        <v>801816.05999999994</v>
      </c>
      <c r="F568" s="114"/>
      <c r="G568" s="210"/>
      <c r="H568" s="210"/>
      <c r="I568" s="210"/>
      <c r="J568" s="114"/>
      <c r="K568" s="202"/>
      <c r="L568" s="266"/>
      <c r="M568" s="247"/>
      <c r="N568" s="114"/>
      <c r="O568" s="204"/>
      <c r="P568" s="204"/>
      <c r="Q568" s="204"/>
      <c r="R568" s="114"/>
      <c r="S568" s="204"/>
      <c r="T568" s="204"/>
      <c r="U568" s="204"/>
      <c r="V568" s="114"/>
      <c r="W568" s="210"/>
      <c r="X568" s="210"/>
      <c r="Y568" s="210"/>
      <c r="Z568" s="114"/>
      <c r="AD568" s="114"/>
      <c r="AF568" s="210"/>
      <c r="AG568" s="210"/>
      <c r="AH568" s="114"/>
      <c r="AI568" s="32"/>
      <c r="AJ568" s="39"/>
      <c r="AL568" s="404"/>
    </row>
    <row r="569" spans="1:38" x14ac:dyDescent="0.25">
      <c r="A569" s="194">
        <v>564</v>
      </c>
      <c r="B569" s="11" t="s">
        <v>91</v>
      </c>
      <c r="E569" s="224">
        <f>SUM(E563:E568)</f>
        <v>191659.58999999997</v>
      </c>
      <c r="F569" s="113"/>
      <c r="G569" s="250"/>
      <c r="H569" s="250"/>
      <c r="I569" s="250"/>
      <c r="J569" s="113"/>
      <c r="K569" s="202"/>
      <c r="L569" s="266"/>
      <c r="M569" s="247"/>
      <c r="N569" s="113"/>
      <c r="O569" s="204"/>
      <c r="P569" s="204"/>
      <c r="Q569" s="204"/>
      <c r="R569" s="113"/>
      <c r="S569" s="204"/>
      <c r="T569" s="204"/>
      <c r="U569" s="204"/>
      <c r="V569" s="113"/>
      <c r="W569" s="250"/>
      <c r="X569" s="250"/>
      <c r="Y569" s="250"/>
      <c r="Z569" s="113"/>
      <c r="AD569" s="113"/>
      <c r="AF569" s="250"/>
      <c r="AG569" s="250"/>
      <c r="AH569" s="113"/>
      <c r="AI569" s="32"/>
      <c r="AJ569" s="39"/>
      <c r="AL569" s="404"/>
    </row>
    <row r="570" spans="1:38" x14ac:dyDescent="0.25">
      <c r="A570" s="194">
        <v>565</v>
      </c>
      <c r="B570" s="11"/>
      <c r="E570" s="224"/>
      <c r="K570" s="202"/>
      <c r="L570" s="266"/>
      <c r="M570" s="247"/>
      <c r="O570" s="204"/>
      <c r="P570" s="204"/>
      <c r="Q570" s="204"/>
      <c r="S570" s="204"/>
      <c r="T570" s="204"/>
      <c r="U570" s="204"/>
      <c r="AI570" s="32"/>
      <c r="AJ570" s="39"/>
      <c r="AL570" s="404"/>
    </row>
    <row r="571" spans="1:38" x14ac:dyDescent="0.25">
      <c r="A571" s="194">
        <v>566</v>
      </c>
      <c r="B571" s="51" t="s">
        <v>146</v>
      </c>
      <c r="C571" s="227">
        <f>E571-'Revenue Reconcilliation'!Q402</f>
        <v>0</v>
      </c>
      <c r="D571" s="209" t="s">
        <v>45</v>
      </c>
      <c r="E571" s="228">
        <f>SUM(E560,E569)</f>
        <v>816401.51</v>
      </c>
      <c r="F571" s="128"/>
      <c r="G571" s="281"/>
      <c r="H571" s="281"/>
      <c r="I571" s="281"/>
      <c r="J571" s="128"/>
      <c r="K571" s="239"/>
      <c r="L571" s="283"/>
      <c r="M571" s="249"/>
      <c r="N571" s="128"/>
      <c r="O571" s="207"/>
      <c r="P571" s="207"/>
      <c r="Q571" s="207"/>
      <c r="R571" s="128"/>
      <c r="S571" s="207"/>
      <c r="T571" s="207"/>
      <c r="U571" s="207"/>
      <c r="V571" s="128"/>
      <c r="W571" s="281"/>
      <c r="X571" s="281"/>
      <c r="Y571" s="281"/>
      <c r="Z571" s="128"/>
      <c r="AA571" s="209"/>
      <c r="AB571" s="209"/>
      <c r="AC571" s="209"/>
      <c r="AD571" s="128"/>
      <c r="AE571" s="239"/>
      <c r="AF571" s="281"/>
      <c r="AG571" s="281"/>
      <c r="AH571" s="128"/>
      <c r="AI571" s="38"/>
      <c r="AJ571" s="40"/>
      <c r="AK571" s="52"/>
      <c r="AL571" s="404"/>
    </row>
    <row r="572" spans="1:38" x14ac:dyDescent="0.25">
      <c r="A572" s="194">
        <v>567</v>
      </c>
      <c r="K572" s="202"/>
      <c r="L572" s="266"/>
      <c r="M572" s="247"/>
      <c r="O572" s="204"/>
      <c r="P572" s="204"/>
      <c r="Q572" s="204"/>
      <c r="S572" s="204"/>
      <c r="T572" s="204"/>
      <c r="U572" s="204"/>
      <c r="AI572" s="32"/>
      <c r="AJ572" s="39"/>
      <c r="AL572" s="404"/>
    </row>
    <row r="573" spans="1:38" x14ac:dyDescent="0.25">
      <c r="A573" s="194">
        <v>568</v>
      </c>
      <c r="B573" s="18" t="s">
        <v>147</v>
      </c>
      <c r="K573" s="202"/>
      <c r="L573" s="266"/>
      <c r="M573" s="247"/>
      <c r="O573" s="204"/>
      <c r="P573" s="204"/>
      <c r="Q573" s="204"/>
      <c r="S573" s="204"/>
      <c r="T573" s="204"/>
      <c r="U573" s="204"/>
      <c r="AI573" s="32"/>
      <c r="AJ573" s="39"/>
      <c r="AL573" s="404"/>
    </row>
    <row r="574" spans="1:38" x14ac:dyDescent="0.25">
      <c r="A574" s="194">
        <v>569</v>
      </c>
      <c r="B574" s="12" t="s">
        <v>25</v>
      </c>
      <c r="C574" s="196">
        <f t="shared" ref="C574:C577" si="147">E574/D574</f>
        <v>12</v>
      </c>
      <c r="D574" s="196">
        <v>625</v>
      </c>
      <c r="E574" s="224">
        <f>'1501 Summary'!AD416</f>
        <v>7500</v>
      </c>
      <c r="F574" s="123"/>
      <c r="G574" s="255"/>
      <c r="H574" s="255"/>
      <c r="I574" s="255"/>
      <c r="J574" s="123"/>
      <c r="K574" s="202">
        <f t="shared" si="145"/>
        <v>12</v>
      </c>
      <c r="L574" s="232">
        <f t="shared" ref="L574:L577" si="148">D574</f>
        <v>625</v>
      </c>
      <c r="M574" s="247">
        <f>L574*K574</f>
        <v>7500</v>
      </c>
      <c r="N574" s="123"/>
      <c r="O574" s="204"/>
      <c r="P574" s="250"/>
      <c r="Q574" s="204"/>
      <c r="R574" s="123"/>
      <c r="S574" s="204"/>
      <c r="T574" s="250"/>
      <c r="U574" s="204"/>
      <c r="V574" s="123"/>
      <c r="W574" s="255"/>
      <c r="X574" s="255"/>
      <c r="Y574" s="255"/>
      <c r="Z574" s="123"/>
      <c r="AA574" s="216"/>
      <c r="AB574" s="216"/>
      <c r="AC574" s="216"/>
      <c r="AD574" s="123"/>
      <c r="AF574" s="255"/>
      <c r="AG574" s="255"/>
      <c r="AH574" s="123"/>
      <c r="AI574" s="32"/>
      <c r="AJ574" s="39"/>
      <c r="AK574" s="39"/>
      <c r="AL574" s="404"/>
    </row>
    <row r="575" spans="1:38" x14ac:dyDescent="0.25">
      <c r="A575" s="194">
        <v>570</v>
      </c>
      <c r="B575" s="12" t="s">
        <v>158</v>
      </c>
      <c r="C575" s="202">
        <f t="shared" si="147"/>
        <v>1168275</v>
      </c>
      <c r="D575" s="196">
        <v>4.0000000000000002E-4</v>
      </c>
      <c r="E575" s="224">
        <f>'1501 Summary'!AD417</f>
        <v>467.31</v>
      </c>
      <c r="F575" s="123"/>
      <c r="G575" s="255"/>
      <c r="H575" s="255"/>
      <c r="I575" s="255"/>
      <c r="J575" s="123"/>
      <c r="K575" s="202">
        <f t="shared" si="145"/>
        <v>1168275</v>
      </c>
      <c r="L575" s="266">
        <f t="shared" si="148"/>
        <v>4.0000000000000002E-4</v>
      </c>
      <c r="M575" s="247">
        <f t="shared" ref="M575:M577" si="149">L575*K575</f>
        <v>467.31</v>
      </c>
      <c r="N575" s="123"/>
      <c r="O575" s="204"/>
      <c r="P575" s="250"/>
      <c r="Q575" s="204"/>
      <c r="R575" s="123"/>
      <c r="S575" s="204"/>
      <c r="T575" s="250"/>
      <c r="U575" s="204"/>
      <c r="V575" s="123"/>
      <c r="W575" s="255"/>
      <c r="X575" s="255"/>
      <c r="Y575" s="255"/>
      <c r="Z575" s="123"/>
      <c r="AA575" s="216"/>
      <c r="AB575" s="216"/>
      <c r="AC575" s="216"/>
      <c r="AD575" s="123"/>
      <c r="AF575" s="255"/>
      <c r="AG575" s="255"/>
      <c r="AH575" s="123"/>
      <c r="AI575" s="94"/>
      <c r="AJ575" s="39"/>
      <c r="AK575" s="39"/>
      <c r="AL575" s="404"/>
    </row>
    <row r="576" spans="1:38" x14ac:dyDescent="0.25">
      <c r="A576" s="194">
        <v>571</v>
      </c>
      <c r="B576" s="12" t="s">
        <v>174</v>
      </c>
      <c r="C576" s="202">
        <f t="shared" si="147"/>
        <v>1168264</v>
      </c>
      <c r="D576" s="259">
        <v>0.01</v>
      </c>
      <c r="E576" s="224">
        <f>'1501 Summary'!AD418</f>
        <v>11682.64</v>
      </c>
      <c r="F576" s="123"/>
      <c r="G576" s="255"/>
      <c r="H576" s="255"/>
      <c r="I576" s="255"/>
      <c r="J576" s="123"/>
      <c r="K576" s="202">
        <f t="shared" si="145"/>
        <v>1168264</v>
      </c>
      <c r="L576" s="266">
        <f t="shared" si="148"/>
        <v>0.01</v>
      </c>
      <c r="M576" s="247">
        <f t="shared" si="149"/>
        <v>11682.64</v>
      </c>
      <c r="N576" s="123"/>
      <c r="O576" s="204"/>
      <c r="P576" s="250"/>
      <c r="Q576" s="204"/>
      <c r="R576" s="123"/>
      <c r="S576" s="204"/>
      <c r="T576" s="250"/>
      <c r="U576" s="204"/>
      <c r="V576" s="123"/>
      <c r="W576" s="255"/>
      <c r="X576" s="255"/>
      <c r="Y576" s="255"/>
      <c r="Z576" s="123"/>
      <c r="AA576" s="216"/>
      <c r="AB576" s="216"/>
      <c r="AC576" s="216"/>
      <c r="AD576" s="123"/>
      <c r="AF576" s="255"/>
      <c r="AG576" s="255"/>
      <c r="AH576" s="123"/>
      <c r="AI576" s="94"/>
      <c r="AJ576" s="39"/>
      <c r="AK576" s="39"/>
      <c r="AL576" s="404"/>
    </row>
    <row r="577" spans="1:38" x14ac:dyDescent="0.25">
      <c r="A577" s="194">
        <v>572</v>
      </c>
      <c r="B577" s="12" t="s">
        <v>173</v>
      </c>
      <c r="C577" s="202">
        <f t="shared" si="147"/>
        <v>10.159522302158273</v>
      </c>
      <c r="D577" s="250">
        <v>13900</v>
      </c>
      <c r="E577" s="228">
        <f>'1501 Summary'!AD419</f>
        <v>141217.35999999999</v>
      </c>
      <c r="F577" s="123"/>
      <c r="G577" s="255"/>
      <c r="H577" s="255"/>
      <c r="I577" s="255"/>
      <c r="J577" s="123"/>
      <c r="K577" s="202">
        <f t="shared" si="145"/>
        <v>10.159522302158273</v>
      </c>
      <c r="L577" s="203">
        <f t="shared" si="148"/>
        <v>13900</v>
      </c>
      <c r="M577" s="249">
        <f t="shared" si="149"/>
        <v>141217.35999999999</v>
      </c>
      <c r="N577" s="123"/>
      <c r="O577" s="204"/>
      <c r="P577" s="250"/>
      <c r="Q577" s="204"/>
      <c r="R577" s="123"/>
      <c r="S577" s="204"/>
      <c r="T577" s="250"/>
      <c r="U577" s="204"/>
      <c r="V577" s="123"/>
      <c r="W577" s="255"/>
      <c r="X577" s="255"/>
      <c r="Y577" s="255"/>
      <c r="Z577" s="123"/>
      <c r="AA577" s="216"/>
      <c r="AB577" s="216"/>
      <c r="AC577" s="216"/>
      <c r="AD577" s="123"/>
      <c r="AF577" s="255"/>
      <c r="AG577" s="255"/>
      <c r="AH577" s="123"/>
      <c r="AI577" s="32"/>
      <c r="AJ577" s="39"/>
      <c r="AK577" s="39"/>
      <c r="AL577" s="404"/>
    </row>
    <row r="578" spans="1:38" x14ac:dyDescent="0.25">
      <c r="A578" s="194">
        <v>573</v>
      </c>
      <c r="B578" s="12" t="s">
        <v>10</v>
      </c>
      <c r="E578" s="224">
        <f>SUM(E574:E577)</f>
        <v>160867.31</v>
      </c>
      <c r="F578" s="123"/>
      <c r="G578" s="255"/>
      <c r="H578" s="255"/>
      <c r="I578" s="255"/>
      <c r="J578" s="123"/>
      <c r="K578" s="202"/>
      <c r="L578" s="266"/>
      <c r="M578" s="247">
        <f>SUM(M574:M577)</f>
        <v>160867.31</v>
      </c>
      <c r="N578" s="123"/>
      <c r="O578" s="204"/>
      <c r="P578" s="204"/>
      <c r="Q578" s="204"/>
      <c r="R578" s="123"/>
      <c r="S578" s="204"/>
      <c r="T578" s="204"/>
      <c r="U578" s="204"/>
      <c r="V578" s="123"/>
      <c r="W578" s="255"/>
      <c r="X578" s="255"/>
      <c r="Y578" s="255"/>
      <c r="Z578" s="123"/>
      <c r="AA578" s="405"/>
      <c r="AB578" s="405"/>
      <c r="AC578" s="405"/>
      <c r="AD578" s="123"/>
      <c r="AF578" s="255"/>
      <c r="AG578" s="255"/>
      <c r="AH578" s="123"/>
      <c r="AI578" s="32"/>
      <c r="AJ578" s="39"/>
      <c r="AK578" s="39"/>
      <c r="AL578" s="404"/>
    </row>
    <row r="579" spans="1:38" x14ac:dyDescent="0.25">
      <c r="A579" s="194">
        <v>574</v>
      </c>
      <c r="E579" s="224"/>
      <c r="F579" s="123"/>
      <c r="G579" s="255"/>
      <c r="H579" s="255"/>
      <c r="I579" s="255"/>
      <c r="J579" s="123"/>
      <c r="K579" s="202"/>
      <c r="L579" s="266"/>
      <c r="M579" s="247"/>
      <c r="N579" s="123"/>
      <c r="O579" s="204"/>
      <c r="P579" s="204"/>
      <c r="Q579" s="204"/>
      <c r="R579" s="123"/>
      <c r="S579" s="204"/>
      <c r="T579" s="204"/>
      <c r="U579" s="204"/>
      <c r="V579" s="123"/>
      <c r="W579" s="255"/>
      <c r="X579" s="255"/>
      <c r="Y579" s="255"/>
      <c r="Z579" s="123"/>
      <c r="AD579" s="123"/>
      <c r="AF579" s="255"/>
      <c r="AG579" s="255"/>
      <c r="AH579" s="123"/>
      <c r="AI579" s="32"/>
      <c r="AJ579" s="39"/>
      <c r="AL579" s="404"/>
    </row>
    <row r="580" spans="1:38" x14ac:dyDescent="0.25">
      <c r="A580" s="194">
        <v>575</v>
      </c>
      <c r="B580" s="12" t="s">
        <v>12</v>
      </c>
      <c r="E580" s="224"/>
      <c r="F580" s="123"/>
      <c r="G580" s="255"/>
      <c r="H580" s="255"/>
      <c r="I580" s="255"/>
      <c r="J580" s="123"/>
      <c r="K580" s="202"/>
      <c r="L580" s="266"/>
      <c r="M580" s="247"/>
      <c r="N580" s="123"/>
      <c r="O580" s="204"/>
      <c r="P580" s="204"/>
      <c r="Q580" s="204"/>
      <c r="R580" s="123"/>
      <c r="S580" s="204"/>
      <c r="T580" s="204"/>
      <c r="U580" s="204"/>
      <c r="V580" s="123"/>
      <c r="W580" s="255"/>
      <c r="X580" s="255"/>
      <c r="Y580" s="255"/>
      <c r="Z580" s="123"/>
      <c r="AD580" s="123"/>
      <c r="AF580" s="255"/>
      <c r="AG580" s="255"/>
      <c r="AH580" s="123"/>
      <c r="AI580" s="32"/>
      <c r="AJ580" s="39"/>
      <c r="AL580" s="404"/>
    </row>
    <row r="581" spans="1:38" x14ac:dyDescent="0.25">
      <c r="A581" s="194">
        <v>576</v>
      </c>
      <c r="B581" s="12" t="s">
        <v>20</v>
      </c>
      <c r="E581" s="224">
        <f>'1501 Summary'!AD420</f>
        <v>7100.3300000000008</v>
      </c>
      <c r="F581" s="123"/>
      <c r="G581" s="255"/>
      <c r="H581" s="255"/>
      <c r="I581" s="255"/>
      <c r="J581" s="123"/>
      <c r="K581" s="202"/>
      <c r="L581" s="266"/>
      <c r="M581" s="247"/>
      <c r="N581" s="123"/>
      <c r="O581" s="204"/>
      <c r="P581" s="204"/>
      <c r="Q581" s="204"/>
      <c r="R581" s="123"/>
      <c r="S581" s="204"/>
      <c r="T581" s="204"/>
      <c r="U581" s="204"/>
      <c r="V581" s="123"/>
      <c r="W581" s="255"/>
      <c r="X581" s="255"/>
      <c r="Y581" s="255"/>
      <c r="Z581" s="123"/>
      <c r="AD581" s="123"/>
      <c r="AF581" s="255"/>
      <c r="AG581" s="255"/>
      <c r="AH581" s="123"/>
      <c r="AI581" s="32"/>
      <c r="AJ581" s="39"/>
      <c r="AL581" s="404"/>
    </row>
    <row r="582" spans="1:38" x14ac:dyDescent="0.25">
      <c r="A582" s="194">
        <v>577</v>
      </c>
      <c r="B582" s="12" t="s">
        <v>188</v>
      </c>
      <c r="E582" s="224">
        <f>'1501 Summary'!AD421</f>
        <v>0</v>
      </c>
      <c r="F582" s="123"/>
      <c r="G582" s="255"/>
      <c r="H582" s="255"/>
      <c r="I582" s="255"/>
      <c r="J582" s="123"/>
      <c r="K582" s="202"/>
      <c r="L582" s="266"/>
      <c r="M582" s="247"/>
      <c r="N582" s="123"/>
      <c r="O582" s="204"/>
      <c r="P582" s="204"/>
      <c r="Q582" s="204"/>
      <c r="R582" s="123"/>
      <c r="S582" s="204"/>
      <c r="T582" s="204"/>
      <c r="U582" s="204"/>
      <c r="V582" s="123"/>
      <c r="W582" s="255"/>
      <c r="X582" s="255"/>
      <c r="Y582" s="255"/>
      <c r="Z582" s="123"/>
      <c r="AD582" s="123"/>
      <c r="AF582" s="255"/>
      <c r="AG582" s="255"/>
      <c r="AH582" s="123"/>
      <c r="AI582" s="32"/>
      <c r="AJ582" s="39"/>
      <c r="AL582" s="404"/>
    </row>
    <row r="583" spans="1:38" x14ac:dyDescent="0.25">
      <c r="A583" s="194">
        <v>578</v>
      </c>
      <c r="B583" s="5" t="s">
        <v>53</v>
      </c>
      <c r="E583" s="224">
        <f>'Revenue Reconcilliation'!Q420</f>
        <v>-182553.09000000003</v>
      </c>
      <c r="F583" s="123"/>
      <c r="G583" s="255"/>
      <c r="H583" s="255"/>
      <c r="I583" s="255"/>
      <c r="J583" s="123"/>
      <c r="K583" s="202"/>
      <c r="L583" s="266"/>
      <c r="M583" s="247"/>
      <c r="N583" s="123"/>
      <c r="O583" s="204"/>
      <c r="P583" s="204"/>
      <c r="Q583" s="204"/>
      <c r="R583" s="123"/>
      <c r="S583" s="204"/>
      <c r="T583" s="204"/>
      <c r="U583" s="204"/>
      <c r="V583" s="123"/>
      <c r="W583" s="255"/>
      <c r="X583" s="255"/>
      <c r="Y583" s="255"/>
      <c r="Z583" s="123"/>
      <c r="AD583" s="123"/>
      <c r="AF583" s="255"/>
      <c r="AG583" s="255"/>
      <c r="AH583" s="123"/>
      <c r="AI583" s="32"/>
      <c r="AJ583" s="39"/>
      <c r="AL583" s="404"/>
    </row>
    <row r="584" spans="1:38" x14ac:dyDescent="0.25">
      <c r="A584" s="194">
        <v>579</v>
      </c>
      <c r="B584" s="5" t="s">
        <v>54</v>
      </c>
      <c r="E584" s="228">
        <f>'Revenue Reconcilliation'!Q421</f>
        <v>182518.64000000004</v>
      </c>
      <c r="F584" s="123"/>
      <c r="G584" s="255"/>
      <c r="H584" s="255"/>
      <c r="I584" s="255"/>
      <c r="J584" s="123"/>
      <c r="K584" s="202"/>
      <c r="L584" s="266"/>
      <c r="M584" s="247"/>
      <c r="N584" s="123"/>
      <c r="O584" s="204"/>
      <c r="P584" s="204"/>
      <c r="Q584" s="204"/>
      <c r="R584" s="123"/>
      <c r="S584" s="204"/>
      <c r="T584" s="204"/>
      <c r="U584" s="204"/>
      <c r="V584" s="123"/>
      <c r="W584" s="255"/>
      <c r="X584" s="255"/>
      <c r="Y584" s="255"/>
      <c r="Z584" s="123"/>
      <c r="AD584" s="123"/>
      <c r="AF584" s="255"/>
      <c r="AG584" s="255"/>
      <c r="AH584" s="123"/>
      <c r="AI584" s="32"/>
      <c r="AJ584" s="39"/>
      <c r="AL584" s="404"/>
    </row>
    <row r="585" spans="1:38" x14ac:dyDescent="0.25">
      <c r="A585" s="194">
        <v>580</v>
      </c>
      <c r="B585" s="11" t="s">
        <v>91</v>
      </c>
      <c r="E585" s="224">
        <f>SUM(E581:E584)</f>
        <v>7065.8800000000047</v>
      </c>
      <c r="F585" s="123"/>
      <c r="G585" s="255"/>
      <c r="H585" s="255"/>
      <c r="I585" s="255"/>
      <c r="J585" s="123"/>
      <c r="K585" s="202"/>
      <c r="L585" s="266"/>
      <c r="M585" s="247"/>
      <c r="N585" s="123"/>
      <c r="O585" s="204"/>
      <c r="P585" s="204"/>
      <c r="Q585" s="204"/>
      <c r="R585" s="123"/>
      <c r="S585" s="204"/>
      <c r="T585" s="204"/>
      <c r="U585" s="204"/>
      <c r="V585" s="123"/>
      <c r="W585" s="255"/>
      <c r="X585" s="255"/>
      <c r="Y585" s="255"/>
      <c r="Z585" s="123"/>
      <c r="AD585" s="123"/>
      <c r="AF585" s="255"/>
      <c r="AG585" s="255"/>
      <c r="AH585" s="123"/>
      <c r="AI585" s="32"/>
      <c r="AJ585" s="39"/>
      <c r="AL585" s="404"/>
    </row>
    <row r="586" spans="1:38" x14ac:dyDescent="0.25">
      <c r="A586" s="194">
        <v>581</v>
      </c>
      <c r="B586" s="11"/>
      <c r="E586" s="224"/>
      <c r="K586" s="202"/>
      <c r="L586" s="266"/>
      <c r="M586" s="247"/>
      <c r="O586" s="204"/>
      <c r="P586" s="204"/>
      <c r="Q586" s="204"/>
      <c r="S586" s="204"/>
      <c r="T586" s="204"/>
      <c r="U586" s="204"/>
      <c r="AI586" s="32"/>
      <c r="AJ586" s="39"/>
      <c r="AL586" s="404"/>
    </row>
    <row r="587" spans="1:38" x14ac:dyDescent="0.25">
      <c r="A587" s="194">
        <v>582</v>
      </c>
      <c r="B587" s="51" t="s">
        <v>148</v>
      </c>
      <c r="C587" s="227">
        <f>E587-'Revenue Reconcilliation'!Q422</f>
        <v>0</v>
      </c>
      <c r="D587" s="209" t="s">
        <v>45</v>
      </c>
      <c r="E587" s="228">
        <f>SUM(E578,E585)</f>
        <v>167933.19</v>
      </c>
      <c r="F587" s="128"/>
      <c r="G587" s="281"/>
      <c r="H587" s="281"/>
      <c r="I587" s="281"/>
      <c r="J587" s="128"/>
      <c r="K587" s="239"/>
      <c r="L587" s="283"/>
      <c r="M587" s="249"/>
      <c r="N587" s="128"/>
      <c r="O587" s="207"/>
      <c r="P587" s="207"/>
      <c r="Q587" s="207"/>
      <c r="R587" s="128"/>
      <c r="S587" s="207"/>
      <c r="T587" s="207"/>
      <c r="U587" s="207"/>
      <c r="V587" s="128"/>
      <c r="W587" s="641"/>
      <c r="X587" s="641"/>
      <c r="Y587" s="641"/>
      <c r="Z587" s="640"/>
      <c r="AA587" s="264" t="s">
        <v>542</v>
      </c>
      <c r="AB587" s="209"/>
      <c r="AC587" s="758">
        <f>ROUND(SUM(AC8,AC44,AC84,AC119,AC285,AC321),0)</f>
        <v>974913</v>
      </c>
      <c r="AD587" s="128"/>
      <c r="AE587" s="239"/>
      <c r="AF587" s="281"/>
      <c r="AG587" s="281"/>
      <c r="AH587" s="128"/>
      <c r="AI587" s="38"/>
      <c r="AJ587" s="40"/>
      <c r="AK587" s="52"/>
    </row>
    <row r="588" spans="1:38" x14ac:dyDescent="0.25">
      <c r="A588" s="194">
        <v>583</v>
      </c>
      <c r="E588" s="247"/>
      <c r="K588" s="202"/>
      <c r="L588" s="266"/>
      <c r="Q588" s="204"/>
      <c r="U588" s="204"/>
      <c r="AA588" s="264" t="s">
        <v>286</v>
      </c>
      <c r="AC588" s="405">
        <f>-SUM(E18,E54,E91,E126,E161,E194,E227,E260,E292,E328,E465,E492,E516)</f>
        <v>-3879096.7900000024</v>
      </c>
      <c r="AE588"/>
      <c r="AF588"/>
      <c r="AG588"/>
      <c r="AH588" s="402"/>
      <c r="AI588" s="22"/>
      <c r="AJ588" s="22"/>
      <c r="AK588" s="22"/>
    </row>
    <row r="589" spans="1:38" x14ac:dyDescent="0.25">
      <c r="A589" s="194">
        <v>584</v>
      </c>
      <c r="B589" s="100" t="s">
        <v>203</v>
      </c>
      <c r="C589" s="198"/>
      <c r="D589" s="198"/>
      <c r="E589" s="260">
        <f>SUM(E578,E560,E541,E509,E485,E458,E439,E420,E401,E383,E364,E321,E285,E187,E119,E84,E45,E9,E154,E220,E253)</f>
        <v>98705686.87999998</v>
      </c>
      <c r="F589" s="129"/>
      <c r="G589" s="282"/>
      <c r="H589" s="282"/>
      <c r="I589" s="282"/>
      <c r="J589" s="129"/>
      <c r="K589" s="285"/>
      <c r="L589" s="282"/>
      <c r="M589" s="260">
        <f>SUM(M578,M560,M541,M509,M485,M458,M439,M420,M401,M383,M364,M321,M285,M187,M119,M84,M50,M14,M154,M220,M253)</f>
        <v>109752998.32510225</v>
      </c>
      <c r="N589" s="192"/>
      <c r="O589" s="756"/>
      <c r="P589" s="756" t="s">
        <v>638</v>
      </c>
      <c r="Q589" s="757">
        <f>SUM(Q578,Q560,Q541,Q509,Q485,Q458,Q439,Q420,Q401,Q383,Q364,Q321,Q285,Q119,Q84,Q50,Q14)</f>
        <v>-8223</v>
      </c>
      <c r="R589" s="756"/>
      <c r="S589" s="756"/>
      <c r="T589" s="756" t="s">
        <v>587</v>
      </c>
      <c r="U589" s="757">
        <f>SUM(U578,U560,U541,U509,U485,U458,U439,U420,U401,U383,U364,U321,U285,U119,U84,U50,U14)</f>
        <v>1057399.3900221004</v>
      </c>
      <c r="V589" s="756"/>
      <c r="W589" s="756"/>
      <c r="X589" s="756" t="s">
        <v>639</v>
      </c>
      <c r="Y589" s="757">
        <f>Y321+Y119</f>
        <v>-134104.11531761975</v>
      </c>
      <c r="Z589" s="192"/>
      <c r="AA589" s="417" t="s">
        <v>333</v>
      </c>
      <c r="AB589" s="198"/>
      <c r="AC589" s="759">
        <f>SUM(AC587:AC588)</f>
        <v>-2904183.7900000024</v>
      </c>
      <c r="AD589" s="129"/>
      <c r="AE589" s="403" t="s">
        <v>579</v>
      </c>
      <c r="AF589" s="248"/>
      <c r="AG589" s="685">
        <f>SUM(AG14,AG50,AG84,AG119,AG285, AG321)</f>
        <v>1281027.2172982139</v>
      </c>
      <c r="AH589" s="125"/>
      <c r="AI589" s="52"/>
      <c r="AJ589" s="52"/>
      <c r="AK589" s="760">
        <f>SUM(AK321,AK285,AK119,AK84,AK50,AK14)</f>
        <v>14281138.780194048</v>
      </c>
    </row>
    <row r="590" spans="1:38" x14ac:dyDescent="0.25">
      <c r="A590" s="194">
        <v>585</v>
      </c>
      <c r="B590" s="19" t="s">
        <v>204</v>
      </c>
      <c r="E590" s="247">
        <f>SUM(E587,E571,E550,E531,E498,E475,E448,E429,E410,E392,E373,E350,E311,E213,E147,E112,E76,E39,E182,E246,E279)</f>
        <v>245576227.90000004</v>
      </c>
      <c r="F590" s="113"/>
      <c r="G590" s="250"/>
      <c r="H590" s="250"/>
      <c r="I590" s="250"/>
      <c r="J590" s="113"/>
      <c r="K590" s="202"/>
      <c r="L590" s="250"/>
      <c r="M590" s="250"/>
      <c r="N590" s="113"/>
      <c r="O590" s="250"/>
      <c r="P590" s="250"/>
      <c r="Q590" s="204"/>
      <c r="R590" s="113"/>
      <c r="S590" s="250"/>
      <c r="T590" s="250"/>
      <c r="U590" s="204"/>
      <c r="V590" s="113"/>
      <c r="W590" s="250"/>
      <c r="X590" s="250"/>
      <c r="Y590" s="250"/>
      <c r="Z590" s="113"/>
      <c r="AD590" s="113"/>
      <c r="AF590" s="250"/>
      <c r="AG590" s="250"/>
      <c r="AH590" s="113"/>
    </row>
    <row r="591" spans="1:38" x14ac:dyDescent="0.25">
      <c r="A591" s="194">
        <v>586</v>
      </c>
      <c r="E591" s="247"/>
      <c r="K591" s="286" t="s">
        <v>279</v>
      </c>
      <c r="M591" s="247">
        <f>-E589</f>
        <v>-98705686.87999998</v>
      </c>
      <c r="Q591" s="204"/>
      <c r="U591" s="204"/>
    </row>
    <row r="592" spans="1:38" x14ac:dyDescent="0.25">
      <c r="A592" s="194">
        <v>587</v>
      </c>
      <c r="B592" s="19" t="s">
        <v>64</v>
      </c>
      <c r="E592" s="210">
        <f>'Allocation Report Summary 2019'!P12</f>
        <v>527669.75999999989</v>
      </c>
      <c r="F592" s="114"/>
      <c r="G592" s="210"/>
      <c r="H592" s="210"/>
      <c r="I592" s="210"/>
      <c r="J592" s="114"/>
      <c r="K592" s="264" t="s">
        <v>280</v>
      </c>
      <c r="L592" s="210"/>
      <c r="M592" s="247">
        <f>-SUM(E342,E303,E205,E141,E107,E70,E33,E176,E238,E271)</f>
        <v>4221975.1099999994</v>
      </c>
      <c r="N592" s="114"/>
      <c r="O592" s="210"/>
      <c r="P592" s="210"/>
      <c r="Q592" s="204"/>
      <c r="R592" s="114"/>
      <c r="S592" s="210"/>
      <c r="T592" s="210"/>
      <c r="U592" s="204"/>
      <c r="V592" s="114"/>
      <c r="W592" s="210"/>
      <c r="X592" s="210"/>
      <c r="Y592" s="210"/>
      <c r="Z592" s="114"/>
      <c r="AD592" s="114"/>
      <c r="AF592" s="210"/>
      <c r="AG592" s="210"/>
      <c r="AH592" s="114"/>
    </row>
    <row r="593" spans="1:34" x14ac:dyDescent="0.25">
      <c r="A593" s="194">
        <v>588</v>
      </c>
      <c r="B593" s="19" t="s">
        <v>68</v>
      </c>
      <c r="E593" s="210">
        <f>'Allocation Report Summary 2019'!P14</f>
        <v>0</v>
      </c>
      <c r="F593" s="114"/>
      <c r="G593" s="210"/>
      <c r="H593" s="210"/>
      <c r="I593" s="210"/>
      <c r="J593" s="114"/>
      <c r="K593" s="229" t="s">
        <v>284</v>
      </c>
      <c r="L593" s="210"/>
      <c r="M593" s="631">
        <f>-'WACAP 2019'!AD167</f>
        <v>-338287.40000000066</v>
      </c>
      <c r="N593" s="114"/>
      <c r="O593" s="210"/>
      <c r="P593" s="210"/>
      <c r="Q593" s="204"/>
      <c r="R593" s="114"/>
      <c r="S593" s="210"/>
      <c r="T593" s="210"/>
      <c r="U593" s="204"/>
      <c r="V593" s="114"/>
      <c r="W593" s="210"/>
      <c r="X593" s="210"/>
      <c r="Y593" s="210"/>
      <c r="Z593" s="114"/>
      <c r="AD593" s="114"/>
      <c r="AF593" s="210"/>
      <c r="AG593" s="210"/>
      <c r="AH593" s="114"/>
    </row>
    <row r="594" spans="1:34" x14ac:dyDescent="0.25">
      <c r="A594" s="194">
        <v>589</v>
      </c>
      <c r="B594" s="19" t="s">
        <v>70</v>
      </c>
      <c r="E594" s="210">
        <f>'Allocation Report Summary 2019'!P15</f>
        <v>127945.33</v>
      </c>
      <c r="F594" s="114"/>
      <c r="G594" s="210"/>
      <c r="H594" s="210"/>
      <c r="I594" s="210"/>
      <c r="J594" s="114"/>
      <c r="K594"/>
      <c r="L594"/>
      <c r="M594"/>
      <c r="N594" s="114"/>
      <c r="O594" s="210"/>
      <c r="P594" s="210"/>
      <c r="Q594" s="204"/>
      <c r="R594" s="114"/>
      <c r="S594" s="210"/>
      <c r="T594" s="210"/>
      <c r="U594" s="204"/>
      <c r="V594" s="114"/>
      <c r="W594" s="210"/>
      <c r="X594" s="210"/>
      <c r="Y594" s="210"/>
      <c r="Z594" s="114"/>
      <c r="AD594" s="114"/>
      <c r="AF594" s="210"/>
      <c r="AG594" s="210"/>
      <c r="AH594" s="114"/>
    </row>
    <row r="595" spans="1:34" x14ac:dyDescent="0.25">
      <c r="A595" s="194">
        <v>590</v>
      </c>
      <c r="B595" s="19" t="s">
        <v>72</v>
      </c>
      <c r="E595" s="210">
        <f>'Allocation Report Summary 2019'!P16</f>
        <v>91457.44</v>
      </c>
      <c r="F595" s="114"/>
      <c r="G595" s="210"/>
      <c r="H595" s="210"/>
      <c r="I595" s="210"/>
      <c r="J595" s="114"/>
      <c r="K595" s="264" t="s">
        <v>285</v>
      </c>
      <c r="L595" s="210"/>
      <c r="M595" s="288">
        <f>SUM(M589:M594)</f>
        <v>14930999.155102273</v>
      </c>
      <c r="N595" s="114"/>
      <c r="O595" s="210"/>
      <c r="P595" s="210"/>
      <c r="Q595" s="204"/>
      <c r="R595" s="114"/>
      <c r="S595" s="210"/>
      <c r="T595" s="210"/>
      <c r="U595" s="204"/>
      <c r="V595" s="114"/>
      <c r="W595" s="210"/>
      <c r="X595" s="210"/>
      <c r="Y595" s="210"/>
      <c r="Z595" s="114"/>
      <c r="AD595" s="114"/>
      <c r="AF595" s="210"/>
      <c r="AG595" s="210"/>
      <c r="AH595" s="114"/>
    </row>
    <row r="596" spans="1:34" x14ac:dyDescent="0.25">
      <c r="A596" s="194">
        <v>591</v>
      </c>
      <c r="B596" s="19" t="s">
        <v>206</v>
      </c>
      <c r="E596" s="210">
        <f>'Allocation Report Summary 2019'!P18</f>
        <v>1001689</v>
      </c>
      <c r="F596" s="114"/>
      <c r="G596" s="210"/>
      <c r="H596" s="210"/>
      <c r="I596" s="210"/>
      <c r="J596" s="114"/>
      <c r="K596" s="286"/>
      <c r="L596" s="210"/>
      <c r="M596" s="210"/>
      <c r="N596" s="114"/>
      <c r="O596" s="210"/>
      <c r="P596" s="210"/>
      <c r="Q596" s="204"/>
      <c r="R596" s="114"/>
      <c r="S596" s="210"/>
      <c r="T596" s="210"/>
      <c r="U596" s="204"/>
      <c r="V596" s="114"/>
      <c r="W596" s="210"/>
      <c r="X596" s="210"/>
      <c r="Y596" s="210"/>
      <c r="Z596" s="114"/>
      <c r="AD596" s="114"/>
      <c r="AF596" s="210"/>
      <c r="AG596" s="210"/>
      <c r="AH596" s="114"/>
    </row>
    <row r="597" spans="1:34" x14ac:dyDescent="0.25">
      <c r="A597" s="194">
        <v>592</v>
      </c>
      <c r="B597" s="19"/>
      <c r="E597" s="247"/>
      <c r="K597" s="286"/>
      <c r="M597" s="638"/>
      <c r="Q597" s="204"/>
      <c r="U597" s="204"/>
    </row>
    <row r="598" spans="1:34" x14ac:dyDescent="0.25">
      <c r="A598" s="194">
        <v>593</v>
      </c>
      <c r="B598" s="19" t="s">
        <v>205</v>
      </c>
      <c r="E598" s="247">
        <f>SUM(E590:E596)</f>
        <v>247324989.43000004</v>
      </c>
      <c r="F598" s="113"/>
      <c r="G598" s="250"/>
      <c r="H598" s="250"/>
      <c r="I598" s="250"/>
      <c r="J598" s="113"/>
      <c r="K598" s="202"/>
      <c r="L598" s="250"/>
      <c r="M598" s="250"/>
      <c r="N598" s="113"/>
      <c r="O598" s="250"/>
      <c r="P598" s="250"/>
      <c r="Q598" s="204"/>
      <c r="R598" s="113"/>
      <c r="S598" s="250"/>
      <c r="T598" s="250"/>
      <c r="U598" s="204"/>
      <c r="V598" s="113"/>
      <c r="W598" s="250"/>
      <c r="X598" s="250"/>
      <c r="Y598" s="250"/>
      <c r="Z598" s="113"/>
      <c r="AD598" s="113"/>
      <c r="AF598" s="250"/>
      <c r="AG598" s="250"/>
      <c r="AH598" s="113"/>
    </row>
    <row r="599" spans="1:34" ht="15.75" customHeight="1" x14ac:dyDescent="0.25">
      <c r="A599" s="194">
        <v>594</v>
      </c>
      <c r="D599" s="196" t="s">
        <v>207</v>
      </c>
      <c r="E599" s="250">
        <f>E598-'Allocation Report Summary 2019'!P20</f>
        <v>0</v>
      </c>
      <c r="K599" s="289"/>
      <c r="M599" s="290"/>
      <c r="Q599" s="204"/>
      <c r="U599" s="204"/>
    </row>
    <row r="600" spans="1:34" x14ac:dyDescent="0.25">
      <c r="A600" s="194">
        <v>595</v>
      </c>
      <c r="F600" s="113"/>
      <c r="G600" s="250"/>
      <c r="H600" s="250"/>
      <c r="I600" s="250"/>
      <c r="J600" s="113"/>
      <c r="K600" s="250"/>
      <c r="L600" s="250"/>
      <c r="M600" s="250"/>
      <c r="N600" s="113"/>
      <c r="O600" s="250"/>
      <c r="P600" s="250"/>
      <c r="Q600" s="250"/>
      <c r="R600" s="113"/>
      <c r="S600" s="250"/>
      <c r="T600" s="250"/>
      <c r="U600" s="250"/>
      <c r="V600" s="113"/>
      <c r="W600" s="250"/>
      <c r="X600" s="250"/>
      <c r="Y600" s="250"/>
      <c r="Z600" s="113"/>
      <c r="AD600" s="113"/>
      <c r="AF600" s="250"/>
      <c r="AG600" s="250"/>
      <c r="AH600" s="113"/>
    </row>
    <row r="601" spans="1:34" x14ac:dyDescent="0.25">
      <c r="E601" s="212"/>
      <c r="F601" s="116"/>
      <c r="G601" s="212"/>
      <c r="H601" s="212"/>
      <c r="I601" s="212"/>
      <c r="J601" s="116"/>
      <c r="K601" s="212"/>
      <c r="L601" s="212"/>
      <c r="M601" s="212"/>
      <c r="N601" s="116"/>
      <c r="O601" s="212"/>
      <c r="P601" s="212"/>
      <c r="Q601" s="212"/>
      <c r="R601" s="116"/>
      <c r="S601" s="212"/>
      <c r="T601" s="212"/>
      <c r="U601" s="212"/>
      <c r="V601" s="116"/>
      <c r="W601" s="212"/>
      <c r="X601" s="212"/>
      <c r="Y601" s="212"/>
      <c r="Z601" s="116"/>
      <c r="AD601" s="116"/>
      <c r="AF601" s="212"/>
      <c r="AG601" s="212"/>
      <c r="AH601" s="116"/>
    </row>
    <row r="602" spans="1:34" x14ac:dyDescent="0.25">
      <c r="C602" s="250"/>
      <c r="E602" s="203"/>
    </row>
    <row r="603" spans="1:34" x14ac:dyDescent="0.25">
      <c r="E603" s="204"/>
    </row>
    <row r="604" spans="1:34" x14ac:dyDescent="0.25">
      <c r="E604" s="203"/>
    </row>
    <row r="605" spans="1:34" x14ac:dyDescent="0.25">
      <c r="E605" s="203"/>
    </row>
  </sheetData>
  <mergeCells count="8">
    <mergeCell ref="G3:I3"/>
    <mergeCell ref="AI3:AK3"/>
    <mergeCell ref="K3:M3"/>
    <mergeCell ref="S3:U3"/>
    <mergeCell ref="AA3:AC3"/>
    <mergeCell ref="AE3:AG3"/>
    <mergeCell ref="W3:Y3"/>
    <mergeCell ref="O3:Q3"/>
  </mergeCells>
  <printOptions horizontalCentered="1"/>
  <pageMargins left="0.5" right="0.5" top="1" bottom="0.75" header="0.5" footer="0.3"/>
  <pageSetup scale="23" fitToHeight="0" orientation="landscape" useFirstPageNumber="1" horizontalDpi="1200" verticalDpi="1200" r:id="rId1"/>
  <headerFooter scaleWithDoc="0">
    <oddHeader>&amp;C&amp;10Cascade Natural Gas Corporation
SUMMARY OF REVENUES BY RATE SCHEDULE&amp;R&amp;9Docket No. UG-200568
Exhibit No. ___ (IDM-7)
Page &amp;P of 5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A31"/>
  <sheetViews>
    <sheetView workbookViewId="0">
      <selection activeCell="C19" sqref="C19"/>
    </sheetView>
  </sheetViews>
  <sheetFormatPr defaultColWidth="9.140625" defaultRowHeight="15" x14ac:dyDescent="0.25"/>
  <cols>
    <col min="1" max="1" width="98.7109375" style="140" customWidth="1"/>
    <col min="2" max="2" width="29.42578125" style="140" customWidth="1"/>
    <col min="3" max="16384" width="9.140625" style="140"/>
  </cols>
  <sheetData>
    <row r="1" spans="1:1" ht="15.75" x14ac:dyDescent="0.25">
      <c r="A1" s="145" t="s">
        <v>645</v>
      </c>
    </row>
    <row r="2" spans="1:1" ht="15.75" x14ac:dyDescent="0.25">
      <c r="A2" s="145" t="s">
        <v>644</v>
      </c>
    </row>
    <row r="3" spans="1:1" ht="15.75" x14ac:dyDescent="0.25">
      <c r="A3" s="145" t="s">
        <v>427</v>
      </c>
    </row>
    <row r="4" spans="1:1" ht="15.75" x14ac:dyDescent="0.25">
      <c r="A4" s="144"/>
    </row>
    <row r="5" spans="1:1" ht="15.75" x14ac:dyDescent="0.25">
      <c r="A5" s="144"/>
    </row>
    <row r="6" spans="1:1" ht="15.75" x14ac:dyDescent="0.25">
      <c r="A6" s="144"/>
    </row>
    <row r="7" spans="1:1" ht="15.75" x14ac:dyDescent="0.25">
      <c r="A7" s="144"/>
    </row>
    <row r="8" spans="1:1" ht="15.75" x14ac:dyDescent="0.25">
      <c r="A8" s="144"/>
    </row>
    <row r="9" spans="1:1" ht="15.75" x14ac:dyDescent="0.25">
      <c r="A9" s="144"/>
    </row>
    <row r="10" spans="1:1" ht="15.75" x14ac:dyDescent="0.25">
      <c r="A10" s="144"/>
    </row>
    <row r="11" spans="1:1" ht="15.75" x14ac:dyDescent="0.25">
      <c r="A11" s="144"/>
    </row>
    <row r="12" spans="1:1" ht="15.75" x14ac:dyDescent="0.25">
      <c r="A12" s="144"/>
    </row>
    <row r="13" spans="1:1" ht="15.75" x14ac:dyDescent="0.25">
      <c r="A13" s="144"/>
    </row>
    <row r="14" spans="1:1" ht="15.75" x14ac:dyDescent="0.25">
      <c r="A14" s="144"/>
    </row>
    <row r="15" spans="1:1" ht="15.75" x14ac:dyDescent="0.25">
      <c r="A15" s="144"/>
    </row>
    <row r="16" spans="1:1" ht="15.75" x14ac:dyDescent="0.25">
      <c r="A16" s="142"/>
    </row>
    <row r="17" spans="1:1" ht="15.75" x14ac:dyDescent="0.25">
      <c r="A17" s="142"/>
    </row>
    <row r="18" spans="1:1" ht="15.75" x14ac:dyDescent="0.25">
      <c r="A18" s="144"/>
    </row>
    <row r="19" spans="1:1" ht="15.75" x14ac:dyDescent="0.25">
      <c r="A19" s="142" t="s">
        <v>426</v>
      </c>
    </row>
    <row r="20" spans="1:1" ht="15.75" x14ac:dyDescent="0.25">
      <c r="A20" s="142"/>
    </row>
    <row r="21" spans="1:1" ht="15.75" x14ac:dyDescent="0.25">
      <c r="A21" s="142" t="s">
        <v>428</v>
      </c>
    </row>
    <row r="22" spans="1:1" ht="15.75" x14ac:dyDescent="0.25">
      <c r="A22" s="142"/>
    </row>
    <row r="23" spans="1:1" ht="15.75" x14ac:dyDescent="0.25">
      <c r="A23" s="142"/>
    </row>
    <row r="24" spans="1:1" ht="15.75" x14ac:dyDescent="0.25">
      <c r="A24" s="143" t="s">
        <v>429</v>
      </c>
    </row>
    <row r="25" spans="1:1" ht="15.75" x14ac:dyDescent="0.25">
      <c r="A25" s="142"/>
    </row>
    <row r="26" spans="1:1" ht="15.75" x14ac:dyDescent="0.25">
      <c r="A26" s="142"/>
    </row>
    <row r="27" spans="1:1" ht="15.75" x14ac:dyDescent="0.25">
      <c r="A27" s="142"/>
    </row>
    <row r="28" spans="1:1" ht="15.75" x14ac:dyDescent="0.25">
      <c r="A28" s="142"/>
    </row>
    <row r="29" spans="1:1" ht="15.75" x14ac:dyDescent="0.25">
      <c r="A29" s="142"/>
    </row>
    <row r="30" spans="1:1" ht="15.75" x14ac:dyDescent="0.25">
      <c r="A30" s="161">
        <v>44036</v>
      </c>
    </row>
    <row r="31" spans="1:1" x14ac:dyDescent="0.25">
      <c r="A31" s="14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rgb="FFFFFF00"/>
  </sheetPr>
  <dimension ref="A1:D51"/>
  <sheetViews>
    <sheetView workbookViewId="0">
      <selection activeCell="C19" sqref="C19"/>
    </sheetView>
  </sheetViews>
  <sheetFormatPr defaultRowHeight="15" x14ac:dyDescent="0.25"/>
  <cols>
    <col min="1" max="1" width="9.140625" style="287"/>
    <col min="2" max="2" width="46.5703125" style="287" customWidth="1"/>
    <col min="3" max="3" width="9.140625" style="287"/>
    <col min="4" max="4" width="18.7109375" style="434" customWidth="1"/>
  </cols>
  <sheetData>
    <row r="1" spans="2:4" ht="18.75" x14ac:dyDescent="0.3">
      <c r="B1" s="821" t="s">
        <v>329</v>
      </c>
      <c r="C1" s="821"/>
      <c r="D1" s="821"/>
    </row>
    <row r="2" spans="2:4" x14ac:dyDescent="0.25">
      <c r="B2" s="822" t="s">
        <v>479</v>
      </c>
      <c r="C2" s="822"/>
      <c r="D2" s="822"/>
    </row>
    <row r="4" spans="2:4" x14ac:dyDescent="0.25">
      <c r="B4" s="489"/>
      <c r="C4" s="490"/>
      <c r="D4" s="810"/>
    </row>
    <row r="5" spans="2:4" ht="30" x14ac:dyDescent="0.25">
      <c r="B5" s="491" t="s">
        <v>423</v>
      </c>
      <c r="C5" s="507"/>
      <c r="D5" s="492">
        <f>ROUND('Exh IDM-7 - Revenue Summary'!M589,0)</f>
        <v>109752998</v>
      </c>
    </row>
    <row r="6" spans="2:4" x14ac:dyDescent="0.25">
      <c r="B6" s="788" t="s">
        <v>652</v>
      </c>
      <c r="C6" s="507"/>
      <c r="D6" s="494"/>
    </row>
    <row r="7" spans="2:4" x14ac:dyDescent="0.25">
      <c r="B7" s="493"/>
      <c r="C7" s="507"/>
      <c r="D7" s="495"/>
    </row>
    <row r="8" spans="2:4" x14ac:dyDescent="0.25">
      <c r="B8" s="491" t="s">
        <v>279</v>
      </c>
      <c r="C8" s="507"/>
      <c r="D8" s="492">
        <f>ROUND(-'Exh IDM-7 - Revenue Summary'!E589,0)</f>
        <v>-98705687</v>
      </c>
    </row>
    <row r="9" spans="2:4" x14ac:dyDescent="0.25">
      <c r="B9" s="788" t="s">
        <v>653</v>
      </c>
      <c r="C9" s="507"/>
      <c r="D9" s="494"/>
    </row>
    <row r="10" spans="2:4" x14ac:dyDescent="0.25">
      <c r="B10" s="493"/>
      <c r="C10" s="507"/>
      <c r="D10" s="495"/>
    </row>
    <row r="11" spans="2:4" x14ac:dyDescent="0.25">
      <c r="B11" s="491" t="s">
        <v>424</v>
      </c>
      <c r="C11" s="507"/>
      <c r="D11" s="492">
        <f>ROUND('Exh IDM-7 - Revenue Summary'!M592,0)</f>
        <v>4221975</v>
      </c>
    </row>
    <row r="12" spans="2:4" x14ac:dyDescent="0.25">
      <c r="B12" s="788" t="s">
        <v>654</v>
      </c>
      <c r="C12" s="507"/>
      <c r="D12" s="496"/>
    </row>
    <row r="13" spans="2:4" x14ac:dyDescent="0.25">
      <c r="B13" s="493"/>
      <c r="C13" s="507"/>
      <c r="D13" s="492"/>
    </row>
    <row r="14" spans="2:4" x14ac:dyDescent="0.25">
      <c r="B14" s="491" t="s">
        <v>425</v>
      </c>
      <c r="C14" s="507"/>
      <c r="D14" s="492">
        <f>ROUND('Exh IDM-7 - Revenue Summary'!M593,0)</f>
        <v>-338287</v>
      </c>
    </row>
    <row r="15" spans="2:4" x14ac:dyDescent="0.25">
      <c r="B15" s="493" t="s">
        <v>655</v>
      </c>
      <c r="C15" s="507"/>
      <c r="D15" s="494"/>
    </row>
    <row r="16" spans="2:4" x14ac:dyDescent="0.25">
      <c r="B16" s="493"/>
      <c r="C16" s="507"/>
      <c r="D16" s="494"/>
    </row>
    <row r="17" spans="2:4" ht="21" customHeight="1" x14ac:dyDescent="0.25">
      <c r="B17" s="811" t="s">
        <v>665</v>
      </c>
      <c r="C17" s="507"/>
      <c r="D17" s="789">
        <f>ROUND(SUM(D5:D16),0)</f>
        <v>14930999</v>
      </c>
    </row>
    <row r="18" spans="2:4" x14ac:dyDescent="0.25">
      <c r="B18" s="795" t="s">
        <v>657</v>
      </c>
      <c r="C18" s="507"/>
      <c r="D18" s="495"/>
    </row>
    <row r="19" spans="2:4" x14ac:dyDescent="0.25">
      <c r="B19" s="796"/>
      <c r="C19" s="507"/>
      <c r="D19" s="494"/>
    </row>
    <row r="20" spans="2:4" x14ac:dyDescent="0.25">
      <c r="B20" s="788" t="s">
        <v>638</v>
      </c>
      <c r="C20" s="507"/>
      <c r="D20" s="793">
        <f>ROUND('Exh IDM-7 - Revenue Summary'!Q589,0)</f>
        <v>-8223</v>
      </c>
    </row>
    <row r="21" spans="2:4" x14ac:dyDescent="0.25">
      <c r="B21" s="788" t="s">
        <v>656</v>
      </c>
      <c r="C21" s="507"/>
      <c r="D21" s="494"/>
    </row>
    <row r="22" spans="2:4" x14ac:dyDescent="0.25">
      <c r="B22" s="796"/>
      <c r="C22" s="507"/>
      <c r="D22" s="494"/>
    </row>
    <row r="23" spans="2:4" x14ac:dyDescent="0.25">
      <c r="B23" s="498" t="s">
        <v>469</v>
      </c>
      <c r="C23" s="507"/>
      <c r="D23" s="794">
        <f>ROUND(SUM(D17,D20),0)</f>
        <v>14922776</v>
      </c>
    </row>
    <row r="24" spans="2:4" x14ac:dyDescent="0.25">
      <c r="B24" s="798" t="s">
        <v>651</v>
      </c>
      <c r="C24" s="507"/>
      <c r="D24" s="494"/>
    </row>
    <row r="25" spans="2:4" x14ac:dyDescent="0.25">
      <c r="B25" s="500"/>
      <c r="C25" s="490"/>
      <c r="D25" s="501"/>
    </row>
    <row r="26" spans="2:4" x14ac:dyDescent="0.25">
      <c r="B26" s="792" t="s">
        <v>639</v>
      </c>
      <c r="C26" s="507"/>
      <c r="D26" s="791">
        <f>'Exh IDM-7 - Revenue Summary'!Y589</f>
        <v>-134104.11531761975</v>
      </c>
    </row>
    <row r="27" spans="2:4" x14ac:dyDescent="0.25">
      <c r="B27" s="788" t="s">
        <v>658</v>
      </c>
      <c r="C27" s="507"/>
      <c r="D27" s="787"/>
    </row>
    <row r="28" spans="2:4" x14ac:dyDescent="0.25">
      <c r="B28" s="493"/>
      <c r="C28" s="507"/>
      <c r="D28" s="787"/>
    </row>
    <row r="29" spans="2:4" x14ac:dyDescent="0.25">
      <c r="B29" s="797" t="s">
        <v>642</v>
      </c>
      <c r="C29" s="507"/>
      <c r="D29" s="791">
        <f>'Exh IDM-7 - Revenue Summary'!U589</f>
        <v>1057399.3900221004</v>
      </c>
    </row>
    <row r="30" spans="2:4" x14ac:dyDescent="0.25">
      <c r="B30" s="788" t="s">
        <v>659</v>
      </c>
      <c r="C30" s="507"/>
      <c r="D30" s="499"/>
    </row>
    <row r="31" spans="2:4" x14ac:dyDescent="0.25">
      <c r="B31" s="493"/>
      <c r="C31" s="507"/>
      <c r="D31" s="499"/>
    </row>
    <row r="32" spans="2:4" ht="30" x14ac:dyDescent="0.25">
      <c r="B32" s="498" t="s">
        <v>586</v>
      </c>
      <c r="C32" s="507"/>
      <c r="D32" s="789">
        <f>SUM(D26:D29)</f>
        <v>923295.27470448066</v>
      </c>
    </row>
    <row r="33" spans="2:4" x14ac:dyDescent="0.25">
      <c r="B33" s="798" t="s">
        <v>660</v>
      </c>
      <c r="C33" s="507"/>
      <c r="D33" s="494"/>
    </row>
    <row r="34" spans="2:4" x14ac:dyDescent="0.25">
      <c r="B34" s="796"/>
      <c r="C34" s="507"/>
      <c r="D34" s="495"/>
    </row>
    <row r="35" spans="2:4" x14ac:dyDescent="0.25">
      <c r="B35" s="502"/>
      <c r="C35" s="503"/>
      <c r="D35" s="504"/>
    </row>
    <row r="36" spans="2:4" x14ac:dyDescent="0.25">
      <c r="B36" s="500"/>
      <c r="C36" s="490"/>
      <c r="D36" s="501"/>
    </row>
    <row r="37" spans="2:4" x14ac:dyDescent="0.25">
      <c r="B37" s="491" t="s">
        <v>467</v>
      </c>
      <c r="C37" s="507"/>
      <c r="D37" s="799">
        <f>'Exh IDM-7 - Revenue Summary'!AC587</f>
        <v>974913</v>
      </c>
    </row>
    <row r="38" spans="2:4" x14ac:dyDescent="0.25">
      <c r="B38" s="788" t="s">
        <v>661</v>
      </c>
      <c r="C38" s="507"/>
      <c r="D38" s="492"/>
    </row>
    <row r="39" spans="2:4" x14ac:dyDescent="0.25">
      <c r="B39" s="493"/>
      <c r="C39" s="507"/>
      <c r="D39" s="492"/>
    </row>
    <row r="40" spans="2:4" x14ac:dyDescent="0.25">
      <c r="B40" s="491" t="s">
        <v>468</v>
      </c>
      <c r="C40" s="507"/>
      <c r="D40" s="492">
        <f>'Exh IDM-7 - Revenue Summary'!AC588</f>
        <v>-3879096.7900000024</v>
      </c>
    </row>
    <row r="41" spans="2:4" x14ac:dyDescent="0.25">
      <c r="B41" s="788" t="s">
        <v>662</v>
      </c>
      <c r="C41" s="507"/>
      <c r="D41" s="505"/>
    </row>
    <row r="42" spans="2:4" x14ac:dyDescent="0.25">
      <c r="B42" s="493"/>
      <c r="C42" s="507"/>
      <c r="D42" s="492"/>
    </row>
    <row r="43" spans="2:4" x14ac:dyDescent="0.25">
      <c r="B43" s="498" t="s">
        <v>466</v>
      </c>
      <c r="C43" s="507"/>
      <c r="D43" s="789">
        <f>'Exh IDM-7 - Revenue Summary'!AC589</f>
        <v>-2904183.7900000024</v>
      </c>
    </row>
    <row r="44" spans="2:4" x14ac:dyDescent="0.25">
      <c r="B44" s="790" t="s">
        <v>663</v>
      </c>
      <c r="C44" s="507"/>
      <c r="D44" s="494"/>
    </row>
    <row r="45" spans="2:4" x14ac:dyDescent="0.25">
      <c r="B45" s="798" t="s">
        <v>650</v>
      </c>
      <c r="C45" s="507"/>
      <c r="D45" s="494"/>
    </row>
    <row r="46" spans="2:4" x14ac:dyDescent="0.25">
      <c r="B46" s="506"/>
      <c r="C46" s="503"/>
      <c r="D46" s="497"/>
    </row>
    <row r="47" spans="2:4" x14ac:dyDescent="0.25">
      <c r="B47" s="489"/>
      <c r="C47" s="490"/>
      <c r="D47" s="810"/>
    </row>
    <row r="48" spans="2:4" ht="30" x14ac:dyDescent="0.25">
      <c r="B48" s="498" t="s">
        <v>591</v>
      </c>
      <c r="C48" s="507"/>
      <c r="D48" s="794">
        <f>'Exh IDM-7 - Revenue Summary'!AG589</f>
        <v>1281027.2172982139</v>
      </c>
    </row>
    <row r="49" spans="2:4" x14ac:dyDescent="0.25">
      <c r="B49" s="790" t="s">
        <v>664</v>
      </c>
      <c r="C49" s="507"/>
      <c r="D49" s="494"/>
    </row>
    <row r="50" spans="2:4" x14ac:dyDescent="0.25">
      <c r="B50" s="798" t="s">
        <v>649</v>
      </c>
      <c r="C50" s="507"/>
      <c r="D50" s="494"/>
    </row>
    <row r="51" spans="2:4" x14ac:dyDescent="0.25">
      <c r="B51" s="506"/>
      <c r="C51" s="503"/>
      <c r="D51" s="497"/>
    </row>
  </sheetData>
  <mergeCells count="2">
    <mergeCell ref="B1:D1"/>
    <mergeCell ref="B2:D2"/>
  </mergeCells>
  <pageMargins left="0.7" right="0.7" top="1.5" bottom="0.75" header="0.3" footer="0.3"/>
  <pageSetup scale="79" orientation="portrait" r:id="rId1"/>
  <headerFooter scaleWithDoc="0">
    <oddHeader>&amp;RDocket No. UG-200568
Exhibit No. ___ (IDM-8)
Page 1 of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A31"/>
  <sheetViews>
    <sheetView workbookViewId="0"/>
  </sheetViews>
  <sheetFormatPr defaultColWidth="9.140625" defaultRowHeight="15" x14ac:dyDescent="0.25"/>
  <cols>
    <col min="1" max="1" width="98.7109375" style="140" customWidth="1"/>
    <col min="2" max="2" width="29.42578125" style="140" customWidth="1"/>
    <col min="3" max="16384" width="9.140625" style="140"/>
  </cols>
  <sheetData>
    <row r="1" spans="1:1" ht="15.75" x14ac:dyDescent="0.25">
      <c r="A1" s="145" t="s">
        <v>646</v>
      </c>
    </row>
    <row r="2" spans="1:1" ht="15.75" x14ac:dyDescent="0.25">
      <c r="A2" s="145" t="s">
        <v>644</v>
      </c>
    </row>
    <row r="3" spans="1:1" ht="15.75" x14ac:dyDescent="0.25">
      <c r="A3" s="145" t="s">
        <v>427</v>
      </c>
    </row>
    <row r="4" spans="1:1" ht="15.75" x14ac:dyDescent="0.25">
      <c r="A4" s="144"/>
    </row>
    <row r="5" spans="1:1" ht="15.75" x14ac:dyDescent="0.25">
      <c r="A5" s="144"/>
    </row>
    <row r="6" spans="1:1" ht="15.75" x14ac:dyDescent="0.25">
      <c r="A6" s="144"/>
    </row>
    <row r="7" spans="1:1" ht="15.75" x14ac:dyDescent="0.25">
      <c r="A7" s="144"/>
    </row>
    <row r="8" spans="1:1" ht="15.75" x14ac:dyDescent="0.25">
      <c r="A8" s="144"/>
    </row>
    <row r="9" spans="1:1" ht="15.75" x14ac:dyDescent="0.25">
      <c r="A9" s="144"/>
    </row>
    <row r="10" spans="1:1" ht="15.75" x14ac:dyDescent="0.25">
      <c r="A10" s="144"/>
    </row>
    <row r="11" spans="1:1" ht="15.75" x14ac:dyDescent="0.25">
      <c r="A11" s="144"/>
    </row>
    <row r="12" spans="1:1" ht="15.75" x14ac:dyDescent="0.25">
      <c r="A12" s="144"/>
    </row>
    <row r="13" spans="1:1" ht="15.75" x14ac:dyDescent="0.25">
      <c r="A13" s="144"/>
    </row>
    <row r="14" spans="1:1" ht="15.75" x14ac:dyDescent="0.25">
      <c r="A14" s="144"/>
    </row>
    <row r="15" spans="1:1" ht="15.75" x14ac:dyDescent="0.25">
      <c r="A15" s="144"/>
    </row>
    <row r="16" spans="1:1" ht="15.75" x14ac:dyDescent="0.25">
      <c r="A16" s="142"/>
    </row>
    <row r="17" spans="1:1" ht="15.75" x14ac:dyDescent="0.25">
      <c r="A17" s="142"/>
    </row>
    <row r="18" spans="1:1" ht="15.75" x14ac:dyDescent="0.25">
      <c r="A18" s="144"/>
    </row>
    <row r="19" spans="1:1" ht="15.75" x14ac:dyDescent="0.25">
      <c r="A19" s="142" t="s">
        <v>426</v>
      </c>
    </row>
    <row r="20" spans="1:1" ht="15.75" x14ac:dyDescent="0.25">
      <c r="A20" s="142"/>
    </row>
    <row r="21" spans="1:1" ht="15.75" x14ac:dyDescent="0.25">
      <c r="A21" s="142" t="s">
        <v>428</v>
      </c>
    </row>
    <row r="22" spans="1:1" ht="15.75" x14ac:dyDescent="0.25">
      <c r="A22" s="142"/>
    </row>
    <row r="23" spans="1:1" ht="15.75" x14ac:dyDescent="0.25">
      <c r="A23" s="142"/>
    </row>
    <row r="24" spans="1:1" ht="15.75" x14ac:dyDescent="0.25">
      <c r="A24" s="143" t="s">
        <v>430</v>
      </c>
    </row>
    <row r="25" spans="1:1" ht="15.75" x14ac:dyDescent="0.25">
      <c r="A25" s="142"/>
    </row>
    <row r="26" spans="1:1" ht="15.75" x14ac:dyDescent="0.25">
      <c r="A26" s="142"/>
    </row>
    <row r="27" spans="1:1" ht="15.75" x14ac:dyDescent="0.25">
      <c r="A27" s="142"/>
    </row>
    <row r="28" spans="1:1" ht="15.75" x14ac:dyDescent="0.25">
      <c r="A28" s="142"/>
    </row>
    <row r="29" spans="1:1" ht="15.75" x14ac:dyDescent="0.25">
      <c r="A29" s="142"/>
    </row>
    <row r="30" spans="1:1" ht="15.75" x14ac:dyDescent="0.25">
      <c r="A30" s="161">
        <v>44036</v>
      </c>
    </row>
    <row r="31" spans="1:1" x14ac:dyDescent="0.25">
      <c r="A31" s="14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FFFF00"/>
    <pageSetUpPr fitToPage="1"/>
  </sheetPr>
  <dimension ref="A1:U45"/>
  <sheetViews>
    <sheetView workbookViewId="0">
      <selection sqref="A1:L1"/>
    </sheetView>
  </sheetViews>
  <sheetFormatPr defaultRowHeight="15" x14ac:dyDescent="0.25"/>
  <cols>
    <col min="1" max="1" width="9.140625" style="287"/>
    <col min="2" max="2" width="28.5703125" style="287" customWidth="1"/>
    <col min="3" max="3" width="15.85546875" style="287" customWidth="1"/>
    <col min="4" max="4" width="28.7109375" style="287" customWidth="1"/>
    <col min="5" max="6" width="9.140625" style="287"/>
    <col min="7" max="7" width="15.28515625" style="287" bestFit="1" customWidth="1"/>
    <col min="8" max="8" width="15.140625" style="445" customWidth="1"/>
    <col min="9" max="10" width="11.5703125" style="445" customWidth="1"/>
    <col min="11" max="11" width="13.7109375" style="445" customWidth="1"/>
    <col min="12" max="12" width="12.5703125" style="536" customWidth="1"/>
    <col min="13" max="13" width="9.140625" style="287"/>
    <col min="15" max="15" width="20" bestFit="1" customWidth="1"/>
    <col min="21" max="21" width="10.85546875" bestFit="1" customWidth="1"/>
  </cols>
  <sheetData>
    <row r="1" spans="1:15" x14ac:dyDescent="0.25">
      <c r="A1" s="823" t="s">
        <v>329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5"/>
    </row>
    <row r="2" spans="1:15" x14ac:dyDescent="0.25">
      <c r="A2" s="826" t="s">
        <v>480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8"/>
    </row>
    <row r="3" spans="1:15" x14ac:dyDescent="0.25">
      <c r="A3" s="829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1"/>
    </row>
    <row r="4" spans="1:15" ht="60" x14ac:dyDescent="0.25">
      <c r="A4" s="508" t="s">
        <v>328</v>
      </c>
      <c r="B4" s="509" t="s">
        <v>327</v>
      </c>
      <c r="C4" s="510" t="s">
        <v>326</v>
      </c>
      <c r="D4" s="510" t="s">
        <v>475</v>
      </c>
      <c r="E4" s="510" t="s">
        <v>1</v>
      </c>
      <c r="F4" s="510" t="s">
        <v>325</v>
      </c>
      <c r="G4" s="510" t="s">
        <v>560</v>
      </c>
      <c r="H4" s="511" t="s">
        <v>330</v>
      </c>
      <c r="I4" s="512" t="s">
        <v>477</v>
      </c>
      <c r="J4" s="511" t="s">
        <v>561</v>
      </c>
      <c r="K4" s="511" t="s">
        <v>324</v>
      </c>
      <c r="L4" s="512" t="s">
        <v>323</v>
      </c>
    </row>
    <row r="5" spans="1:15" x14ac:dyDescent="0.25">
      <c r="A5" s="513"/>
      <c r="B5" s="508" t="s">
        <v>322</v>
      </c>
      <c r="C5" s="508" t="s">
        <v>321</v>
      </c>
      <c r="D5" s="508" t="s">
        <v>320</v>
      </c>
      <c r="E5" s="508" t="s">
        <v>319</v>
      </c>
      <c r="F5" s="508" t="s">
        <v>318</v>
      </c>
      <c r="G5" s="514" t="s">
        <v>317</v>
      </c>
      <c r="H5" s="515" t="s">
        <v>316</v>
      </c>
      <c r="I5" s="516" t="s">
        <v>315</v>
      </c>
      <c r="J5" s="514" t="s">
        <v>314</v>
      </c>
      <c r="K5" s="516" t="s">
        <v>313</v>
      </c>
      <c r="L5" s="516" t="s">
        <v>476</v>
      </c>
    </row>
    <row r="6" spans="1:15" x14ac:dyDescent="0.25">
      <c r="A6" s="517"/>
      <c r="B6" s="518" t="s">
        <v>312</v>
      </c>
      <c r="C6" s="517"/>
      <c r="D6" s="517"/>
      <c r="E6" s="517"/>
      <c r="F6" s="517"/>
      <c r="G6" s="517"/>
      <c r="H6" s="519"/>
      <c r="I6" s="520"/>
      <c r="J6" s="520"/>
      <c r="K6" s="520"/>
      <c r="L6" s="521"/>
    </row>
    <row r="7" spans="1:15" x14ac:dyDescent="0.25">
      <c r="A7" s="522">
        <v>1</v>
      </c>
      <c r="B7" s="522" t="s">
        <v>311</v>
      </c>
      <c r="C7" s="523">
        <v>503</v>
      </c>
      <c r="D7" s="523"/>
      <c r="E7" s="522">
        <f>'Exh IDM-7 - Revenue Summary'!L13</f>
        <v>0.31073000000000001</v>
      </c>
      <c r="F7" s="766">
        <f>E7*(1+L8)</f>
        <v>0.36344290323328449</v>
      </c>
      <c r="G7" s="520">
        <f>'Exh IDM-7 - Revenue Summary'!AE13</f>
        <v>133590690.53149468</v>
      </c>
      <c r="H7" s="525">
        <f>G7*E7</f>
        <v>41510635.26885134</v>
      </c>
      <c r="I7" s="767">
        <f>F7*G7</f>
        <v>48552588.411705673</v>
      </c>
      <c r="J7" s="520"/>
      <c r="K7" s="520" t="s">
        <v>293</v>
      </c>
      <c r="L7" s="521" t="s">
        <v>293</v>
      </c>
      <c r="N7" s="158"/>
    </row>
    <row r="8" spans="1:15" x14ac:dyDescent="0.25">
      <c r="A8" s="522">
        <v>2</v>
      </c>
      <c r="B8" s="522" t="s">
        <v>295</v>
      </c>
      <c r="C8" s="523"/>
      <c r="D8" s="523"/>
      <c r="E8" s="522"/>
      <c r="F8" s="524"/>
      <c r="G8" s="520">
        <f>SUM(G7)</f>
        <v>133590690.53149468</v>
      </c>
      <c r="H8" s="525">
        <f>SUM(H7)</f>
        <v>41510635.26885134</v>
      </c>
      <c r="I8" s="767">
        <f>SUM(I7)</f>
        <v>48552588.411705673</v>
      </c>
      <c r="J8" s="768">
        <f>H8/$H$43</f>
        <v>0.49309465101064232</v>
      </c>
      <c r="K8" s="769">
        <f>J8*$K$43</f>
        <v>7041953.142854332</v>
      </c>
      <c r="L8" s="770">
        <f>K8/H8</f>
        <v>0.1696421434469941</v>
      </c>
      <c r="N8" s="158"/>
      <c r="O8" s="549"/>
    </row>
    <row r="9" spans="1:15" x14ac:dyDescent="0.25">
      <c r="A9" s="522">
        <v>3</v>
      </c>
      <c r="B9" s="522"/>
      <c r="C9" s="523"/>
      <c r="D9" s="523"/>
      <c r="E9" s="522"/>
      <c r="F9" s="524"/>
      <c r="G9" s="520"/>
      <c r="H9" s="520"/>
      <c r="I9" s="520"/>
      <c r="J9" s="520"/>
      <c r="K9" s="520"/>
      <c r="L9" s="521"/>
      <c r="N9" s="158"/>
    </row>
    <row r="10" spans="1:15" x14ac:dyDescent="0.25">
      <c r="A10" s="522">
        <v>4</v>
      </c>
      <c r="B10" s="527" t="s">
        <v>310</v>
      </c>
      <c r="C10" s="523"/>
      <c r="D10" s="523"/>
      <c r="E10" s="522"/>
      <c r="F10" s="524"/>
      <c r="G10" s="520"/>
      <c r="H10" s="520"/>
      <c r="I10" s="520"/>
      <c r="J10" s="520"/>
      <c r="K10" s="520"/>
      <c r="L10" s="521"/>
      <c r="N10" s="158"/>
    </row>
    <row r="11" spans="1:15" x14ac:dyDescent="0.25">
      <c r="A11" s="522">
        <v>5</v>
      </c>
      <c r="B11" s="522" t="s">
        <v>303</v>
      </c>
      <c r="C11" s="523">
        <v>504</v>
      </c>
      <c r="D11" s="523"/>
      <c r="E11" s="522">
        <f>'Exh IDM-7 - Revenue Summary'!L49</f>
        <v>0.26179999999999998</v>
      </c>
      <c r="F11" s="766">
        <f>E11*(1+L12)</f>
        <v>0.30621231315442304</v>
      </c>
      <c r="G11" s="520">
        <f>'Exh IDM-7 - Revenue Summary'!AE49</f>
        <v>94300921.185979769</v>
      </c>
      <c r="H11" s="525">
        <f>G11*E11</f>
        <v>24687981.166489501</v>
      </c>
      <c r="I11" s="767">
        <f>F11*G11</f>
        <v>28876103.208951805</v>
      </c>
      <c r="J11" s="520"/>
      <c r="K11" s="520"/>
      <c r="L11" s="521" t="s">
        <v>293</v>
      </c>
      <c r="N11" s="158"/>
    </row>
    <row r="12" spans="1:15" x14ac:dyDescent="0.25">
      <c r="A12" s="522">
        <v>6</v>
      </c>
      <c r="B12" s="522" t="s">
        <v>295</v>
      </c>
      <c r="C12" s="523"/>
      <c r="D12" s="523"/>
      <c r="E12" s="522"/>
      <c r="F12" s="524"/>
      <c r="G12" s="520">
        <f>SUM(G11)</f>
        <v>94300921.185979769</v>
      </c>
      <c r="H12" s="525">
        <f>SUM(H11)</f>
        <v>24687981.166489501</v>
      </c>
      <c r="I12" s="767">
        <f>SUM(I11)</f>
        <v>28876103.208951805</v>
      </c>
      <c r="J12" s="768">
        <f>H12/$H$43</f>
        <v>0.29326247065609673</v>
      </c>
      <c r="K12" s="769">
        <f t="shared" ref="K12:K41" si="0">J12*$K$43</f>
        <v>4188122.042462301</v>
      </c>
      <c r="L12" s="770">
        <f>K12/H12</f>
        <v>0.1696421434469941</v>
      </c>
      <c r="N12" s="158"/>
    </row>
    <row r="13" spans="1:15" x14ac:dyDescent="0.25">
      <c r="A13" s="522">
        <v>7</v>
      </c>
      <c r="B13" s="522"/>
      <c r="C13" s="523"/>
      <c r="D13" s="523"/>
      <c r="E13" s="522"/>
      <c r="F13" s="524"/>
      <c r="G13" s="520"/>
      <c r="H13" s="520"/>
      <c r="I13" s="520"/>
      <c r="J13" s="526"/>
      <c r="K13" s="520"/>
      <c r="L13" s="521"/>
      <c r="N13" s="158"/>
    </row>
    <row r="14" spans="1:15" x14ac:dyDescent="0.25">
      <c r="A14" s="522">
        <v>8</v>
      </c>
      <c r="B14" s="527" t="s">
        <v>304</v>
      </c>
      <c r="C14" s="523"/>
      <c r="D14" s="523"/>
      <c r="E14" s="522"/>
      <c r="F14" s="524"/>
      <c r="G14" s="520"/>
      <c r="H14" s="520"/>
      <c r="I14" s="520"/>
      <c r="J14" s="520"/>
      <c r="K14" s="520"/>
      <c r="L14" s="521"/>
      <c r="N14" s="158"/>
    </row>
    <row r="15" spans="1:15" x14ac:dyDescent="0.25">
      <c r="A15" s="522">
        <v>9</v>
      </c>
      <c r="B15" s="522" t="s">
        <v>303</v>
      </c>
      <c r="C15" s="523">
        <v>505</v>
      </c>
      <c r="D15" s="523" t="s">
        <v>302</v>
      </c>
      <c r="E15" s="522">
        <f>'Exh IDM-7 - Revenue Summary'!L81</f>
        <v>0.20175999999999999</v>
      </c>
      <c r="F15" s="766">
        <f>E15*(1+L16)</f>
        <v>0.23598699886186553</v>
      </c>
      <c r="G15" s="520">
        <f>'Exh IDM-7 - Revenue Summary'!AE81</f>
        <v>1807870.4697614266</v>
      </c>
      <c r="H15" s="525">
        <f>G15*E15</f>
        <v>364755.94597906544</v>
      </c>
      <c r="I15" s="767">
        <f>F15*G15</f>
        <v>426633.92648999009</v>
      </c>
      <c r="J15" s="768">
        <f>H15/$H$43</f>
        <v>4.3328463831428365E-3</v>
      </c>
      <c r="K15" s="767">
        <f>J15*$K$43</f>
        <v>61877.980510924666</v>
      </c>
      <c r="L15" s="770">
        <f t="shared" ref="L15:L17" si="1">K15/H15</f>
        <v>0.16964214344699416</v>
      </c>
      <c r="N15" s="158"/>
    </row>
    <row r="16" spans="1:15" x14ac:dyDescent="0.25">
      <c r="A16" s="522">
        <v>10</v>
      </c>
      <c r="B16" s="522"/>
      <c r="C16" s="523"/>
      <c r="D16" s="523" t="s">
        <v>301</v>
      </c>
      <c r="E16" s="522">
        <f>'Exh IDM-7 - Revenue Summary'!L82</f>
        <v>0.16481000000000001</v>
      </c>
      <c r="F16" s="766">
        <f t="shared" ref="F16:F17" si="2">E16*(1+L17)</f>
        <v>0.19276872166149911</v>
      </c>
      <c r="G16" s="520">
        <f>'Exh IDM-7 - Revenue Summary'!AE82</f>
        <v>5994769.6446317015</v>
      </c>
      <c r="H16" s="525">
        <f t="shared" ref="H16:H17" si="3">G16*E16</f>
        <v>987997.98513175081</v>
      </c>
      <c r="I16" s="767">
        <f t="shared" ref="I16:I17" si="4">F16*G16</f>
        <v>1155604.0810508125</v>
      </c>
      <c r="J16" s="768">
        <f t="shared" ref="J16:J17" si="5">H16/$H$43</f>
        <v>1.1736185643088072E-2</v>
      </c>
      <c r="K16" s="767">
        <f t="shared" si="0"/>
        <v>167606.09591906166</v>
      </c>
      <c r="L16" s="770">
        <f t="shared" si="1"/>
        <v>0.16964214344699413</v>
      </c>
      <c r="N16" s="158"/>
    </row>
    <row r="17" spans="1:14" x14ac:dyDescent="0.25">
      <c r="A17" s="522">
        <v>11</v>
      </c>
      <c r="B17" s="522"/>
      <c r="C17" s="523"/>
      <c r="D17" s="523" t="s">
        <v>296</v>
      </c>
      <c r="E17" s="522">
        <f>'Exh IDM-7 - Revenue Summary'!L83</f>
        <v>0.15923000000000001</v>
      </c>
      <c r="F17" s="766">
        <f t="shared" si="2"/>
        <v>0.1862421185010649</v>
      </c>
      <c r="G17" s="520">
        <f>'Exh IDM-7 - Revenue Summary'!AE83</f>
        <v>5598325.2774641337</v>
      </c>
      <c r="H17" s="525">
        <f t="shared" si="3"/>
        <v>891421.33393061406</v>
      </c>
      <c r="I17" s="767">
        <f t="shared" si="4"/>
        <v>1042643.9597329822</v>
      </c>
      <c r="J17" s="768">
        <f t="shared" si="5"/>
        <v>1.0588975300211552E-2</v>
      </c>
      <c r="K17" s="767">
        <f t="shared" si="0"/>
        <v>151222.62580236807</v>
      </c>
      <c r="L17" s="770">
        <f t="shared" si="1"/>
        <v>0.1696421434469941</v>
      </c>
      <c r="N17" s="158"/>
    </row>
    <row r="18" spans="1:14" x14ac:dyDescent="0.25">
      <c r="A18" s="522">
        <v>12</v>
      </c>
      <c r="B18" s="522" t="s">
        <v>295</v>
      </c>
      <c r="C18" s="523"/>
      <c r="D18" s="523"/>
      <c r="E18" s="522"/>
      <c r="F18" s="524"/>
      <c r="G18" s="520">
        <f>SUM(G15:G17)</f>
        <v>13400965.391857263</v>
      </c>
      <c r="H18" s="525">
        <f>SUM(H15:H17)</f>
        <v>2244175.2650414305</v>
      </c>
      <c r="I18" s="767">
        <f>SUM(I15:I17)</f>
        <v>2624881.9672737848</v>
      </c>
      <c r="J18" s="768">
        <f>H18/$H$43</f>
        <v>2.6658007326442464E-2</v>
      </c>
      <c r="K18" s="769">
        <f t="shared" si="0"/>
        <v>380706.70223235444</v>
      </c>
      <c r="L18" s="770">
        <f>K18/H18</f>
        <v>0.16964214344699413</v>
      </c>
      <c r="N18" s="158"/>
    </row>
    <row r="19" spans="1:14" x14ac:dyDescent="0.25">
      <c r="A19" s="522">
        <v>13</v>
      </c>
      <c r="B19" s="522"/>
      <c r="C19" s="523"/>
      <c r="D19" s="523"/>
      <c r="E19" s="522"/>
      <c r="F19" s="524"/>
      <c r="G19" s="520"/>
      <c r="H19" s="520"/>
      <c r="I19" s="520"/>
      <c r="J19" s="520"/>
      <c r="K19" s="520"/>
      <c r="L19" s="521"/>
      <c r="N19" s="158"/>
    </row>
    <row r="20" spans="1:14" x14ac:dyDescent="0.25">
      <c r="A20" s="522">
        <v>14</v>
      </c>
      <c r="B20" s="527" t="s">
        <v>309</v>
      </c>
      <c r="C20" s="523"/>
      <c r="D20" s="523"/>
      <c r="E20" s="522"/>
      <c r="F20" s="524"/>
      <c r="G20" s="520"/>
      <c r="H20" s="520"/>
      <c r="I20" s="520"/>
      <c r="J20" s="520"/>
      <c r="K20" s="520"/>
      <c r="L20" s="521"/>
      <c r="N20" s="158"/>
    </row>
    <row r="21" spans="1:14" x14ac:dyDescent="0.25">
      <c r="A21" s="522">
        <v>15</v>
      </c>
      <c r="B21" s="522" t="s">
        <v>308</v>
      </c>
      <c r="C21" s="523">
        <v>511</v>
      </c>
      <c r="D21" s="523" t="s">
        <v>307</v>
      </c>
      <c r="E21" s="522">
        <f>'Exh IDM-7 - Revenue Summary'!L116</f>
        <v>0.16113</v>
      </c>
      <c r="F21" s="766">
        <f>E21*(1+L22)</f>
        <v>0.18846443857361417</v>
      </c>
      <c r="G21" s="767">
        <f>'Exh IDM-7 - Revenue Summary'!AE116</f>
        <v>9502541.2263458036</v>
      </c>
      <c r="H21" s="771">
        <f>G21*E21</f>
        <v>1531144.4678010992</v>
      </c>
      <c r="I21" s="767">
        <f>F21*G21</f>
        <v>1790891.0972458851</v>
      </c>
      <c r="J21" s="768">
        <f>H21/$H$43</f>
        <v>1.8188089440389587E-2</v>
      </c>
      <c r="K21" s="767">
        <f t="shared" si="0"/>
        <v>259746.62944478553</v>
      </c>
      <c r="L21" s="770">
        <f t="shared" ref="L21:L23" si="6">K21/H21</f>
        <v>0.16964214344699413</v>
      </c>
      <c r="N21" s="158"/>
    </row>
    <row r="22" spans="1:14" x14ac:dyDescent="0.25">
      <c r="A22" s="522">
        <v>16</v>
      </c>
      <c r="B22" s="522"/>
      <c r="C22" s="523"/>
      <c r="D22" s="523" t="s">
        <v>306</v>
      </c>
      <c r="E22" s="522">
        <f>'Exh IDM-7 - Revenue Summary'!L117</f>
        <v>0.12471</v>
      </c>
      <c r="F22" s="766">
        <f t="shared" ref="F22:F23" si="7">E22*(1+L23)</f>
        <v>0.14586607170927465</v>
      </c>
      <c r="G22" s="767">
        <f>'Exh IDM-7 - Revenue Summary'!AE117</f>
        <v>4964679.1046109656</v>
      </c>
      <c r="H22" s="771">
        <f t="shared" ref="H22:H23" si="8">G22*E22</f>
        <v>619145.13113603357</v>
      </c>
      <c r="I22" s="767">
        <f t="shared" ref="I22:I23" si="9">F22*G22</f>
        <v>724178.23828672059</v>
      </c>
      <c r="J22" s="768">
        <f t="shared" ref="J22:J23" si="10">H22/$H$43</f>
        <v>7.3546730948622473E-3</v>
      </c>
      <c r="K22" s="767">
        <f t="shared" si="0"/>
        <v>105033.10715068699</v>
      </c>
      <c r="L22" s="770">
        <f t="shared" si="6"/>
        <v>0.16964214344699413</v>
      </c>
      <c r="N22" s="158"/>
    </row>
    <row r="23" spans="1:14" x14ac:dyDescent="0.25">
      <c r="A23" s="522">
        <v>17</v>
      </c>
      <c r="B23" s="522"/>
      <c r="C23" s="523"/>
      <c r="D23" s="523" t="s">
        <v>305</v>
      </c>
      <c r="E23" s="522">
        <f>'Exh IDM-7 - Revenue Summary'!L118</f>
        <v>3.4639999999999997E-2</v>
      </c>
      <c r="F23" s="766">
        <f t="shared" si="7"/>
        <v>4.0516403849003874E-2</v>
      </c>
      <c r="G23" s="767">
        <f>'Exh IDM-7 - Revenue Summary'!AE118</f>
        <v>1218028.9753001041</v>
      </c>
      <c r="H23" s="771">
        <f t="shared" si="8"/>
        <v>42192.5237043956</v>
      </c>
      <c r="I23" s="767">
        <f t="shared" si="9"/>
        <v>49350.153863047381</v>
      </c>
      <c r="J23" s="768">
        <f t="shared" si="10"/>
        <v>5.0119463642342139E-4</v>
      </c>
      <c r="K23" s="767">
        <f t="shared" si="0"/>
        <v>7157.6301586517775</v>
      </c>
      <c r="L23" s="770">
        <f t="shared" si="6"/>
        <v>0.1696421434469941</v>
      </c>
      <c r="N23" s="158"/>
    </row>
    <row r="24" spans="1:14" x14ac:dyDescent="0.25">
      <c r="A24" s="522">
        <v>18</v>
      </c>
      <c r="B24" s="522" t="s">
        <v>294</v>
      </c>
      <c r="C24" s="523"/>
      <c r="D24" s="523"/>
      <c r="E24" s="522"/>
      <c r="F24" s="524"/>
      <c r="G24" s="767">
        <f>SUM(G21:G23)</f>
        <v>15685249.306256872</v>
      </c>
      <c r="H24" s="771">
        <f>SUM(H21:H23)</f>
        <v>2192482.1226415285</v>
      </c>
      <c r="I24" s="767">
        <f>SUM(I21:I23)</f>
        <v>2564419.4893956529</v>
      </c>
      <c r="J24" s="768">
        <f>H24/$H$43</f>
        <v>2.604395717167526E-2</v>
      </c>
      <c r="K24" s="769">
        <f t="shared" si="0"/>
        <v>371937.36675412435</v>
      </c>
      <c r="L24" s="770">
        <f>K24/H24</f>
        <v>0.16964214344699413</v>
      </c>
      <c r="N24" s="158"/>
    </row>
    <row r="25" spans="1:14" x14ac:dyDescent="0.25">
      <c r="A25" s="522">
        <v>19</v>
      </c>
      <c r="B25" s="522"/>
      <c r="C25" s="523"/>
      <c r="D25" s="523"/>
      <c r="E25" s="522"/>
      <c r="F25" s="524"/>
      <c r="G25" s="520"/>
      <c r="H25" s="520"/>
      <c r="I25" s="520"/>
      <c r="J25" s="526"/>
      <c r="K25" s="520"/>
      <c r="L25" s="521"/>
      <c r="N25" s="158"/>
    </row>
    <row r="26" spans="1:14" x14ac:dyDescent="0.25">
      <c r="A26" s="522">
        <v>20</v>
      </c>
      <c r="B26" s="527" t="s">
        <v>300</v>
      </c>
      <c r="C26" s="523"/>
      <c r="D26" s="523"/>
      <c r="E26" s="522"/>
      <c r="F26" s="524"/>
      <c r="G26" s="520"/>
      <c r="H26" s="520"/>
      <c r="I26" s="520"/>
      <c r="J26" s="520"/>
      <c r="K26" s="520"/>
      <c r="L26" s="521"/>
      <c r="N26" s="158"/>
    </row>
    <row r="27" spans="1:14" x14ac:dyDescent="0.25">
      <c r="A27" s="522">
        <v>21</v>
      </c>
      <c r="B27" s="522" t="s">
        <v>299</v>
      </c>
      <c r="C27" s="523">
        <v>570</v>
      </c>
      <c r="D27" s="523" t="s">
        <v>298</v>
      </c>
      <c r="E27" s="522">
        <f>'Exh IDM-7 - Revenue Summary'!L283</f>
        <v>8.9639999999999997E-2</v>
      </c>
      <c r="F27" s="766">
        <f>E27*(1+L28)</f>
        <v>0.10484672173858856</v>
      </c>
      <c r="G27" s="520">
        <f>'Exh IDM-7 - Revenue Summary'!S283</f>
        <v>1301512.7114810457</v>
      </c>
      <c r="H27" s="525">
        <f t="shared" ref="H27:H28" si="11">G27*E27</f>
        <v>116667.59945716093</v>
      </c>
      <c r="I27" s="767">
        <f t="shared" ref="I27:I28" si="12">F27*G27</f>
        <v>136459.34109988908</v>
      </c>
      <c r="J27" s="768">
        <f>H27/$H$43</f>
        <v>1.3858657875502579E-3</v>
      </c>
      <c r="K27" s="767">
        <f t="shared" si="0"/>
        <v>19791.74164272815</v>
      </c>
      <c r="L27" s="770">
        <f t="shared" ref="L27:L28" si="13">K27/H27</f>
        <v>0.16964214344699413</v>
      </c>
      <c r="N27" s="158"/>
    </row>
    <row r="28" spans="1:14" x14ac:dyDescent="0.25">
      <c r="A28" s="522">
        <v>22</v>
      </c>
      <c r="B28" s="522"/>
      <c r="C28" s="523"/>
      <c r="D28" s="523" t="s">
        <v>297</v>
      </c>
      <c r="E28" s="522">
        <f>'Exh IDM-7 - Revenue Summary'!L284</f>
        <v>2.8170000000000001E-2</v>
      </c>
      <c r="F28" s="766">
        <f>E28*(1+L29)</f>
        <v>3.2948819180901825E-2</v>
      </c>
      <c r="G28" s="520">
        <f>'Exh IDM-7 - Revenue Summary'!S284</f>
        <v>1032498.538383325</v>
      </c>
      <c r="H28" s="525">
        <f t="shared" si="11"/>
        <v>29085.483826258267</v>
      </c>
      <c r="I28" s="767">
        <f t="shared" si="12"/>
        <v>34019.607645737597</v>
      </c>
      <c r="J28" s="768">
        <f>H28/$H$43</f>
        <v>3.4549932574860743E-4</v>
      </c>
      <c r="K28" s="767">
        <f t="shared" si="0"/>
        <v>4934.1238194793323</v>
      </c>
      <c r="L28" s="770">
        <f t="shared" si="13"/>
        <v>0.1696421434469941</v>
      </c>
      <c r="N28" s="158"/>
    </row>
    <row r="29" spans="1:14" x14ac:dyDescent="0.25">
      <c r="A29" s="522">
        <v>23</v>
      </c>
      <c r="B29" s="522" t="s">
        <v>295</v>
      </c>
      <c r="C29" s="523"/>
      <c r="D29" s="523"/>
      <c r="E29" s="522"/>
      <c r="F29" s="524"/>
      <c r="G29" s="520">
        <f>SUM(G27:G28)</f>
        <v>2334011.2498643706</v>
      </c>
      <c r="H29" s="525">
        <f>SUM(H27:H28)</f>
        <v>145753.0832834192</v>
      </c>
      <c r="I29" s="767">
        <f>SUM(I27:I28)</f>
        <v>170478.94874562667</v>
      </c>
      <c r="J29" s="768">
        <f>H29/$H$43</f>
        <v>1.7313651132988654E-3</v>
      </c>
      <c r="K29" s="769">
        <f t="shared" si="0"/>
        <v>24725.865462207483</v>
      </c>
      <c r="L29" s="770">
        <f>K29/H29</f>
        <v>0.16964214344699413</v>
      </c>
      <c r="N29" s="158"/>
    </row>
    <row r="30" spans="1:14" x14ac:dyDescent="0.25">
      <c r="A30" s="522">
        <v>24</v>
      </c>
      <c r="B30" s="522"/>
      <c r="C30" s="523"/>
      <c r="D30" s="523"/>
      <c r="E30" s="522"/>
      <c r="F30" s="524"/>
      <c r="G30" s="520"/>
      <c r="H30" s="520"/>
      <c r="I30" s="520"/>
      <c r="J30" s="526"/>
      <c r="K30" s="520"/>
      <c r="L30" s="521"/>
      <c r="N30" s="158"/>
    </row>
    <row r="31" spans="1:14" x14ac:dyDescent="0.25">
      <c r="A31" s="522">
        <v>25</v>
      </c>
      <c r="B31" s="527" t="s">
        <v>292</v>
      </c>
      <c r="C31" s="523"/>
      <c r="D31" s="523"/>
      <c r="E31" s="522"/>
      <c r="F31" s="524"/>
      <c r="G31" s="769">
        <f>G8+G12+G24+G18+G29</f>
        <v>259311837.66545296</v>
      </c>
      <c r="H31" s="769">
        <f>H8+H12+H24+H18+H29</f>
        <v>70781026.90630722</v>
      </c>
      <c r="I31" s="769">
        <f>I8+I12+I24+I18+I29</f>
        <v>82788472.026072532</v>
      </c>
      <c r="J31" s="772">
        <f>H31/$H$43</f>
        <v>0.84079045127815566</v>
      </c>
      <c r="K31" s="769">
        <f t="shared" si="0"/>
        <v>12007445.119765319</v>
      </c>
      <c r="L31" s="773">
        <f>K31/H31</f>
        <v>0.1696421434469941</v>
      </c>
      <c r="N31" s="158"/>
    </row>
    <row r="32" spans="1:14" x14ac:dyDescent="0.25">
      <c r="A32" s="522">
        <v>26</v>
      </c>
      <c r="B32" s="522"/>
      <c r="C32" s="523"/>
      <c r="D32" s="523"/>
      <c r="E32" s="522"/>
      <c r="F32" s="524"/>
      <c r="G32" s="522"/>
      <c r="H32" s="520"/>
      <c r="I32" s="520"/>
      <c r="J32" s="520"/>
      <c r="K32" s="520"/>
      <c r="L32" s="521"/>
      <c r="N32" s="158"/>
    </row>
    <row r="33" spans="1:21" x14ac:dyDescent="0.25">
      <c r="A33" s="522">
        <v>27</v>
      </c>
      <c r="B33" s="527" t="s">
        <v>103</v>
      </c>
      <c r="C33" s="523"/>
      <c r="D33" s="523"/>
      <c r="E33" s="522"/>
      <c r="F33" s="524"/>
      <c r="G33" s="522"/>
      <c r="H33" s="520"/>
      <c r="I33" s="520"/>
      <c r="J33" s="520"/>
      <c r="K33" s="520"/>
      <c r="L33" s="521"/>
      <c r="N33" s="158"/>
    </row>
    <row r="34" spans="1:21" x14ac:dyDescent="0.25">
      <c r="A34" s="522">
        <v>28</v>
      </c>
      <c r="B34" s="522" t="s">
        <v>291</v>
      </c>
      <c r="C34" s="523">
        <v>663</v>
      </c>
      <c r="D34" s="523" t="s">
        <v>290</v>
      </c>
      <c r="E34" s="522">
        <f>'Exh IDM-7 - Revenue Summary'!L317</f>
        <v>5.9889999999999999E-2</v>
      </c>
      <c r="F34" s="766">
        <f>E34*(1+L35)</f>
        <v>7.0049867971040472E-2</v>
      </c>
      <c r="G34" s="765">
        <f>'Exh IDM-7 - Revenue Summary'!S317+'Exh IDM-7 - Revenue Summary'!W317</f>
        <v>125670307.7394866</v>
      </c>
      <c r="H34" s="771">
        <f>G34*E34</f>
        <v>7526394.7305178531</v>
      </c>
      <c r="I34" s="767">
        <f>F34*G34</f>
        <v>8803188.4650310632</v>
      </c>
      <c r="J34" s="768">
        <f>H34/$H$43</f>
        <v>8.940419627347547E-2</v>
      </c>
      <c r="K34" s="767">
        <f>J34*$K$43</f>
        <v>1276793.7345132104</v>
      </c>
      <c r="L34" s="770">
        <f t="shared" ref="L34:L37" si="14">K34/H34</f>
        <v>0.16964214344699413</v>
      </c>
      <c r="N34" s="158"/>
    </row>
    <row r="35" spans="1:21" x14ac:dyDescent="0.25">
      <c r="A35" s="522">
        <v>29</v>
      </c>
      <c r="B35" s="522"/>
      <c r="C35" s="523"/>
      <c r="D35" s="523" t="s">
        <v>289</v>
      </c>
      <c r="E35" s="522">
        <f>'Exh IDM-7 - Revenue Summary'!L318</f>
        <v>2.3029999999999998E-2</v>
      </c>
      <c r="F35" s="766">
        <f t="shared" ref="F35:F37" si="15">E35*(1+L36)</f>
        <v>2.6936858563584274E-2</v>
      </c>
      <c r="G35" s="765">
        <f>'Exh IDM-7 - Revenue Summary'!S318+'Exh IDM-7 - Revenue Summary'!W318</f>
        <v>99243995.968259618</v>
      </c>
      <c r="H35" s="771">
        <f t="shared" ref="H35:H37" si="16">G35*E35</f>
        <v>2285589.227149019</v>
      </c>
      <c r="I35" s="767">
        <f t="shared" ref="I35:I37" si="17">F35*G35</f>
        <v>2673321.4826819371</v>
      </c>
      <c r="J35" s="768">
        <f t="shared" ref="J35:J37" si="18">H35/$H$43</f>
        <v>2.7149953620690885E-2</v>
      </c>
      <c r="K35" s="767">
        <f t="shared" si="0"/>
        <v>387732.25553291832</v>
      </c>
      <c r="L35" s="770">
        <f t="shared" si="14"/>
        <v>0.16964214344699413</v>
      </c>
      <c r="N35" s="158"/>
    </row>
    <row r="36" spans="1:21" x14ac:dyDescent="0.25">
      <c r="A36" s="522">
        <v>30</v>
      </c>
      <c r="B36" s="522"/>
      <c r="C36" s="523"/>
      <c r="D36" s="523" t="s">
        <v>289</v>
      </c>
      <c r="E36" s="522">
        <f>'Exh IDM-7 - Revenue Summary'!L319</f>
        <v>1.473E-2</v>
      </c>
      <c r="F36" s="766">
        <f t="shared" si="15"/>
        <v>1.7228828772974224E-2</v>
      </c>
      <c r="G36" s="765">
        <f>'Exh IDM-7 - Revenue Summary'!S319+'Exh IDM-7 - Revenue Summary'!W319</f>
        <v>36535700.346506834</v>
      </c>
      <c r="H36" s="771">
        <f t="shared" si="16"/>
        <v>538170.86610404565</v>
      </c>
      <c r="I36" s="767">
        <f t="shared" si="17"/>
        <v>629467.32537066133</v>
      </c>
      <c r="J36" s="768">
        <f t="shared" si="18"/>
        <v>6.3927996689753545E-3</v>
      </c>
      <c r="K36" s="767">
        <f t="shared" si="0"/>
        <v>91296.45926661558</v>
      </c>
      <c r="L36" s="770">
        <f t="shared" si="14"/>
        <v>0.16964214344699413</v>
      </c>
      <c r="N36" s="158"/>
    </row>
    <row r="37" spans="1:21" x14ac:dyDescent="0.25">
      <c r="A37" s="522">
        <v>31</v>
      </c>
      <c r="B37" s="522"/>
      <c r="C37" s="523"/>
      <c r="D37" s="523" t="s">
        <v>288</v>
      </c>
      <c r="E37" s="522">
        <f>'Exh IDM-7 - Revenue Summary'!L320</f>
        <v>7.9799999999999992E-3</v>
      </c>
      <c r="F37" s="766">
        <f t="shared" si="15"/>
        <v>9.3337443047070128E-3</v>
      </c>
      <c r="G37" s="765">
        <f>'Exh IDM-7 - Revenue Summary'!S320+'Exh IDM-7 - Revenue Summary'!W320+'Exh IDM-7 - Revenue Summary'!AE320</f>
        <v>382547287.04329479</v>
      </c>
      <c r="H37" s="771">
        <f t="shared" si="16"/>
        <v>3052727.350605492</v>
      </c>
      <c r="I37" s="767">
        <f t="shared" si="17"/>
        <v>3570598.5617214716</v>
      </c>
      <c r="J37" s="768">
        <f t="shared" si="18"/>
        <v>3.6262599158702571E-2</v>
      </c>
      <c r="K37" s="767">
        <f t="shared" si="0"/>
        <v>517871.21111597924</v>
      </c>
      <c r="L37" s="770">
        <f t="shared" si="14"/>
        <v>0.16964214344699413</v>
      </c>
      <c r="N37" s="158"/>
    </row>
    <row r="38" spans="1:21" x14ac:dyDescent="0.25">
      <c r="A38" s="522">
        <v>32</v>
      </c>
      <c r="B38" s="522" t="s">
        <v>26</v>
      </c>
      <c r="C38" s="523"/>
      <c r="D38" s="523"/>
      <c r="E38" s="522"/>
      <c r="F38" s="524"/>
      <c r="G38" s="767">
        <f>SUM(G34:G37)</f>
        <v>643997291.09754777</v>
      </c>
      <c r="H38" s="771">
        <f>SUM(H34:H37)</f>
        <v>13402882.17437641</v>
      </c>
      <c r="I38" s="767">
        <f>SUM(I34:I37)</f>
        <v>15676575.834805135</v>
      </c>
      <c r="J38" s="768">
        <f>H38/$H$43</f>
        <v>0.15920954872184429</v>
      </c>
      <c r="K38" s="769">
        <f>J38*$K$43</f>
        <v>2273693.6604287233</v>
      </c>
      <c r="L38" s="770">
        <f>K38/H38</f>
        <v>0.16964214344699413</v>
      </c>
      <c r="N38" s="158"/>
    </row>
    <row r="39" spans="1:21" x14ac:dyDescent="0.25">
      <c r="A39" s="522">
        <v>33</v>
      </c>
      <c r="B39" s="522"/>
      <c r="C39" s="523"/>
      <c r="D39" s="523"/>
      <c r="E39" s="522"/>
      <c r="F39" s="524"/>
      <c r="H39" s="520"/>
      <c r="I39" s="520"/>
      <c r="J39" s="520"/>
      <c r="K39" s="520"/>
      <c r="L39" s="521"/>
      <c r="N39" s="158"/>
    </row>
    <row r="40" spans="1:21" x14ac:dyDescent="0.25">
      <c r="A40" s="522">
        <v>34</v>
      </c>
      <c r="C40" s="528"/>
      <c r="D40" s="522"/>
      <c r="E40" s="522"/>
      <c r="F40" s="522"/>
      <c r="H40" s="287"/>
      <c r="I40" s="520"/>
      <c r="K40" s="520"/>
      <c r="L40" s="521"/>
      <c r="N40" s="158"/>
      <c r="U40" s="548"/>
    </row>
    <row r="41" spans="1:21" x14ac:dyDescent="0.25">
      <c r="A41" s="522">
        <v>35</v>
      </c>
      <c r="B41" s="527" t="s">
        <v>287</v>
      </c>
      <c r="C41" s="522"/>
      <c r="D41" s="522"/>
      <c r="E41" s="522"/>
      <c r="F41" s="522"/>
      <c r="G41" s="769">
        <f>SUM(G38:G39)</f>
        <v>643997291.09754777</v>
      </c>
      <c r="H41" s="769">
        <f>SUM(H38:H39)</f>
        <v>13402882.17437641</v>
      </c>
      <c r="I41" s="769">
        <f>+I38</f>
        <v>15676575.834805135</v>
      </c>
      <c r="J41" s="772">
        <f>H41/$H$43</f>
        <v>0.15920954872184429</v>
      </c>
      <c r="K41" s="769">
        <f t="shared" si="0"/>
        <v>2273693.6604287233</v>
      </c>
      <c r="L41" s="773">
        <f>K41/H41</f>
        <v>0.16964214344699413</v>
      </c>
      <c r="N41" s="158"/>
    </row>
    <row r="42" spans="1:21" ht="15.75" thickBot="1" x14ac:dyDescent="0.3">
      <c r="A42" s="522">
        <v>36</v>
      </c>
      <c r="B42" s="527"/>
      <c r="C42" s="522"/>
      <c r="D42" s="522"/>
      <c r="E42" s="522"/>
      <c r="F42" s="522"/>
      <c r="G42" s="520"/>
      <c r="H42" s="520"/>
      <c r="I42" s="520"/>
      <c r="J42" s="526"/>
      <c r="K42" s="529"/>
      <c r="L42" s="521"/>
      <c r="N42" s="158"/>
    </row>
    <row r="43" spans="1:21" x14ac:dyDescent="0.25">
      <c r="A43" s="522">
        <v>37</v>
      </c>
      <c r="B43" s="530" t="s">
        <v>26</v>
      </c>
      <c r="C43" s="513"/>
      <c r="D43" s="513"/>
      <c r="E43" s="513"/>
      <c r="F43" s="513"/>
      <c r="G43" s="774">
        <f>G31+G41</f>
        <v>903309128.76300073</v>
      </c>
      <c r="H43" s="774">
        <f>H31+H41</f>
        <v>84183909.080683634</v>
      </c>
      <c r="I43" s="774">
        <f>+I31+I41</f>
        <v>98465047.860877663</v>
      </c>
      <c r="J43" s="775">
        <f>J31+J41</f>
        <v>1</v>
      </c>
      <c r="K43" s="776">
        <f>'[1]Exh MCP-2 - ROO Summary Sheet'!$N$16</f>
        <v>14281138.780194044</v>
      </c>
      <c r="L43" s="777">
        <f>K43/H43</f>
        <v>0.16964214344699413</v>
      </c>
    </row>
    <row r="44" spans="1:21" x14ac:dyDescent="0.25">
      <c r="A44" s="522">
        <v>38</v>
      </c>
      <c r="K44" s="531" t="s">
        <v>331</v>
      </c>
      <c r="L44" s="532"/>
    </row>
    <row r="45" spans="1:21" x14ac:dyDescent="0.25">
      <c r="A45" s="533">
        <v>39</v>
      </c>
      <c r="B45" s="503"/>
      <c r="C45" s="503"/>
      <c r="D45" s="503"/>
      <c r="E45" s="503"/>
      <c r="F45" s="503"/>
      <c r="G45" s="503"/>
      <c r="H45" s="534"/>
      <c r="I45" s="534"/>
      <c r="J45" s="534"/>
      <c r="K45" s="809" t="s">
        <v>647</v>
      </c>
      <c r="L45" s="535"/>
    </row>
  </sheetData>
  <mergeCells count="3">
    <mergeCell ref="A1:L1"/>
    <mergeCell ref="A2:L2"/>
    <mergeCell ref="A3:L3"/>
  </mergeCells>
  <pageMargins left="0.7" right="0.7" top="1.5" bottom="0.75" header="0.3" footer="0.3"/>
  <pageSetup scale="50" fitToHeight="0" orientation="portrait" r:id="rId1"/>
  <headerFooter scaleWithDoc="0">
    <oddHeader>&amp;RDocket No. UG-200568
Exhibit No. ___ (IDM-9)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I31"/>
  <sheetViews>
    <sheetView workbookViewId="0"/>
  </sheetViews>
  <sheetFormatPr defaultColWidth="9.140625" defaultRowHeight="15" x14ac:dyDescent="0.25"/>
  <cols>
    <col min="1" max="1" width="98.7109375" style="140" customWidth="1"/>
    <col min="2" max="2" width="29.42578125" style="140" customWidth="1"/>
    <col min="3" max="16384" width="9.140625" style="140"/>
  </cols>
  <sheetData>
    <row r="1" spans="1:1" ht="15.75" x14ac:dyDescent="0.25">
      <c r="A1" s="145" t="s">
        <v>648</v>
      </c>
    </row>
    <row r="2" spans="1:1" ht="15.75" x14ac:dyDescent="0.25">
      <c r="A2" s="145" t="s">
        <v>644</v>
      </c>
    </row>
    <row r="3" spans="1:1" ht="15.75" x14ac:dyDescent="0.25">
      <c r="A3" s="145" t="s">
        <v>427</v>
      </c>
    </row>
    <row r="4" spans="1:1" ht="15.75" x14ac:dyDescent="0.25">
      <c r="A4" s="144"/>
    </row>
    <row r="5" spans="1:1" ht="15.75" x14ac:dyDescent="0.25">
      <c r="A5" s="144"/>
    </row>
    <row r="6" spans="1:1" ht="15.75" x14ac:dyDescent="0.25">
      <c r="A6" s="144"/>
    </row>
    <row r="7" spans="1:1" ht="15.75" x14ac:dyDescent="0.25">
      <c r="A7" s="144"/>
    </row>
    <row r="8" spans="1:1" ht="15.75" x14ac:dyDescent="0.25">
      <c r="A8" s="144"/>
    </row>
    <row r="9" spans="1:1" ht="15.75" x14ac:dyDescent="0.25">
      <c r="A9" s="144"/>
    </row>
    <row r="10" spans="1:1" ht="15.75" x14ac:dyDescent="0.25">
      <c r="A10" s="144"/>
    </row>
    <row r="11" spans="1:1" ht="15.75" x14ac:dyDescent="0.25">
      <c r="A11" s="144"/>
    </row>
    <row r="12" spans="1:1" ht="15.75" x14ac:dyDescent="0.25">
      <c r="A12" s="144"/>
    </row>
    <row r="13" spans="1:1" ht="15.75" x14ac:dyDescent="0.25">
      <c r="A13" s="144"/>
    </row>
    <row r="14" spans="1:1" ht="15.75" x14ac:dyDescent="0.25">
      <c r="A14" s="144"/>
    </row>
    <row r="15" spans="1:1" ht="15.75" x14ac:dyDescent="0.25">
      <c r="A15" s="144"/>
    </row>
    <row r="16" spans="1:1" ht="15.75" x14ac:dyDescent="0.25">
      <c r="A16" s="142"/>
    </row>
    <row r="17" spans="1:9" ht="15.75" x14ac:dyDescent="0.25">
      <c r="A17" s="142"/>
    </row>
    <row r="18" spans="1:9" ht="15.75" x14ac:dyDescent="0.25">
      <c r="A18" s="144"/>
    </row>
    <row r="19" spans="1:9" ht="15.75" x14ac:dyDescent="0.25">
      <c r="A19" s="142" t="s">
        <v>426</v>
      </c>
    </row>
    <row r="20" spans="1:9" ht="15.75" x14ac:dyDescent="0.25">
      <c r="A20" s="142"/>
      <c r="D20" s="814" t="s">
        <v>666</v>
      </c>
      <c r="E20" s="814"/>
      <c r="F20" s="814"/>
      <c r="G20" s="814"/>
      <c r="H20" s="814"/>
    </row>
    <row r="21" spans="1:9" ht="15.75" x14ac:dyDescent="0.25">
      <c r="A21" s="142" t="s">
        <v>428</v>
      </c>
      <c r="D21" s="814" t="s">
        <v>667</v>
      </c>
      <c r="E21" s="814"/>
      <c r="F21" s="814"/>
      <c r="G21" s="814"/>
      <c r="H21" s="814"/>
      <c r="I21" s="814"/>
    </row>
    <row r="22" spans="1:9" ht="15.75" x14ac:dyDescent="0.25">
      <c r="A22" s="142"/>
    </row>
    <row r="23" spans="1:9" ht="15.75" x14ac:dyDescent="0.25">
      <c r="A23" s="142"/>
    </row>
    <row r="24" spans="1:9" ht="15.75" x14ac:dyDescent="0.25">
      <c r="A24" s="143" t="s">
        <v>434</v>
      </c>
    </row>
    <row r="25" spans="1:9" ht="15.75" x14ac:dyDescent="0.25">
      <c r="A25" s="142"/>
    </row>
    <row r="26" spans="1:9" ht="15.75" x14ac:dyDescent="0.25">
      <c r="A26" s="142"/>
    </row>
    <row r="27" spans="1:9" ht="15.75" x14ac:dyDescent="0.25">
      <c r="A27" s="142"/>
    </row>
    <row r="28" spans="1:9" ht="15.75" x14ac:dyDescent="0.25">
      <c r="A28" s="142"/>
    </row>
    <row r="29" spans="1:9" ht="15.75" x14ac:dyDescent="0.25">
      <c r="A29" s="142"/>
    </row>
    <row r="30" spans="1:9" ht="15.75" x14ac:dyDescent="0.25">
      <c r="A30" s="161">
        <v>44036</v>
      </c>
    </row>
    <row r="31" spans="1:9" x14ac:dyDescent="0.25">
      <c r="A31" s="14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3:T66"/>
  <sheetViews>
    <sheetView workbookViewId="0"/>
  </sheetViews>
  <sheetFormatPr defaultColWidth="12.28515625" defaultRowHeight="15" x14ac:dyDescent="0.25"/>
  <cols>
    <col min="1" max="1" width="3.7109375" style="434" bestFit="1" customWidth="1"/>
    <col min="2" max="2" width="17.28515625" style="434" bestFit="1" customWidth="1"/>
    <col min="3" max="3" width="2.85546875" style="287" bestFit="1" customWidth="1"/>
    <col min="4" max="4" width="22.7109375" style="287" bestFit="1" customWidth="1"/>
    <col min="5" max="5" width="16.7109375" style="287" customWidth="1"/>
    <col min="6" max="6" width="16.42578125" style="287" customWidth="1"/>
    <col min="7" max="7" width="16.7109375" style="287" customWidth="1"/>
    <col min="8" max="9" width="16.28515625" style="287" customWidth="1"/>
    <col min="10" max="10" width="20.140625" style="287" bestFit="1" customWidth="1"/>
    <col min="11" max="11" width="13.28515625" style="287" bestFit="1" customWidth="1"/>
    <col min="12" max="12" width="18" style="287" customWidth="1"/>
    <col min="13" max="13" width="16" style="287" customWidth="1"/>
    <col min="14" max="14" width="19.5703125" style="287" customWidth="1"/>
    <col min="15" max="15" width="16.140625" style="287" customWidth="1"/>
    <col min="16" max="16" width="6.28515625" style="287" customWidth="1"/>
    <col min="17" max="17" width="12.28515625" style="287"/>
    <col min="18" max="18" width="2.7109375" style="287" bestFit="1" customWidth="1"/>
    <col min="19" max="16384" width="12.28515625" style="287"/>
  </cols>
  <sheetData>
    <row r="3" spans="1:14" ht="15.75" thickBot="1" x14ac:dyDescent="0.3"/>
    <row r="4" spans="1:14" ht="6.75" customHeight="1" x14ac:dyDescent="0.25">
      <c r="B4" s="435"/>
      <c r="C4" s="436"/>
      <c r="D4" s="436"/>
      <c r="E4" s="436"/>
      <c r="F4" s="436"/>
      <c r="G4" s="436"/>
      <c r="H4" s="436"/>
      <c r="I4" s="436"/>
      <c r="J4" s="437"/>
    </row>
    <row r="5" spans="1:14" s="434" customFormat="1" ht="18" customHeight="1" x14ac:dyDescent="0.25">
      <c r="B5" s="381" t="s">
        <v>217</v>
      </c>
      <c r="C5" s="434" t="s">
        <v>218</v>
      </c>
      <c r="D5" s="434" t="s">
        <v>34</v>
      </c>
      <c r="E5" s="434" t="s">
        <v>35</v>
      </c>
      <c r="F5" s="434" t="s">
        <v>37</v>
      </c>
      <c r="G5" s="434" t="s">
        <v>39</v>
      </c>
      <c r="H5" s="434" t="s">
        <v>50</v>
      </c>
      <c r="I5" s="434" t="s">
        <v>51</v>
      </c>
      <c r="J5" s="438" t="s">
        <v>77</v>
      </c>
    </row>
    <row r="6" spans="1:14" ht="15" customHeight="1" x14ac:dyDescent="0.25">
      <c r="B6" s="837" t="s">
        <v>472</v>
      </c>
      <c r="C6" s="827"/>
      <c r="D6" s="827"/>
      <c r="E6" s="827"/>
      <c r="F6" s="827"/>
      <c r="G6" s="827"/>
      <c r="H6" s="827"/>
      <c r="I6" s="827"/>
      <c r="J6" s="838"/>
    </row>
    <row r="7" spans="1:14" ht="81" customHeight="1" x14ac:dyDescent="0.25">
      <c r="A7" s="434">
        <v>1</v>
      </c>
      <c r="B7" s="439" t="s">
        <v>219</v>
      </c>
      <c r="D7" s="440" t="s">
        <v>421</v>
      </c>
      <c r="E7" s="441"/>
      <c r="F7" s="440" t="s">
        <v>593</v>
      </c>
      <c r="H7" s="434" t="s">
        <v>420</v>
      </c>
      <c r="J7" s="442" t="s">
        <v>419</v>
      </c>
      <c r="L7" s="443"/>
    </row>
    <row r="8" spans="1:14" x14ac:dyDescent="0.25">
      <c r="A8" s="434">
        <f t="shared" ref="A8:A65" si="0">A7+1</f>
        <v>2</v>
      </c>
      <c r="B8" s="381">
        <v>503</v>
      </c>
      <c r="D8" s="779">
        <f>'Exh IDM-7 - Revenue Summary'!AJ13</f>
        <v>48552588.411705673</v>
      </c>
      <c r="F8" s="445">
        <f>'Exh IDM-7 - Revenue Summary'!AE13</f>
        <v>133590690.53149468</v>
      </c>
      <c r="G8" s="441"/>
      <c r="H8" s="782">
        <f>D8/F8</f>
        <v>0.36344290323328449</v>
      </c>
      <c r="J8" s="447">
        <f>'End of Period Calculations'!AD99/12</f>
        <v>198100.87649668616</v>
      </c>
      <c r="L8" s="448"/>
      <c r="M8" s="424"/>
      <c r="N8" s="449"/>
    </row>
    <row r="9" spans="1:14" x14ac:dyDescent="0.25">
      <c r="A9" s="434">
        <f t="shared" si="0"/>
        <v>3</v>
      </c>
      <c r="B9" s="381" t="s">
        <v>293</v>
      </c>
      <c r="D9" s="444"/>
      <c r="F9" s="445"/>
      <c r="G9" s="434"/>
      <c r="H9" s="446"/>
      <c r="J9" s="450"/>
      <c r="L9" s="448"/>
      <c r="M9" s="424"/>
      <c r="N9" s="449"/>
    </row>
    <row r="10" spans="1:14" x14ac:dyDescent="0.25">
      <c r="A10" s="434">
        <f t="shared" si="0"/>
        <v>4</v>
      </c>
      <c r="B10" s="381">
        <v>504</v>
      </c>
      <c r="D10" s="779">
        <f>'Exh IDM-7 - Revenue Summary'!AJ49</f>
        <v>28876103.208951805</v>
      </c>
      <c r="F10" s="445">
        <f>'Exh IDM-7 - Revenue Summary'!AE49</f>
        <v>94300921.185979769</v>
      </c>
      <c r="G10" s="441"/>
      <c r="H10" s="782">
        <f>D10/F10</f>
        <v>0.30621231315442304</v>
      </c>
      <c r="J10" s="447">
        <f>'End of Period Calculations'!AD100/12</f>
        <v>27132.133613014437</v>
      </c>
      <c r="L10" s="443"/>
    </row>
    <row r="11" spans="1:14" x14ac:dyDescent="0.25">
      <c r="A11" s="434">
        <f t="shared" si="0"/>
        <v>5</v>
      </c>
      <c r="B11" s="381"/>
      <c r="D11" s="444"/>
      <c r="F11" s="445"/>
      <c r="G11" s="441"/>
      <c r="H11" s="446"/>
      <c r="J11" s="450"/>
      <c r="L11" s="443"/>
    </row>
    <row r="12" spans="1:14" x14ac:dyDescent="0.25">
      <c r="A12" s="434">
        <f t="shared" si="0"/>
        <v>6</v>
      </c>
      <c r="B12" s="381">
        <v>505</v>
      </c>
      <c r="D12" s="779">
        <f>SUM('Exh IDM-7 - Revenue Summary'!AJ81:AJ83)</f>
        <v>2624881.9672737848</v>
      </c>
      <c r="F12" s="445">
        <f>SUM('Exh IDM-7 - Revenue Summary'!AE81:AE83)</f>
        <v>13400965.391857263</v>
      </c>
      <c r="G12" s="441"/>
      <c r="H12" s="782">
        <f>D12/F12</f>
        <v>0.19587260249688607</v>
      </c>
      <c r="J12" s="451">
        <f>'End of Period Calculations'!AD102/12</f>
        <v>491.21052631578937</v>
      </c>
      <c r="L12" s="443"/>
      <c r="M12" s="205"/>
      <c r="N12" s="452"/>
    </row>
    <row r="13" spans="1:14" x14ac:dyDescent="0.25">
      <c r="A13" s="434">
        <f t="shared" si="0"/>
        <v>7</v>
      </c>
      <c r="B13" s="381"/>
      <c r="D13" s="444"/>
      <c r="F13" s="445"/>
      <c r="G13" s="441"/>
      <c r="H13" s="446"/>
      <c r="J13" s="450"/>
      <c r="L13" s="443"/>
      <c r="M13" s="425"/>
      <c r="N13" s="452"/>
    </row>
    <row r="14" spans="1:14" x14ac:dyDescent="0.25">
      <c r="A14" s="434">
        <f t="shared" si="0"/>
        <v>8</v>
      </c>
      <c r="B14" s="381">
        <v>511</v>
      </c>
      <c r="D14" s="780">
        <f>SUM('Exh IDM-7 - Revenue Summary'!AJ116:AJ118)</f>
        <v>2564419.4893956529</v>
      </c>
      <c r="F14" s="781">
        <f>SUM('Exh IDM-7 - Revenue Summary'!AE116:AE118)</f>
        <v>15685249.306256872</v>
      </c>
      <c r="G14" s="441"/>
      <c r="H14" s="782">
        <f>D14/F14</f>
        <v>0.16349242777879863</v>
      </c>
      <c r="J14" s="778">
        <f>'End of Period Calculations'!AD107/12</f>
        <v>91.046511627906966</v>
      </c>
      <c r="L14" s="443"/>
      <c r="N14" s="453"/>
    </row>
    <row r="15" spans="1:14" x14ac:dyDescent="0.25">
      <c r="A15" s="434">
        <f t="shared" si="0"/>
        <v>9</v>
      </c>
      <c r="B15" s="381"/>
      <c r="D15" s="444"/>
      <c r="F15" s="445"/>
      <c r="G15" s="441"/>
      <c r="H15" s="446"/>
      <c r="J15" s="450"/>
      <c r="L15" s="443"/>
    </row>
    <row r="16" spans="1:14" x14ac:dyDescent="0.25">
      <c r="A16" s="434">
        <f t="shared" si="0"/>
        <v>10</v>
      </c>
      <c r="B16" s="381">
        <v>570</v>
      </c>
      <c r="D16" s="779">
        <f>SUM('Exh IDM-7 - Revenue Summary'!AJ283:AJ284)</f>
        <v>170478.94874562667</v>
      </c>
      <c r="F16" s="445">
        <f>SUM('Exh IDM-7 - Revenue Summary'!S283:S284)</f>
        <v>2334011.2498643706</v>
      </c>
      <c r="G16" s="441"/>
      <c r="H16" s="782">
        <f>D16/F16</f>
        <v>7.3041185536502101E-2</v>
      </c>
      <c r="J16" s="451">
        <f>'End of Period Calculations'!AB112/12</f>
        <v>8</v>
      </c>
      <c r="N16" s="454"/>
    </row>
    <row r="17" spans="1:18" ht="15.75" thickBot="1" x14ac:dyDescent="0.3">
      <c r="A17" s="434">
        <f t="shared" si="0"/>
        <v>11</v>
      </c>
      <c r="B17" s="455"/>
      <c r="C17" s="422"/>
      <c r="D17" s="456"/>
      <c r="E17" s="422"/>
      <c r="F17" s="457"/>
      <c r="G17" s="458"/>
      <c r="H17" s="459"/>
      <c r="I17" s="422"/>
      <c r="J17" s="460"/>
    </row>
    <row r="18" spans="1:18" x14ac:dyDescent="0.25">
      <c r="A18" s="434">
        <f t="shared" si="0"/>
        <v>12</v>
      </c>
      <c r="B18" s="435"/>
      <c r="C18" s="436"/>
      <c r="D18" s="461"/>
      <c r="E18" s="436"/>
      <c r="F18" s="462"/>
      <c r="G18" s="436"/>
      <c r="H18" s="463"/>
      <c r="I18" s="436"/>
      <c r="J18" s="437"/>
    </row>
    <row r="19" spans="1:18" x14ac:dyDescent="0.25">
      <c r="A19" s="434">
        <f t="shared" si="0"/>
        <v>13</v>
      </c>
      <c r="B19" s="464" t="s">
        <v>418</v>
      </c>
      <c r="D19" s="465"/>
      <c r="F19" s="445"/>
      <c r="H19" s="446"/>
      <c r="J19" s="423"/>
    </row>
    <row r="20" spans="1:18" x14ac:dyDescent="0.25">
      <c r="A20" s="434">
        <f t="shared" si="0"/>
        <v>14</v>
      </c>
      <c r="B20" s="464">
        <v>-1</v>
      </c>
      <c r="D20" s="812" t="s">
        <v>666</v>
      </c>
      <c r="E20" s="666"/>
      <c r="F20" s="781"/>
      <c r="G20" s="813"/>
      <c r="H20" s="782"/>
      <c r="J20" s="423"/>
    </row>
    <row r="21" spans="1:18" x14ac:dyDescent="0.25">
      <c r="A21" s="434">
        <f t="shared" si="0"/>
        <v>15</v>
      </c>
      <c r="B21" s="464">
        <v>-2</v>
      </c>
      <c r="D21" s="815" t="s">
        <v>667</v>
      </c>
      <c r="E21" s="666"/>
      <c r="F21" s="781"/>
      <c r="G21" s="666"/>
      <c r="H21" s="782"/>
      <c r="I21" s="666"/>
      <c r="J21" s="423"/>
    </row>
    <row r="22" spans="1:18" x14ac:dyDescent="0.25">
      <c r="A22" s="434">
        <f t="shared" si="0"/>
        <v>16</v>
      </c>
      <c r="B22" s="464">
        <v>-3</v>
      </c>
      <c r="D22" s="465" t="s">
        <v>417</v>
      </c>
      <c r="F22" s="445"/>
      <c r="H22" s="446"/>
      <c r="J22" s="423"/>
    </row>
    <row r="23" spans="1:18" x14ac:dyDescent="0.25">
      <c r="A23" s="434">
        <f t="shared" si="0"/>
        <v>17</v>
      </c>
      <c r="B23" s="464">
        <v>-4</v>
      </c>
      <c r="D23" s="465" t="s">
        <v>588</v>
      </c>
      <c r="F23" s="445"/>
      <c r="H23" s="446"/>
      <c r="J23" s="423"/>
    </row>
    <row r="24" spans="1:18" ht="15.75" thickBot="1" x14ac:dyDescent="0.3">
      <c r="A24" s="434">
        <f t="shared" si="0"/>
        <v>18</v>
      </c>
      <c r="B24" s="466"/>
      <c r="C24" s="422"/>
      <c r="D24" s="467" t="s">
        <v>592</v>
      </c>
      <c r="E24" s="422"/>
      <c r="F24" s="457"/>
      <c r="G24" s="422"/>
      <c r="H24" s="459"/>
      <c r="I24" s="422"/>
      <c r="J24" s="468"/>
    </row>
    <row r="25" spans="1:18" ht="15.75" thickBot="1" x14ac:dyDescent="0.3">
      <c r="A25" s="434">
        <f t="shared" si="0"/>
        <v>19</v>
      </c>
      <c r="D25" s="465"/>
      <c r="F25" s="445"/>
    </row>
    <row r="26" spans="1:18" x14ac:dyDescent="0.25">
      <c r="A26" s="434">
        <f t="shared" si="0"/>
        <v>20</v>
      </c>
      <c r="B26" s="839" t="s">
        <v>473</v>
      </c>
      <c r="C26" s="840"/>
      <c r="D26" s="840"/>
      <c r="E26" s="840"/>
      <c r="F26" s="840"/>
      <c r="G26" s="840"/>
      <c r="H26" s="841"/>
    </row>
    <row r="27" spans="1:18" ht="15" customHeight="1" x14ac:dyDescent="0.25">
      <c r="A27" s="434">
        <f t="shared" si="0"/>
        <v>21</v>
      </c>
      <c r="B27" s="832" t="s">
        <v>589</v>
      </c>
      <c r="C27" s="835"/>
      <c r="D27" s="835"/>
      <c r="E27" s="835"/>
      <c r="F27" s="835"/>
      <c r="G27" s="835"/>
      <c r="H27" s="836"/>
      <c r="I27" s="469"/>
      <c r="J27" s="469"/>
      <c r="K27" s="469"/>
      <c r="L27" s="469"/>
      <c r="M27" s="469"/>
      <c r="N27" s="469"/>
      <c r="O27" s="445"/>
      <c r="P27" s="445"/>
      <c r="Q27" s="445"/>
      <c r="R27" s="445"/>
    </row>
    <row r="28" spans="1:18" x14ac:dyDescent="0.25">
      <c r="A28" s="434">
        <f t="shared" si="0"/>
        <v>22</v>
      </c>
      <c r="B28" s="381" t="s">
        <v>217</v>
      </c>
      <c r="C28" s="434" t="s">
        <v>218</v>
      </c>
      <c r="D28" s="434" t="s">
        <v>34</v>
      </c>
      <c r="E28" s="434" t="s">
        <v>35</v>
      </c>
      <c r="F28" s="434" t="s">
        <v>37</v>
      </c>
      <c r="G28" s="434" t="s">
        <v>39</v>
      </c>
      <c r="H28" s="438" t="s">
        <v>50</v>
      </c>
      <c r="I28" s="434"/>
      <c r="J28" s="434"/>
      <c r="K28" s="434"/>
      <c r="L28" s="434"/>
      <c r="M28" s="434"/>
      <c r="N28" s="434"/>
      <c r="O28" s="445"/>
      <c r="P28" s="445"/>
      <c r="Q28" s="445"/>
      <c r="R28" s="445"/>
    </row>
    <row r="29" spans="1:18" s="434" customFormat="1" ht="15.75" customHeight="1" x14ac:dyDescent="0.25">
      <c r="A29" s="434">
        <f t="shared" si="0"/>
        <v>23</v>
      </c>
      <c r="B29" s="381" t="s">
        <v>219</v>
      </c>
      <c r="D29" s="434">
        <v>503</v>
      </c>
      <c r="E29" s="434">
        <v>504</v>
      </c>
      <c r="F29" s="434">
        <v>505</v>
      </c>
      <c r="G29" s="434">
        <v>511</v>
      </c>
      <c r="H29" s="438">
        <v>570</v>
      </c>
      <c r="O29" s="445"/>
      <c r="P29" s="445"/>
      <c r="Q29" s="445"/>
      <c r="R29" s="445"/>
    </row>
    <row r="30" spans="1:18" x14ac:dyDescent="0.25">
      <c r="A30" s="434">
        <f t="shared" si="0"/>
        <v>24</v>
      </c>
      <c r="B30" s="470" t="s">
        <v>410</v>
      </c>
      <c r="C30" s="471"/>
      <c r="D30" s="424">
        <f>'End of Period Calculations'!D126</f>
        <v>21782896.478942242</v>
      </c>
      <c r="E30" s="424">
        <f>'End of Period Calculations'!D127</f>
        <v>15124089.973233081</v>
      </c>
      <c r="F30" s="424">
        <f>'End of Period Calculations'!D132</f>
        <v>1464477.3692170135</v>
      </c>
      <c r="G30" s="783">
        <f>'End of Period Calculations'!D137</f>
        <v>1871208.2828171027</v>
      </c>
      <c r="H30" s="472">
        <f>'End of Period Calculations'!D114</f>
        <v>260481.77103171294</v>
      </c>
      <c r="I30" s="424"/>
      <c r="J30" s="473"/>
      <c r="O30" s="445"/>
      <c r="P30" s="445"/>
      <c r="Q30" s="445"/>
      <c r="R30" s="445"/>
    </row>
    <row r="31" spans="1:18" x14ac:dyDescent="0.25">
      <c r="A31" s="434">
        <f t="shared" si="0"/>
        <v>25</v>
      </c>
      <c r="B31" s="470" t="s">
        <v>409</v>
      </c>
      <c r="C31" s="471"/>
      <c r="D31" s="424">
        <f>'End of Period Calculations'!F126</f>
        <v>17525057.345791887</v>
      </c>
      <c r="E31" s="424">
        <f>'End of Period Calculations'!F127</f>
        <v>12070101.908594254</v>
      </c>
      <c r="F31" s="424">
        <f>'End of Period Calculations'!F132</f>
        <v>1657389.8360502587</v>
      </c>
      <c r="G31" s="783">
        <f>'End of Period Calculations'!F137</f>
        <v>1917626.8788115457</v>
      </c>
      <c r="H31" s="472">
        <f>'End of Period Calculations'!F114</f>
        <v>258810.83358312727</v>
      </c>
      <c r="I31" s="424"/>
      <c r="J31" s="473"/>
      <c r="O31" s="445"/>
      <c r="P31" s="445"/>
      <c r="Q31" s="445"/>
      <c r="R31" s="474"/>
    </row>
    <row r="32" spans="1:18" x14ac:dyDescent="0.25">
      <c r="A32" s="434">
        <f t="shared" si="0"/>
        <v>26</v>
      </c>
      <c r="B32" s="470" t="s">
        <v>416</v>
      </c>
      <c r="C32" s="471"/>
      <c r="D32" s="424">
        <f>'End of Period Calculations'!H126</f>
        <v>14755109.996461567</v>
      </c>
      <c r="E32" s="424">
        <f>'End of Period Calculations'!H127</f>
        <v>9616791.3678443395</v>
      </c>
      <c r="F32" s="424">
        <f>'End of Period Calculations'!H132</f>
        <v>1802857.0064099098</v>
      </c>
      <c r="G32" s="783">
        <f>'End of Period Calculations'!H137</f>
        <v>2017747.305982606</v>
      </c>
      <c r="H32" s="472">
        <f>'End of Period Calculations'!H114</f>
        <v>270183.90406559402</v>
      </c>
      <c r="I32" s="424"/>
      <c r="J32" s="473"/>
      <c r="O32" s="475"/>
      <c r="Q32" s="445"/>
      <c r="R32" s="445"/>
    </row>
    <row r="33" spans="1:18" x14ac:dyDescent="0.25">
      <c r="A33" s="434">
        <f t="shared" si="0"/>
        <v>27</v>
      </c>
      <c r="B33" s="470" t="s">
        <v>407</v>
      </c>
      <c r="C33" s="471"/>
      <c r="D33" s="424">
        <f>'End of Period Calculations'!J126</f>
        <v>9687638.5399276037</v>
      </c>
      <c r="E33" s="424">
        <f>'End of Period Calculations'!J127</f>
        <v>6250902.759745148</v>
      </c>
      <c r="F33" s="424">
        <f>'End of Period Calculations'!J132</f>
        <v>1359573.8973961421</v>
      </c>
      <c r="G33" s="783">
        <f>'End of Period Calculations'!J137</f>
        <v>1465194.3561986999</v>
      </c>
      <c r="H33" s="472">
        <f>'End of Period Calculations'!J114</f>
        <v>248144.66102019613</v>
      </c>
      <c r="I33" s="424"/>
      <c r="J33" s="473"/>
      <c r="O33" s="475"/>
      <c r="Q33" s="445"/>
      <c r="R33" s="476"/>
    </row>
    <row r="34" spans="1:18" x14ac:dyDescent="0.25">
      <c r="A34" s="434">
        <f t="shared" si="0"/>
        <v>28</v>
      </c>
      <c r="B34" s="470" t="s">
        <v>406</v>
      </c>
      <c r="C34" s="471"/>
      <c r="D34" s="424">
        <f>'End of Period Calculations'!L126</f>
        <v>6144767.0896385787</v>
      </c>
      <c r="E34" s="424">
        <f>'End of Period Calculations'!L127</f>
        <v>4556128.6380652981</v>
      </c>
      <c r="F34" s="424">
        <f>'End of Period Calculations'!L132</f>
        <v>817358.6821552685</v>
      </c>
      <c r="G34" s="783">
        <f>'End of Period Calculations'!L137</f>
        <v>1040385.174989972</v>
      </c>
      <c r="H34" s="472">
        <f>'End of Period Calculations'!L114</f>
        <v>218819.2747142287</v>
      </c>
      <c r="I34" s="424"/>
      <c r="J34" s="473"/>
      <c r="O34" s="475"/>
      <c r="P34" s="445"/>
      <c r="Q34" s="445"/>
      <c r="R34" s="445"/>
    </row>
    <row r="35" spans="1:18" x14ac:dyDescent="0.25">
      <c r="A35" s="434">
        <f t="shared" si="0"/>
        <v>29</v>
      </c>
      <c r="B35" s="470" t="s">
        <v>405</v>
      </c>
      <c r="C35" s="471"/>
      <c r="D35" s="424">
        <f>'End of Period Calculations'!N126</f>
        <v>3761525.8185321363</v>
      </c>
      <c r="E35" s="424">
        <f>'End of Period Calculations'!N127</f>
        <v>3220267.7959884172</v>
      </c>
      <c r="F35" s="424">
        <f>'End of Period Calculations'!N132</f>
        <v>589040.50521241897</v>
      </c>
      <c r="G35" s="783">
        <f>'End of Period Calculations'!N137</f>
        <v>818319.48031092226</v>
      </c>
      <c r="H35" s="472">
        <f>'End of Period Calculations'!N114</f>
        <v>162578.45701703182</v>
      </c>
      <c r="I35" s="424"/>
      <c r="J35" s="473"/>
      <c r="O35" s="475"/>
      <c r="P35" s="476"/>
      <c r="Q35" s="445"/>
      <c r="R35" s="445"/>
    </row>
    <row r="36" spans="1:18" x14ac:dyDescent="0.25">
      <c r="A36" s="434">
        <f t="shared" si="0"/>
        <v>30</v>
      </c>
      <c r="B36" s="470" t="s">
        <v>415</v>
      </c>
      <c r="C36" s="471"/>
      <c r="D36" s="424">
        <f>'End of Period Calculations'!P126</f>
        <v>3149862.4396131737</v>
      </c>
      <c r="E36" s="424">
        <f>'End of Period Calculations'!P127</f>
        <v>3188624.1311484878</v>
      </c>
      <c r="F36" s="424">
        <f>'End of Period Calculations'!P132</f>
        <v>552019.59322723467</v>
      </c>
      <c r="G36" s="783">
        <f>'End of Period Calculations'!P137</f>
        <v>772631.14116565487</v>
      </c>
      <c r="H36" s="472">
        <f>'End of Period Calculations'!P114</f>
        <v>126842.53842614668</v>
      </c>
      <c r="I36" s="424"/>
      <c r="J36" s="473"/>
      <c r="O36" s="475"/>
      <c r="P36" s="445"/>
      <c r="Q36" s="445"/>
      <c r="R36" s="476"/>
    </row>
    <row r="37" spans="1:18" x14ac:dyDescent="0.25">
      <c r="A37" s="434">
        <f t="shared" si="0"/>
        <v>31</v>
      </c>
      <c r="B37" s="470" t="s">
        <v>414</v>
      </c>
      <c r="C37" s="471"/>
      <c r="D37" s="424">
        <f>'End of Period Calculations'!R126</f>
        <v>3156331.7858036663</v>
      </c>
      <c r="E37" s="424">
        <f>'End of Period Calculations'!R127</f>
        <v>3207097.1266783555</v>
      </c>
      <c r="F37" s="424">
        <f>'End of Period Calculations'!R132</f>
        <v>567124.4895821258</v>
      </c>
      <c r="G37" s="783">
        <f>'End of Period Calculations'!R137</f>
        <v>769886.3971531163</v>
      </c>
      <c r="H37" s="472">
        <f>'End of Period Calculations'!R114</f>
        <v>120028.18273198721</v>
      </c>
      <c r="I37" s="424"/>
      <c r="J37" s="473"/>
      <c r="O37" s="475"/>
      <c r="P37" s="445"/>
      <c r="Q37" s="445"/>
      <c r="R37" s="445"/>
    </row>
    <row r="38" spans="1:18" x14ac:dyDescent="0.25">
      <c r="A38" s="434">
        <f t="shared" si="0"/>
        <v>32</v>
      </c>
      <c r="B38" s="470" t="s">
        <v>413</v>
      </c>
      <c r="C38" s="471"/>
      <c r="D38" s="424">
        <f>'End of Period Calculations'!T126</f>
        <v>4028032.4372067438</v>
      </c>
      <c r="E38" s="424">
        <f>'End of Period Calculations'!T127</f>
        <v>3890416.0287750605</v>
      </c>
      <c r="F38" s="424">
        <f>'End of Period Calculations'!T132</f>
        <v>667217.81942642108</v>
      </c>
      <c r="G38" s="783">
        <f>'End of Period Calculations'!T137</f>
        <v>683039.27039636625</v>
      </c>
      <c r="H38" s="472">
        <f>'End of Period Calculations'!T114</f>
        <v>93626.127904277455</v>
      </c>
      <c r="I38" s="424"/>
      <c r="J38" s="473"/>
      <c r="O38" s="477"/>
      <c r="P38" s="445"/>
      <c r="Q38" s="445"/>
      <c r="R38" s="477"/>
    </row>
    <row r="39" spans="1:18" x14ac:dyDescent="0.25">
      <c r="A39" s="434">
        <f t="shared" si="0"/>
        <v>33</v>
      </c>
      <c r="B39" s="470" t="s">
        <v>401</v>
      </c>
      <c r="C39" s="471"/>
      <c r="D39" s="424">
        <f>'End of Period Calculations'!V126</f>
        <v>9229769.2761267107</v>
      </c>
      <c r="E39" s="424">
        <f>'End of Period Calculations'!V127</f>
        <v>7332234.4277940299</v>
      </c>
      <c r="F39" s="424">
        <f>'End of Period Calculations'!V132</f>
        <v>1312750.7304119659</v>
      </c>
      <c r="G39" s="783">
        <f>'End of Period Calculations'!V137</f>
        <v>1140173.0755659416</v>
      </c>
      <c r="H39" s="472">
        <f>'End of Period Calculations'!V114</f>
        <v>111442.15583086733</v>
      </c>
      <c r="I39" s="424"/>
      <c r="J39" s="473"/>
      <c r="O39" s="475"/>
      <c r="P39" s="445"/>
      <c r="Q39" s="445"/>
    </row>
    <row r="40" spans="1:18" x14ac:dyDescent="0.25">
      <c r="A40" s="434">
        <f t="shared" si="0"/>
        <v>34</v>
      </c>
      <c r="B40" s="470" t="s">
        <v>400</v>
      </c>
      <c r="C40" s="471"/>
      <c r="D40" s="424">
        <f>'End of Period Calculations'!X126</f>
        <v>17242609.13666679</v>
      </c>
      <c r="E40" s="424">
        <f>'End of Period Calculations'!X127</f>
        <v>11214590.132419588</v>
      </c>
      <c r="F40" s="424">
        <f>'End of Period Calculations'!X132</f>
        <v>1178652.554567911</v>
      </c>
      <c r="G40" s="783">
        <f>'End of Period Calculations'!X137</f>
        <v>1524886.1370606523</v>
      </c>
      <c r="H40" s="472">
        <f>'End of Period Calculations'!X114</f>
        <v>232820.34030953416</v>
      </c>
      <c r="I40" s="424"/>
      <c r="J40" s="473"/>
      <c r="O40" s="475"/>
      <c r="P40" s="445"/>
      <c r="Q40" s="445"/>
      <c r="R40" s="445"/>
    </row>
    <row r="41" spans="1:18" x14ac:dyDescent="0.25">
      <c r="A41" s="434">
        <f t="shared" si="0"/>
        <v>35</v>
      </c>
      <c r="B41" s="470" t="s">
        <v>399</v>
      </c>
      <c r="C41" s="471"/>
      <c r="D41" s="424">
        <f>'End of Period Calculations'!Z126</f>
        <v>23127090.186783578</v>
      </c>
      <c r="E41" s="424">
        <f>'End of Period Calculations'!Z127</f>
        <v>14629676.89569371</v>
      </c>
      <c r="F41" s="424">
        <f>'End of Period Calculations'!Z132</f>
        <v>1432502.9082005913</v>
      </c>
      <c r="G41" s="783">
        <f>'End of Period Calculations'!Z137</f>
        <v>1664151.8058042922</v>
      </c>
      <c r="H41" s="472">
        <f>'End of Period Calculations'!Z114</f>
        <v>230233.00322966697</v>
      </c>
      <c r="I41" s="424"/>
      <c r="J41" s="473"/>
      <c r="O41" s="477"/>
      <c r="P41" s="445"/>
      <c r="Q41" s="445"/>
    </row>
    <row r="42" spans="1:18" ht="15.75" thickBot="1" x14ac:dyDescent="0.3">
      <c r="A42" s="434">
        <f t="shared" si="0"/>
        <v>36</v>
      </c>
      <c r="B42" s="478" t="s">
        <v>26</v>
      </c>
      <c r="C42" s="422"/>
      <c r="D42" s="479">
        <f>SUM(D30:D41)</f>
        <v>133590690.53149468</v>
      </c>
      <c r="E42" s="479">
        <f>SUM(E30:E41)</f>
        <v>94300921.185979769</v>
      </c>
      <c r="F42" s="479">
        <f>SUM(F30:F41)</f>
        <v>13400965.391857261</v>
      </c>
      <c r="G42" s="784">
        <f>SUM(G30:G41)</f>
        <v>15685249.306256874</v>
      </c>
      <c r="H42" s="480">
        <f>SUM(H30:H41)</f>
        <v>2334011.2498643706</v>
      </c>
      <c r="I42" s="473"/>
      <c r="J42" s="473"/>
      <c r="O42" s="477"/>
      <c r="P42" s="445"/>
      <c r="Q42" s="445"/>
    </row>
    <row r="43" spans="1:18" x14ac:dyDescent="0.25">
      <c r="A43" s="434">
        <f t="shared" si="0"/>
        <v>37</v>
      </c>
      <c r="B43" s="435" t="s">
        <v>412</v>
      </c>
      <c r="C43" s="481"/>
      <c r="D43" s="482"/>
      <c r="E43" s="482"/>
      <c r="F43" s="482"/>
      <c r="G43" s="482"/>
      <c r="H43" s="483"/>
      <c r="I43" s="477"/>
      <c r="J43" s="477"/>
      <c r="K43" s="477"/>
      <c r="L43" s="477"/>
      <c r="M43" s="477"/>
      <c r="N43" s="477"/>
      <c r="O43" s="477"/>
      <c r="P43" s="445"/>
      <c r="Q43" s="445"/>
    </row>
    <row r="44" spans="1:18" ht="15.75" thickBot="1" x14ac:dyDescent="0.3">
      <c r="A44" s="434">
        <f t="shared" si="0"/>
        <v>38</v>
      </c>
      <c r="B44" s="466">
        <v>-5</v>
      </c>
      <c r="C44" s="484"/>
      <c r="D44" s="422" t="s">
        <v>590</v>
      </c>
      <c r="E44" s="422"/>
      <c r="F44" s="468"/>
      <c r="G44" s="422"/>
      <c r="H44" s="468"/>
    </row>
    <row r="45" spans="1:18" ht="15.75" thickBot="1" x14ac:dyDescent="0.3">
      <c r="A45" s="434">
        <f t="shared" si="0"/>
        <v>39</v>
      </c>
      <c r="B45" s="441"/>
      <c r="C45" s="485"/>
    </row>
    <row r="46" spans="1:18" x14ac:dyDescent="0.25">
      <c r="A46" s="434">
        <f t="shared" si="0"/>
        <v>40</v>
      </c>
      <c r="B46" s="839" t="s">
        <v>474</v>
      </c>
      <c r="C46" s="840"/>
      <c r="D46" s="840"/>
      <c r="E46" s="840"/>
      <c r="F46" s="840"/>
      <c r="G46" s="840"/>
      <c r="H46" s="840"/>
      <c r="I46" s="840"/>
      <c r="J46" s="840"/>
      <c r="K46" s="840"/>
      <c r="L46" s="840"/>
      <c r="M46" s="840"/>
      <c r="N46" s="840"/>
      <c r="O46" s="841"/>
    </row>
    <row r="47" spans="1:18" x14ac:dyDescent="0.25">
      <c r="A47" s="434">
        <f t="shared" si="0"/>
        <v>41</v>
      </c>
      <c r="B47" s="381" t="s">
        <v>217</v>
      </c>
      <c r="C47" s="434" t="s">
        <v>218</v>
      </c>
      <c r="D47" s="434" t="s">
        <v>34</v>
      </c>
      <c r="E47" s="434" t="s">
        <v>35</v>
      </c>
      <c r="F47" s="434" t="s">
        <v>37</v>
      </c>
      <c r="G47" s="434" t="s">
        <v>39</v>
      </c>
      <c r="H47" s="434" t="s">
        <v>50</v>
      </c>
      <c r="I47" s="434" t="s">
        <v>51</v>
      </c>
      <c r="J47" s="434" t="s">
        <v>77</v>
      </c>
      <c r="K47" s="434" t="s">
        <v>52</v>
      </c>
      <c r="L47" s="434" t="s">
        <v>41</v>
      </c>
      <c r="M47" s="434" t="s">
        <v>43</v>
      </c>
      <c r="N47" s="434" t="s">
        <v>44</v>
      </c>
      <c r="O47" s="438" t="s">
        <v>227</v>
      </c>
    </row>
    <row r="48" spans="1:18" x14ac:dyDescent="0.25">
      <c r="A48" s="434">
        <f t="shared" si="0"/>
        <v>42</v>
      </c>
      <c r="B48" s="832" t="s">
        <v>411</v>
      </c>
      <c r="C48" s="833"/>
      <c r="D48" s="833"/>
      <c r="E48" s="833"/>
      <c r="F48" s="833"/>
      <c r="G48" s="833"/>
      <c r="H48" s="833"/>
      <c r="I48" s="833"/>
      <c r="J48" s="833"/>
      <c r="K48" s="833"/>
      <c r="L48" s="833"/>
      <c r="M48" s="833"/>
      <c r="N48" s="833"/>
      <c r="O48" s="834"/>
    </row>
    <row r="49" spans="1:20" x14ac:dyDescent="0.25">
      <c r="A49" s="434">
        <f t="shared" si="0"/>
        <v>43</v>
      </c>
      <c r="B49" s="439"/>
      <c r="C49" s="469"/>
      <c r="D49" s="440" t="s">
        <v>410</v>
      </c>
      <c r="E49" s="440" t="s">
        <v>409</v>
      </c>
      <c r="F49" s="440" t="s">
        <v>408</v>
      </c>
      <c r="G49" s="440" t="s">
        <v>407</v>
      </c>
      <c r="H49" s="440" t="s">
        <v>406</v>
      </c>
      <c r="I49" s="440" t="s">
        <v>405</v>
      </c>
      <c r="J49" s="440" t="s">
        <v>404</v>
      </c>
      <c r="K49" s="440" t="s">
        <v>403</v>
      </c>
      <c r="L49" s="440" t="s">
        <v>402</v>
      </c>
      <c r="M49" s="440" t="s">
        <v>401</v>
      </c>
      <c r="N49" s="440" t="s">
        <v>400</v>
      </c>
      <c r="O49" s="442" t="s">
        <v>399</v>
      </c>
    </row>
    <row r="50" spans="1:20" x14ac:dyDescent="0.25">
      <c r="A50" s="434">
        <f t="shared" si="0"/>
        <v>44</v>
      </c>
      <c r="B50" s="381">
        <v>503</v>
      </c>
      <c r="D50" s="785">
        <f>(D30*H8)/J8</f>
        <v>39.963675462431851</v>
      </c>
      <c r="E50" s="785">
        <f>(D31*H8)/J8</f>
        <v>32.15209257890865</v>
      </c>
      <c r="F50" s="785">
        <f>(D32*H8)/J8</f>
        <v>27.070248801903489</v>
      </c>
      <c r="G50" s="785">
        <f>(D33*H8)/J8</f>
        <v>17.773285705199005</v>
      </c>
      <c r="H50" s="785">
        <f>(D34*H8)/J8</f>
        <v>11.273407923502768</v>
      </c>
      <c r="I50" s="785">
        <f>(D35*H8)/J8</f>
        <v>6.9010288508094781</v>
      </c>
      <c r="J50" s="785">
        <f>(D36*H8)/J8</f>
        <v>5.778849493670152</v>
      </c>
      <c r="K50" s="785">
        <f>(D37*H8)/J8</f>
        <v>5.7907183859389511</v>
      </c>
      <c r="L50" s="785">
        <f>(D38*H8)/J8</f>
        <v>7.3899713579548489</v>
      </c>
      <c r="M50" s="785">
        <f>(D39*H8)/J8</f>
        <v>16.933262493389204</v>
      </c>
      <c r="N50" s="785">
        <f>(D40*H8)/J8</f>
        <v>31.633903063784597</v>
      </c>
      <c r="O50" s="786">
        <f>(D41*H8)/J8</f>
        <v>42.429780975568939</v>
      </c>
      <c r="P50" s="465"/>
      <c r="Q50" s="465"/>
      <c r="R50" s="465"/>
    </row>
    <row r="51" spans="1:20" x14ac:dyDescent="0.25">
      <c r="A51" s="434">
        <f t="shared" si="0"/>
        <v>45</v>
      </c>
      <c r="B51" s="381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7"/>
    </row>
    <row r="52" spans="1:20" x14ac:dyDescent="0.25">
      <c r="A52" s="434">
        <f t="shared" si="0"/>
        <v>46</v>
      </c>
      <c r="B52" s="381"/>
      <c r="D52" s="434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8"/>
    </row>
    <row r="53" spans="1:20" x14ac:dyDescent="0.25">
      <c r="A53" s="434">
        <f t="shared" si="0"/>
        <v>47</v>
      </c>
      <c r="B53" s="381">
        <v>504</v>
      </c>
      <c r="D53" s="785">
        <f>(E30*H10)/J10</f>
        <v>170.68995166815353</v>
      </c>
      <c r="E53" s="785">
        <f>(E31*H10)/J10</f>
        <v>136.22274894250853</v>
      </c>
      <c r="F53" s="785">
        <f>(E32*H10)/J10</f>
        <v>108.53477179025037</v>
      </c>
      <c r="G53" s="785">
        <f>(E33*H10)/J10</f>
        <v>70.547470415183</v>
      </c>
      <c r="H53" s="785">
        <f>(E34*H10)/J10</f>
        <v>51.420308818687211</v>
      </c>
      <c r="I53" s="785">
        <f>(E35*H10)/J10</f>
        <v>36.343829971164318</v>
      </c>
      <c r="J53" s="785">
        <f>(E36*H10)/J10</f>
        <v>35.986700674017179</v>
      </c>
      <c r="K53" s="785">
        <f>(E37*H10)/J10</f>
        <v>36.195186256934214</v>
      </c>
      <c r="L53" s="785">
        <f>(E38*H10)/J10</f>
        <v>43.907099540923298</v>
      </c>
      <c r="M53" s="785">
        <f>(E39*H10)/J10</f>
        <v>82.751341886667731</v>
      </c>
      <c r="N53" s="785">
        <f>(E40*H10)/J10</f>
        <v>126.56747289051256</v>
      </c>
      <c r="O53" s="786">
        <f>(E41*H10)/J10</f>
        <v>165.11002292806697</v>
      </c>
    </row>
    <row r="54" spans="1:20" x14ac:dyDescent="0.25">
      <c r="A54" s="434">
        <f t="shared" si="0"/>
        <v>48</v>
      </c>
      <c r="B54" s="381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7"/>
    </row>
    <row r="55" spans="1:20" x14ac:dyDescent="0.25">
      <c r="A55" s="434">
        <f t="shared" si="0"/>
        <v>49</v>
      </c>
      <c r="B55" s="381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8"/>
    </row>
    <row r="56" spans="1:20" x14ac:dyDescent="0.25">
      <c r="A56" s="434">
        <f t="shared" si="0"/>
        <v>50</v>
      </c>
      <c r="B56" s="381">
        <v>505</v>
      </c>
      <c r="D56" s="785">
        <f>(F30*H12)/J12</f>
        <v>583.96752153865452</v>
      </c>
      <c r="E56" s="785">
        <f>(F31*H12)/J12</f>
        <v>660.89231225136393</v>
      </c>
      <c r="F56" s="785">
        <f>(F32*H12)/J12</f>
        <v>718.89805868743508</v>
      </c>
      <c r="G56" s="785">
        <f>(F33*H12)/J12</f>
        <v>542.13674850814516</v>
      </c>
      <c r="H56" s="785">
        <f>(F34*H12)/J12</f>
        <v>325.92577656663173</v>
      </c>
      <c r="I56" s="785">
        <f>(F35*H12)/J12</f>
        <v>234.88278558970376</v>
      </c>
      <c r="J56" s="785">
        <f>(F36*H12)/J12</f>
        <v>220.12051566903753</v>
      </c>
      <c r="K56" s="785">
        <f>(F37*H12)/J12</f>
        <v>226.14366704909611</v>
      </c>
      <c r="L56" s="785">
        <f>(F38*H12)/J12</f>
        <v>266.05637241440689</v>
      </c>
      <c r="M56" s="785">
        <f>(F39*H12)/J12</f>
        <v>523.46578141156306</v>
      </c>
      <c r="N56" s="785">
        <f>(F40*H12)/J12</f>
        <v>469.99347720492614</v>
      </c>
      <c r="O56" s="786">
        <f>(F41*H12)/J12</f>
        <v>571.21754865086757</v>
      </c>
    </row>
    <row r="57" spans="1:20" x14ac:dyDescent="0.25">
      <c r="A57" s="434">
        <f t="shared" si="0"/>
        <v>51</v>
      </c>
      <c r="B57" s="381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7"/>
    </row>
    <row r="58" spans="1:20" x14ac:dyDescent="0.25">
      <c r="A58" s="434">
        <f t="shared" si="0"/>
        <v>52</v>
      </c>
      <c r="B58" s="381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7"/>
      <c r="P58" s="465"/>
      <c r="Q58" s="465"/>
      <c r="R58" s="465"/>
      <c r="S58" s="465"/>
    </row>
    <row r="59" spans="1:20" x14ac:dyDescent="0.25">
      <c r="A59" s="434">
        <f t="shared" si="0"/>
        <v>53</v>
      </c>
      <c r="B59" s="381">
        <v>511</v>
      </c>
      <c r="D59" s="785">
        <f>(G30*H14)/J14</f>
        <v>3360.1329646526933</v>
      </c>
      <c r="E59" s="785">
        <f>(G31*H14)/J14</f>
        <v>3443.4869429383211</v>
      </c>
      <c r="F59" s="785">
        <f>(G32*H14)/J14</f>
        <v>3623.2734214729885</v>
      </c>
      <c r="G59" s="785">
        <f>(G33*H14)/J14</f>
        <v>2631.0528342010043</v>
      </c>
      <c r="H59" s="785">
        <f>(G34*H14)/J14</f>
        <v>1868.22202238053</v>
      </c>
      <c r="I59" s="785">
        <f>(G35*H14)/J14</f>
        <v>1469.4581499343174</v>
      </c>
      <c r="J59" s="785">
        <f>(G36*H14)/J14</f>
        <v>1387.4154955318249</v>
      </c>
      <c r="K59" s="785">
        <f>(G37*H14)/J14</f>
        <v>1382.4867524727256</v>
      </c>
      <c r="L59" s="785">
        <f>(G38*H14)/J14</f>
        <v>1226.5351696476457</v>
      </c>
      <c r="M59" s="785">
        <f>(G39*H14)/J14</f>
        <v>2047.4113821529259</v>
      </c>
      <c r="N59" s="785">
        <f>(G40*H14)/J14</f>
        <v>2738.2415007085665</v>
      </c>
      <c r="O59" s="786">
        <f>(G41*H14)/J14</f>
        <v>2988.321178469188</v>
      </c>
      <c r="P59" s="465"/>
      <c r="Q59" s="465"/>
      <c r="R59" s="465"/>
      <c r="S59" s="465"/>
    </row>
    <row r="60" spans="1:20" x14ac:dyDescent="0.25">
      <c r="A60" s="434">
        <f t="shared" si="0"/>
        <v>54</v>
      </c>
      <c r="B60" s="381"/>
      <c r="D60" s="486"/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7"/>
    </row>
    <row r="61" spans="1:20" x14ac:dyDescent="0.25">
      <c r="A61" s="434">
        <f t="shared" si="0"/>
        <v>55</v>
      </c>
      <c r="B61" s="381"/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8"/>
    </row>
    <row r="62" spans="1:20" x14ac:dyDescent="0.25">
      <c r="A62" s="434">
        <f t="shared" si="0"/>
        <v>56</v>
      </c>
      <c r="B62" s="381">
        <v>570</v>
      </c>
      <c r="D62" s="785">
        <f>(H30*H16)/J16</f>
        <v>2378.2371708505002</v>
      </c>
      <c r="E62" s="785">
        <f>(H31*H16)/J16</f>
        <v>2362.9812643252458</v>
      </c>
      <c r="F62" s="785">
        <f>(H32*H16)/J16</f>
        <v>2466.819083228942</v>
      </c>
      <c r="G62" s="785">
        <f>(H33*H16)/J16</f>
        <v>2265.5975281835708</v>
      </c>
      <c r="H62" s="785">
        <f>(H34*H16)/J16</f>
        <v>1997.8524054206002</v>
      </c>
      <c r="I62" s="785">
        <f>(H35*H16)/J16</f>
        <v>1484.3654054024066</v>
      </c>
      <c r="J62" s="785">
        <f>(H36*H16)/J16</f>
        <v>1158.0911728881347</v>
      </c>
      <c r="K62" s="785">
        <f>(H37*H16)/J16</f>
        <v>1095.8750955670318</v>
      </c>
      <c r="L62" s="785">
        <f>(H38*H16)/J16</f>
        <v>854.82042241507577</v>
      </c>
      <c r="M62" s="785">
        <f>(H39*H16)/J16</f>
        <v>1017.48339757877</v>
      </c>
      <c r="N62" s="785">
        <f>(H40*H16)/J16</f>
        <v>2125.6842091525305</v>
      </c>
      <c r="O62" s="786">
        <f>(H41*H16)/J16</f>
        <v>2102.0614381905239</v>
      </c>
      <c r="P62" s="465"/>
      <c r="Q62" s="465"/>
      <c r="R62" s="465"/>
      <c r="S62" s="465"/>
      <c r="T62" s="465"/>
    </row>
    <row r="63" spans="1:20" ht="15.75" thickBot="1" x14ac:dyDescent="0.3">
      <c r="A63" s="434">
        <f t="shared" si="0"/>
        <v>57</v>
      </c>
      <c r="B63" s="455"/>
      <c r="C63" s="422"/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488"/>
    </row>
    <row r="64" spans="1:20" x14ac:dyDescent="0.25">
      <c r="A64" s="434">
        <f t="shared" si="0"/>
        <v>58</v>
      </c>
      <c r="B64" s="381" t="s">
        <v>398</v>
      </c>
      <c r="J64" s="423"/>
    </row>
    <row r="65" spans="1:10" x14ac:dyDescent="0.25">
      <c r="A65" s="434">
        <f t="shared" si="0"/>
        <v>59</v>
      </c>
      <c r="B65" s="464">
        <v>-6</v>
      </c>
      <c r="D65" s="287" t="s">
        <v>594</v>
      </c>
      <c r="J65" s="423"/>
    </row>
    <row r="66" spans="1:10" ht="15.75" thickBot="1" x14ac:dyDescent="0.3">
      <c r="B66" s="455"/>
      <c r="C66" s="422"/>
      <c r="D66" s="422"/>
      <c r="E66" s="422"/>
      <c r="F66" s="422"/>
      <c r="G66" s="422"/>
      <c r="H66" s="422"/>
      <c r="I66" s="422"/>
      <c r="J66" s="468"/>
    </row>
  </sheetData>
  <mergeCells count="5">
    <mergeCell ref="B48:O48"/>
    <mergeCell ref="B27:H27"/>
    <mergeCell ref="B6:J6"/>
    <mergeCell ref="B26:H26"/>
    <mergeCell ref="B46:O46"/>
  </mergeCells>
  <pageMargins left="0.7" right="0.7" top="0.75" bottom="0.75" header="0.3" footer="0.3"/>
  <pageSetup scale="48" orientation="landscape" r:id="rId1"/>
  <headerFooter scaleWithDoc="0">
    <oddHeader xml:space="preserve">&amp;C&amp;"-,Bold"      Cascade Natural Gas Corporation             
Decoupling Mechanism, Authorized Revenue Per Customer    
&amp;RDocket No. UG-200568
Exhibit No. ___ (IDM-10)
Page 1 of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pageSetUpPr fitToPage="1"/>
  </sheetPr>
  <dimension ref="A1"/>
  <sheetViews>
    <sheetView workbookViewId="0"/>
  </sheetViews>
  <sheetFormatPr defaultRowHeight="15" x14ac:dyDescent="0.25"/>
  <sheetData/>
  <printOptions horizontalCentered="1"/>
  <pageMargins left="0.5" right="0.5" top="0.75" bottom="0.75" header="0.5" footer="0.3"/>
  <pageSetup fitToHeight="0" orientation="landscape" horizontalDpi="1200" verticalDpi="1200" r:id="rId1"/>
  <headerFooter scaleWithDoc="0">
    <oddHeader>&amp;C&amp;10Cascade Natural Gas Corporation
Revenue Proof&amp;R&amp;9CNGC/401
Myhrum/Page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35709E-9130-43F3-AF38-F6AADBB540C3}"/>
</file>

<file path=customXml/itemProps2.xml><?xml version="1.0" encoding="utf-8"?>
<ds:datastoreItem xmlns:ds="http://schemas.openxmlformats.org/officeDocument/2006/customXml" ds:itemID="{454F412B-D453-4E4F-BDF7-0B92F1E0B637}">
  <ds:schemaRefs>
    <ds:schemaRef ds:uri="http://schemas.microsoft.com/office/2006/documentManagement/types"/>
    <ds:schemaRef ds:uri="http://schemas.openxmlformats.org/package/2006/metadata/core-properties"/>
    <ds:schemaRef ds:uri="25d9b2a2-6584-4708-8a11-b3efe29705c4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0a9d502d-f25e-40c1-b04b-e3e8f78f83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FCBABF-8DDF-4531-8B08-1490BD5697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FF82AD-FA71-48B9-91EC-1C8F40464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IDM-7 Cover Page</vt:lpstr>
      <vt:lpstr>Exh IDM-7 - Revenue Summary</vt:lpstr>
      <vt:lpstr>IDM-8 Cover Page</vt:lpstr>
      <vt:lpstr>Exh IDM-8 - Revenue Adjustments</vt:lpstr>
      <vt:lpstr>IDM-9 Cover Page</vt:lpstr>
      <vt:lpstr>Exh IDM-9 -Revenue Distribution</vt:lpstr>
      <vt:lpstr>IDM-10 Cover Page</vt:lpstr>
      <vt:lpstr>Exh IDM-10 Decoup. Exhibit</vt:lpstr>
      <vt:lpstr>WORKPAPERS---&gt;</vt:lpstr>
      <vt:lpstr>Index</vt:lpstr>
      <vt:lpstr>1501 Summary</vt:lpstr>
      <vt:lpstr>Revenue Reconcilliation</vt:lpstr>
      <vt:lpstr>End of Period Calculations</vt:lpstr>
      <vt:lpstr>Allocation Report Summary 2019</vt:lpstr>
      <vt:lpstr>Weather Normalization</vt:lpstr>
      <vt:lpstr>WACAP 2019</vt:lpstr>
      <vt:lpstr>2020 New Customers</vt:lpstr>
      <vt:lpstr>Billing Correction</vt:lpstr>
      <vt:lpstr>'1501 Summary'!Print_Area</vt:lpstr>
      <vt:lpstr>'2020 New Customers'!Print_Area</vt:lpstr>
      <vt:lpstr>'Allocation Report Summary 2019'!Print_Area</vt:lpstr>
      <vt:lpstr>'Billing Correction'!Print_Area</vt:lpstr>
      <vt:lpstr>'Exh IDM-10 Decoup. Exhibit'!Print_Area</vt:lpstr>
      <vt:lpstr>'Exh IDM-7 - Revenue Summary'!Print_Area</vt:lpstr>
      <vt:lpstr>'IDM-10 Cover Page'!Print_Area</vt:lpstr>
      <vt:lpstr>'IDM-7 Cover Page'!Print_Area</vt:lpstr>
      <vt:lpstr>'IDM-8 Cover Page'!Print_Area</vt:lpstr>
      <vt:lpstr>'IDM-9 Cover Page'!Print_Area</vt:lpstr>
      <vt:lpstr>Index!Print_Area</vt:lpstr>
      <vt:lpstr>'WACAP 2019'!Print_Area</vt:lpstr>
      <vt:lpstr>'Exh IDM-7 - Revenue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</dc:creator>
  <cp:lastModifiedBy>Myhrum, Isaac</cp:lastModifiedBy>
  <cp:lastPrinted>2020-07-24T17:15:01Z</cp:lastPrinted>
  <dcterms:created xsi:type="dcterms:W3CDTF">2017-12-06T18:16:11Z</dcterms:created>
  <dcterms:modified xsi:type="dcterms:W3CDTF">2020-07-24T17:26:54Z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lc_DocIdItemGuid">
    <vt:lpwstr>540b8544-5d2e-4896-8ead-1dd507e4c4db</vt:lpwstr>
  </property>
  <property fmtid="{D5CDD505-2E9C-101B-9397-08002B2CF9AE}" pid="4" name="Workbook id">
    <vt:lpwstr>5a10e4b6-d970-46ac-a253-af08592a282d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