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WP\2023 IRP Data Disc (Public) - WA only\"/>
    </mc:Choice>
  </mc:AlternateContent>
  <xr:revisionPtr revIDLastSave="0" documentId="13_ncr:1_{14891C35-40CF-49CF-B187-B2228AE2F833}" xr6:coauthVersionLast="47" xr6:coauthVersionMax="47" xr10:uidLastSave="{00000000-0000-0000-0000-000000000000}"/>
  <bookViews>
    <workbookView xWindow="-120" yWindow="-120" windowWidth="29040" windowHeight="15840" activeTab="1" xr2:uid="{46B5B250-171D-4412-973E-EC87D544183B}"/>
  </bookViews>
  <sheets>
    <sheet name="WA CETA Summary" sheetId="1" r:id="rId1"/>
    <sheet name="Graphs - Interim Targets" sheetId="2" r:id="rId2"/>
    <sheet name="Table - Interim Target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DeltaRetirements">'[1]Data Check'!$N$4</definedName>
    <definedName name="Discount_Rate">'[2]ST Cost Summary'!$C$2</definedName>
    <definedName name="Discount_Rate___2021_IRP">'[3]Summary $ Portfolio'!$M$68</definedName>
    <definedName name="DiscountRate">'[4]Control Panel'!$F$31</definedName>
    <definedName name="Dynamic_EmissionsData">OFFSET('[5]Emissions Data'!$AF$1,0,0,COUNTA('[5]Emissions Data'!$AF:$AF),COUNTA('[5]Emissions Data'!$AF$1:$BS$1))</definedName>
    <definedName name="Dynamic_PortfolioDataRange">OFFSET(#REF!,0,0,COUNTA(#REF!),COUNTA(#REF!))</definedName>
    <definedName name="Dynamic_TransmissionData">OFFSET('[5]Transmission Annual Data'!$AF$1,0,0,COUNTA('[5]Transmission Annual Data'!$AF:$AF),COUNTA('[5]Transmission Annual Data'!$AF$1:$BG$1))</definedName>
    <definedName name="FileName">'[1]Control Form'!$B$3</definedName>
    <definedName name="HYS_LIST">'[1]Automation Support'!$M$102</definedName>
    <definedName name="NewGasError">'[1]Portfolio by Category'!$G$58</definedName>
    <definedName name="NPVCost">'[4]PVRR Table'!$X$54</definedName>
    <definedName name="NUC_LIST">'[1]Automation Support'!$L$102</definedName>
    <definedName name="OutputLocation">'[4]Control Panel'!$B$7</definedName>
    <definedName name="ResourceTbl">'[6]Proj Attrib List'!$A$1:$E$442</definedName>
    <definedName name="RetireCompareCol">'[1]Data Check'!$D$21</definedName>
    <definedName name="RetireCompareColumn">'[1]Thermal Retirements'!#REF!</definedName>
    <definedName name="RunName">'[1]Control Form'!$B$7</definedName>
    <definedName name="StudyName">'[4]Control Panel'!$B$6</definedName>
    <definedName name="StudySaveName">'[4]Control Panel'!$B$8</definedName>
    <definedName name="StudyType">'[1]Data Check'!$M$3</definedName>
    <definedName name="Tbl_Coal_EndofLife">[4]CoalPlants!$O$77:$T$103</definedName>
    <definedName name="TBL_DSMFactor">'[4]EPM Tables'!$L$38:$M$44</definedName>
    <definedName name="Tbl_MasterResource">[4]TBL_ResourceMaster!$A:$W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I6" i="3"/>
  <c r="G6" i="3"/>
  <c r="G8" i="3" s="1"/>
  <c r="X5" i="1"/>
  <c r="K7" i="1"/>
  <c r="D7" i="1"/>
  <c r="D5" i="1"/>
  <c r="X4" i="1"/>
  <c r="Y4" i="1"/>
  <c r="Z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E4" i="1"/>
  <c r="F4" i="1"/>
  <c r="G4" i="1"/>
  <c r="D4" i="1"/>
  <c r="T72" i="1"/>
  <c r="T8" i="1" s="1"/>
  <c r="P71" i="1"/>
  <c r="S71" i="1"/>
  <c r="K71" i="1"/>
  <c r="X62" i="1"/>
  <c r="U56" i="1"/>
  <c r="T56" i="1"/>
  <c r="S56" i="1"/>
  <c r="R56" i="1"/>
  <c r="M56" i="1"/>
  <c r="L56" i="1"/>
  <c r="K56" i="1"/>
  <c r="J56" i="1"/>
  <c r="E56" i="1"/>
  <c r="D56" i="1"/>
  <c r="U7" i="1"/>
  <c r="R7" i="1"/>
  <c r="M7" i="1"/>
  <c r="E7" i="1"/>
  <c r="G7" i="1"/>
  <c r="Q7" i="1"/>
  <c r="O7" i="1"/>
  <c r="N7" i="1"/>
  <c r="I7" i="1"/>
  <c r="U50" i="1"/>
  <c r="T50" i="1"/>
  <c r="S50" i="1"/>
  <c r="R50" i="1"/>
  <c r="M50" i="1"/>
  <c r="L50" i="1"/>
  <c r="K50" i="1"/>
  <c r="J50" i="1"/>
  <c r="I50" i="1"/>
  <c r="E50" i="1"/>
  <c r="W7" i="1"/>
  <c r="V7" i="1"/>
  <c r="S7" i="1"/>
  <c r="J7" i="1"/>
  <c r="F7" i="1"/>
  <c r="X3" i="1"/>
  <c r="H72" i="1" l="1"/>
  <c r="H8" i="1" s="1"/>
  <c r="H9" i="1" s="1"/>
  <c r="H12" i="1" s="1"/>
  <c r="P72" i="1"/>
  <c r="P8" i="1" s="1"/>
  <c r="I71" i="1"/>
  <c r="Q71" i="1"/>
  <c r="J71" i="1"/>
  <c r="R71" i="1"/>
  <c r="E71" i="1"/>
  <c r="M71" i="1"/>
  <c r="U71" i="1"/>
  <c r="I72" i="1"/>
  <c r="I8" i="1" s="1"/>
  <c r="I9" i="1" s="1"/>
  <c r="I12" i="1" s="1"/>
  <c r="Q72" i="1"/>
  <c r="Q8" i="1" s="1"/>
  <c r="Q9" i="1" s="1"/>
  <c r="Q12" i="1" s="1"/>
  <c r="D72" i="1"/>
  <c r="D8" i="1" s="1"/>
  <c r="D9" i="1" s="1"/>
  <c r="D12" i="1" s="1"/>
  <c r="L72" i="1"/>
  <c r="L8" i="1" s="1"/>
  <c r="L9" i="1" s="1"/>
  <c r="L12" i="1" s="1"/>
  <c r="F50" i="1"/>
  <c r="F58" i="1" s="1"/>
  <c r="N50" i="1"/>
  <c r="N58" i="1" s="1"/>
  <c r="V50" i="1"/>
  <c r="V5" i="1" s="1"/>
  <c r="V6" i="1" s="1"/>
  <c r="F56" i="1"/>
  <c r="N56" i="1"/>
  <c r="V56" i="1"/>
  <c r="D71" i="1"/>
  <c r="L71" i="1"/>
  <c r="T71" i="1"/>
  <c r="G50" i="1"/>
  <c r="O50" i="1"/>
  <c r="O58" i="1" s="1"/>
  <c r="W50" i="1"/>
  <c r="W58" i="1" s="1"/>
  <c r="G56" i="1"/>
  <c r="O56" i="1"/>
  <c r="W56" i="1"/>
  <c r="E72" i="1"/>
  <c r="E8" i="1" s="1"/>
  <c r="E9" i="1" s="1"/>
  <c r="E12" i="1" s="1"/>
  <c r="M72" i="1"/>
  <c r="M8" i="1" s="1"/>
  <c r="M9" i="1" s="1"/>
  <c r="M12" i="1" s="1"/>
  <c r="U72" i="1"/>
  <c r="U8" i="1" s="1"/>
  <c r="U9" i="1" s="1"/>
  <c r="U12" i="1" s="1"/>
  <c r="D50" i="1"/>
  <c r="D58" i="1" s="1"/>
  <c r="H50" i="1"/>
  <c r="H58" i="1" s="1"/>
  <c r="P50" i="1"/>
  <c r="L7" i="1"/>
  <c r="T7" i="1"/>
  <c r="T9" i="1" s="1"/>
  <c r="T12" i="1" s="1"/>
  <c r="H7" i="1"/>
  <c r="P7" i="1"/>
  <c r="X7" i="1" s="1"/>
  <c r="H56" i="1"/>
  <c r="P56" i="1"/>
  <c r="P58" i="1" s="1"/>
  <c r="F72" i="1"/>
  <c r="F8" i="1" s="1"/>
  <c r="F9" i="1" s="1"/>
  <c r="F12" i="1" s="1"/>
  <c r="N72" i="1"/>
  <c r="N8" i="1" s="1"/>
  <c r="N9" i="1" s="1"/>
  <c r="N12" i="1" s="1"/>
  <c r="V72" i="1"/>
  <c r="V8" i="1" s="1"/>
  <c r="V9" i="1" s="1"/>
  <c r="V12" i="1" s="1"/>
  <c r="H71" i="1"/>
  <c r="Q50" i="1"/>
  <c r="Q5" i="1" s="1"/>
  <c r="Q6" i="1" s="1"/>
  <c r="I56" i="1"/>
  <c r="Q56" i="1"/>
  <c r="G72" i="1"/>
  <c r="G8" i="1" s="1"/>
  <c r="G9" i="1" s="1"/>
  <c r="G12" i="1" s="1"/>
  <c r="O72" i="1"/>
  <c r="O8" i="1" s="1"/>
  <c r="O9" i="1" s="1"/>
  <c r="O12" i="1" s="1"/>
  <c r="W72" i="1"/>
  <c r="W8" i="1" s="1"/>
  <c r="W9" i="1" s="1"/>
  <c r="W12" i="1" s="1"/>
  <c r="R58" i="1"/>
  <c r="R5" i="1"/>
  <c r="R6" i="1" s="1"/>
  <c r="K58" i="1"/>
  <c r="K5" i="1"/>
  <c r="S58" i="1"/>
  <c r="S5" i="1"/>
  <c r="I58" i="1"/>
  <c r="I5" i="1"/>
  <c r="I6" i="1" s="1"/>
  <c r="W15" i="1"/>
  <c r="W16" i="1" s="1"/>
  <c r="W17" i="1" s="1"/>
  <c r="W13" i="1"/>
  <c r="W14" i="1" s="1"/>
  <c r="J58" i="1"/>
  <c r="J5" i="1"/>
  <c r="J6" i="1" s="1"/>
  <c r="L5" i="1"/>
  <c r="L6" i="1" s="1"/>
  <c r="L58" i="1"/>
  <c r="T5" i="1"/>
  <c r="T6" i="1" s="1"/>
  <c r="T58" i="1"/>
  <c r="M58" i="1"/>
  <c r="M5" i="1"/>
  <c r="M6" i="1"/>
  <c r="V58" i="1"/>
  <c r="Q58" i="1"/>
  <c r="U58" i="1"/>
  <c r="U5" i="1"/>
  <c r="U6" i="1" s="1"/>
  <c r="G58" i="1"/>
  <c r="G5" i="1"/>
  <c r="G6" i="1" s="1"/>
  <c r="E58" i="1"/>
  <c r="E5" i="1"/>
  <c r="E6" i="1" s="1"/>
  <c r="P5" i="1"/>
  <c r="N15" i="1"/>
  <c r="N16" i="1" s="1"/>
  <c r="N17" i="1" s="1"/>
  <c r="N13" i="1"/>
  <c r="N14" i="1" s="1"/>
  <c r="V13" i="1"/>
  <c r="V14" i="1" s="1"/>
  <c r="V15" i="1"/>
  <c r="V16" i="1" s="1"/>
  <c r="V17" i="1" s="1"/>
  <c r="Z7" i="1"/>
  <c r="P6" i="1"/>
  <c r="F71" i="1"/>
  <c r="N71" i="1"/>
  <c r="V71" i="1"/>
  <c r="J72" i="1"/>
  <c r="J8" i="1" s="1"/>
  <c r="J9" i="1" s="1"/>
  <c r="J12" i="1" s="1"/>
  <c r="R72" i="1"/>
  <c r="R8" i="1" s="1"/>
  <c r="R9" i="1" s="1"/>
  <c r="R12" i="1" s="1"/>
  <c r="G71" i="1"/>
  <c r="O71" i="1"/>
  <c r="W71" i="1"/>
  <c r="K72" i="1"/>
  <c r="K8" i="1" s="1"/>
  <c r="S72" i="1"/>
  <c r="S8" i="1" s="1"/>
  <c r="S9" i="1" s="1"/>
  <c r="S12" i="1" s="1"/>
  <c r="Y3" i="1"/>
  <c r="K6" i="1"/>
  <c r="S6" i="1"/>
  <c r="J6" i="3"/>
  <c r="Z3" i="1"/>
  <c r="T13" i="1" l="1"/>
  <c r="T14" i="1" s="1"/>
  <c r="T15" i="1"/>
  <c r="T16" i="1" s="1"/>
  <c r="T17" i="1" s="1"/>
  <c r="Y7" i="1"/>
  <c r="H5" i="1"/>
  <c r="H6" i="1" s="1"/>
  <c r="N5" i="1"/>
  <c r="N6" i="1" s="1"/>
  <c r="W5" i="1"/>
  <c r="W6" i="1" s="1"/>
  <c r="D6" i="1"/>
  <c r="F5" i="1"/>
  <c r="F6" i="1" s="1"/>
  <c r="O5" i="1"/>
  <c r="O6" i="1" s="1"/>
  <c r="P9" i="1"/>
  <c r="P12" i="1" s="1"/>
  <c r="L15" i="1"/>
  <c r="L16" i="1" s="1"/>
  <c r="L17" i="1" s="1"/>
  <c r="L13" i="1"/>
  <c r="L14" i="1" s="1"/>
  <c r="K9" i="1"/>
  <c r="K12" i="1" s="1"/>
  <c r="Z8" i="1"/>
  <c r="Z9" i="1" s="1"/>
  <c r="Z12" i="1" s="1"/>
  <c r="Y8" i="1"/>
  <c r="X8" i="1"/>
  <c r="X9" i="1" s="1"/>
  <c r="X12" i="1" s="1"/>
  <c r="O20" i="1"/>
  <c r="H7" i="3"/>
  <c r="H9" i="3" s="1"/>
  <c r="H10" i="3" s="1"/>
  <c r="R15" i="1"/>
  <c r="R16" i="1" s="1"/>
  <c r="R17" i="1" s="1"/>
  <c r="R13" i="1"/>
  <c r="R14" i="1" s="1"/>
  <c r="M15" i="1"/>
  <c r="M16" i="1" s="1"/>
  <c r="M17" i="1" s="1"/>
  <c r="M13" i="1"/>
  <c r="M14" i="1" s="1"/>
  <c r="U15" i="1"/>
  <c r="U16" i="1" s="1"/>
  <c r="U17" i="1" s="1"/>
  <c r="U13" i="1"/>
  <c r="U14" i="1" s="1"/>
  <c r="O15" i="1"/>
  <c r="O16" i="1" s="1"/>
  <c r="O17" i="1" s="1"/>
  <c r="O13" i="1"/>
  <c r="O14" i="1" s="1"/>
  <c r="Q15" i="1"/>
  <c r="Q16" i="1" s="1"/>
  <c r="Q17" i="1" s="1"/>
  <c r="Q13" i="1"/>
  <c r="Q14" i="1" s="1"/>
  <c r="N20" i="1"/>
  <c r="P15" i="1"/>
  <c r="P16" i="1" s="1"/>
  <c r="P17" i="1" s="1"/>
  <c r="P13" i="1"/>
  <c r="P14" i="1" s="1"/>
  <c r="G7" i="3"/>
  <c r="G9" i="3" s="1"/>
  <c r="I7" i="3"/>
  <c r="Z5" i="1" l="1"/>
  <c r="Y5" i="1"/>
  <c r="H8" i="3"/>
  <c r="Y9" i="1"/>
  <c r="Y12" i="1" s="1"/>
  <c r="X15" i="1"/>
  <c r="X16" i="1" s="1"/>
  <c r="X17" i="1" s="1"/>
  <c r="X13" i="1"/>
  <c r="X14" i="1" s="1"/>
  <c r="Y15" i="1"/>
  <c r="Y16" i="1" s="1"/>
  <c r="Y17" i="1" s="1"/>
  <c r="Y13" i="1"/>
  <c r="Y14" i="1" s="1"/>
  <c r="O21" i="1"/>
  <c r="O22" i="1" s="1"/>
  <c r="O23" i="1"/>
  <c r="O24" i="1" s="1"/>
  <c r="O25" i="1" s="1"/>
  <c r="M20" i="1"/>
  <c r="S15" i="1"/>
  <c r="S16" i="1" s="1"/>
  <c r="S17" i="1" s="1"/>
  <c r="S13" i="1"/>
  <c r="S14" i="1" s="1"/>
  <c r="N21" i="1"/>
  <c r="N22" i="1" s="1"/>
  <c r="N23" i="1"/>
  <c r="N24" i="1" s="1"/>
  <c r="N25" i="1" s="1"/>
  <c r="Z15" i="1"/>
  <c r="Z16" i="1" s="1"/>
  <c r="Z17" i="1" s="1"/>
  <c r="Z13" i="1"/>
  <c r="Z14" i="1" s="1"/>
  <c r="J7" i="3"/>
  <c r="G10" i="3"/>
  <c r="I9" i="3"/>
  <c r="I10" i="3" s="1"/>
  <c r="I8" i="3"/>
  <c r="K15" i="1" l="1"/>
  <c r="K16" i="1" s="1"/>
  <c r="K17" i="1" s="1"/>
  <c r="K13" i="1"/>
  <c r="K14" i="1" s="1"/>
  <c r="M23" i="1"/>
  <c r="M24" i="1" s="1"/>
  <c r="M25" i="1" s="1"/>
  <c r="M21" i="1"/>
  <c r="M22" i="1" s="1"/>
  <c r="J8" i="3"/>
  <c r="J10" i="3"/>
</calcChain>
</file>

<file path=xl/sharedStrings.xml><?xml version="1.0" encoding="utf-8"?>
<sst xmlns="http://schemas.openxmlformats.org/spreadsheetml/2006/main" count="86" uniqueCount="76">
  <si>
    <t>Notes</t>
  </si>
  <si>
    <t>WA Allocation of System Energy</t>
  </si>
  <si>
    <t>Proxy Market (allocation to Load)</t>
  </si>
  <si>
    <t>Assumed to be the source of energy covering the gap between allocaiton and load</t>
  </si>
  <si>
    <t>WA Non-emitting (MWh)</t>
  </si>
  <si>
    <t>WA REC Generating Resources (MWh)</t>
  </si>
  <si>
    <t>Total CETA compliant</t>
  </si>
  <si>
    <t>Alt Compliance</t>
  </si>
  <si>
    <t>% shortfall from 80% bundled target</t>
  </si>
  <si>
    <t>MWh Shortfall</t>
  </si>
  <si>
    <t xml:space="preserve">Capacity shortfall </t>
  </si>
  <si>
    <t xml:space="preserve"> -----------------------------------------------------------------------------  Input data below ----------------------------------------------------------------------------</t>
  </si>
  <si>
    <t>2031-2045 Interim Targets for 100% Renewable energy</t>
  </si>
  <si>
    <t>Extrapolated Targets</t>
  </si>
  <si>
    <t>Targets through IRP Horizon</t>
  </si>
  <si>
    <t>Neutrality Targets through 2030</t>
  </si>
  <si>
    <t>Contract Interruptible</t>
  </si>
  <si>
    <t>Contract NonOwned Reserve</t>
  </si>
  <si>
    <t>Gas</t>
  </si>
  <si>
    <t>Geothermal</t>
  </si>
  <si>
    <t>Hydro</t>
  </si>
  <si>
    <t>New Hydro Storage</t>
  </si>
  <si>
    <t>New Non-emitting Peaking</t>
  </si>
  <si>
    <t>New Nuclear</t>
  </si>
  <si>
    <t>New Solar, Solar + Storage</t>
  </si>
  <si>
    <t>New Wind, Wind + Storage</t>
  </si>
  <si>
    <t>Solar</t>
  </si>
  <si>
    <t>Wind</t>
  </si>
  <si>
    <t>Total (Generation, no storage)</t>
  </si>
  <si>
    <t>Batteries</t>
  </si>
  <si>
    <t>New Nuclear Storage</t>
  </si>
  <si>
    <t>New PVS Batteries</t>
  </si>
  <si>
    <t>New Stand Alone</t>
  </si>
  <si>
    <t>Total (only storage)</t>
  </si>
  <si>
    <t>Grand Total</t>
  </si>
  <si>
    <t>REC Accounting</t>
  </si>
  <si>
    <t>Washington Retail Sales</t>
  </si>
  <si>
    <t>% of Retail Sales</t>
  </si>
  <si>
    <t>% of Retail Sales wt Alt Compliance</t>
  </si>
  <si>
    <t>Retail Electric Sales</t>
  </si>
  <si>
    <t>Projected Renewable and Nonemitting Energy</t>
  </si>
  <si>
    <t>Net Retail Sales</t>
  </si>
  <si>
    <t>Total</t>
  </si>
  <si>
    <t xml:space="preserve">Target Percentage      </t>
  </si>
  <si>
    <t>Interim Compliance Target</t>
  </si>
  <si>
    <t>Generation Category (no REC Accounting)</t>
  </si>
  <si>
    <t>trends linearly extrapolated to 100% target in 2045</t>
  </si>
  <si>
    <t>WA load net of DSM, PG</t>
  </si>
  <si>
    <t>all generating resources</t>
  </si>
  <si>
    <t>Scenario 1 - CETA compliant energy as % of WA Load: annual compliance period</t>
  </si>
  <si>
    <t>Scenario 1-b - CETA compliant energy as % of WA load: four-year compliance period</t>
  </si>
  <si>
    <t>2030-2033</t>
  </si>
  <si>
    <t>2034-2037</t>
  </si>
  <si>
    <t>2038-2041</t>
  </si>
  <si>
    <t>% of Retail Sales Across Period</t>
  </si>
  <si>
    <t>MWh Shortfall (across total period)</t>
  </si>
  <si>
    <t>Capacity shortfall (MW)</t>
  </si>
  <si>
    <t>Coal (+Gas Conversion)</t>
  </si>
  <si>
    <t>Contract Purchase</t>
  </si>
  <si>
    <t>Contract Sale</t>
  </si>
  <si>
    <t>QF Other</t>
  </si>
  <si>
    <t>QF Solar</t>
  </si>
  <si>
    <t>QF Wind</t>
  </si>
  <si>
    <t>RFP Solar</t>
  </si>
  <si>
    <t>RFP Wind</t>
  </si>
  <si>
    <t>RFP Storage</t>
  </si>
  <si>
    <t>Total Gen (generation + storage)</t>
  </si>
  <si>
    <t>2023-2030 Interim Targets for 100% GHG Neutrality</t>
  </si>
  <si>
    <t>1 Originally estimated target for 2022 based on Refiled 2021 CEIP, March 13, 2023</t>
  </si>
  <si>
    <r>
      <rPr>
        <b/>
        <sz val="11"/>
        <color rgb="FFFF0000"/>
        <rFont val="Calibri"/>
        <family val="2"/>
        <scheme val="minor"/>
      </rPr>
      <t>Table O.xx</t>
    </r>
    <r>
      <rPr>
        <b/>
        <sz val="11"/>
        <color theme="1"/>
        <rFont val="Calibri"/>
        <family val="2"/>
        <scheme val="minor"/>
      </rPr>
      <t xml:space="preserve"> -- Interim Compliance Targets (MWh)</t>
    </r>
  </si>
  <si>
    <t>Includes Hydro, Nuclear, Non-emitting peakers</t>
  </si>
  <si>
    <t>Excludes hydro RECs</t>
  </si>
  <si>
    <t>REC Exclude Hydro</t>
  </si>
  <si>
    <t>Excluding MWh per RCW 19.405.020(36)(a)</t>
  </si>
  <si>
    <t>WA QF</t>
  </si>
  <si>
    <t>Washington Retail Sales RCW 19.405.020(36)(a)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</si>
</sst>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595959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/>
    <xf numFmtId="164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wrapText="1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9" fontId="0" fillId="0" borderId="0" xfId="0" applyNumberFormat="1"/>
    <xf numFmtId="0" fontId="2" fillId="0" borderId="1" xfId="0" applyFont="1" applyBorder="1"/>
    <xf numFmtId="0" fontId="0" fillId="0" borderId="1" xfId="0" applyFont="1" applyBorder="1"/>
    <xf numFmtId="3" fontId="0" fillId="0" borderId="1" xfId="0" applyNumberFormat="1" applyBorder="1"/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6" xfId="0" applyFont="1" applyBorder="1"/>
    <xf numFmtId="3" fontId="0" fillId="0" borderId="16" xfId="0" applyNumberFormat="1" applyBorder="1"/>
    <xf numFmtId="0" fontId="0" fillId="0" borderId="15" xfId="0" applyBorder="1" applyAlignment="1">
      <alignment horizontal="right"/>
    </xf>
    <xf numFmtId="9" fontId="0" fillId="0" borderId="15" xfId="0" applyNumberFormat="1" applyBorder="1"/>
    <xf numFmtId="3" fontId="0" fillId="0" borderId="1" xfId="0" applyNumberFormat="1" applyBorder="1"/>
    <xf numFmtId="9" fontId="0" fillId="0" borderId="15" xfId="0" applyNumberFormat="1" applyBorder="1"/>
    <xf numFmtId="9" fontId="4" fillId="8" borderId="5" xfId="0" applyNumberFormat="1" applyFont="1" applyFill="1" applyBorder="1" applyAlignment="1">
      <alignment horizontal="center"/>
    </xf>
    <xf numFmtId="9" fontId="4" fillId="8" borderId="0" xfId="0" applyNumberFormat="1" applyFont="1" applyFill="1" applyAlignment="1">
      <alignment horizontal="center"/>
    </xf>
    <xf numFmtId="9" fontId="4" fillId="8" borderId="1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8" borderId="5" xfId="1" applyNumberFormat="1" applyFont="1" applyFill="1" applyBorder="1" applyAlignment="1">
      <alignment horizontal="center"/>
    </xf>
    <xf numFmtId="164" fontId="3" fillId="8" borderId="0" xfId="1" applyNumberFormat="1" applyFont="1" applyFill="1" applyBorder="1" applyAlignment="1">
      <alignment horizontal="center"/>
    </xf>
    <xf numFmtId="164" fontId="3" fillId="8" borderId="10" xfId="1" applyNumberFormat="1" applyFont="1" applyFill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164" fontId="3" fillId="4" borderId="12" xfId="1" applyNumberFormat="1" applyFont="1" applyFill="1" applyBorder="1" applyAlignment="1">
      <alignment horizontal="center"/>
    </xf>
    <xf numFmtId="164" fontId="3" fillId="4" borderId="13" xfId="1" applyNumberFormat="1" applyFont="1" applyFill="1" applyBorder="1" applyAlignment="1">
      <alignment horizontal="center"/>
    </xf>
    <xf numFmtId="3" fontId="0" fillId="9" borderId="1" xfId="0" applyNumberFormat="1" applyFill="1" applyBorder="1"/>
    <xf numFmtId="9" fontId="0" fillId="9" borderId="15" xfId="0" applyNumberFormat="1" applyFill="1" applyBorder="1"/>
    <xf numFmtId="3" fontId="0" fillId="9" borderId="16" xfId="0" applyNumberForma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8" borderId="2" xfId="1" applyNumberFormat="1" applyFont="1" applyFill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164" fontId="3" fillId="0" borderId="6" xfId="0" applyNumberFormat="1" applyFont="1" applyBorder="1" applyAlignment="1">
      <alignment horizontal="center"/>
    </xf>
    <xf numFmtId="164" fontId="3" fillId="8" borderId="18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3" fontId="4" fillId="8" borderId="2" xfId="0" applyNumberFormat="1" applyFont="1" applyFill="1" applyBorder="1" applyAlignment="1">
      <alignment horizontal="center"/>
    </xf>
    <xf numFmtId="3" fontId="4" fillId="8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8" borderId="2" xfId="1" applyNumberFormat="1" applyFont="1" applyFill="1" applyBorder="1" applyAlignment="1">
      <alignment horizontal="center"/>
    </xf>
    <xf numFmtId="0" fontId="4" fillId="8" borderId="0" xfId="0" applyFont="1" applyFill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8" borderId="7" xfId="1" applyNumberFormat="1" applyFont="1" applyFill="1" applyBorder="1" applyAlignment="1">
      <alignment horizontal="center"/>
    </xf>
    <xf numFmtId="0" fontId="4" fillId="8" borderId="8" xfId="0" applyFont="1" applyFill="1" applyBorder="1"/>
    <xf numFmtId="0" fontId="4" fillId="8" borderId="9" xfId="0" applyFont="1" applyFill="1" applyBorder="1"/>
    <xf numFmtId="0" fontId="3" fillId="0" borderId="5" xfId="0" applyFont="1" applyBorder="1"/>
    <xf numFmtId="9" fontId="3" fillId="0" borderId="0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9" fontId="4" fillId="8" borderId="5" xfId="2" applyFont="1" applyFill="1" applyBorder="1" applyAlignment="1">
      <alignment horizontal="center"/>
    </xf>
    <xf numFmtId="9" fontId="4" fillId="8" borderId="0" xfId="2" applyFont="1" applyFill="1" applyBorder="1" applyAlignment="1">
      <alignment horizontal="center"/>
    </xf>
    <xf numFmtId="9" fontId="4" fillId="8" borderId="10" xfId="2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8" borderId="5" xfId="0" applyNumberFormat="1" applyFont="1" applyFill="1" applyBorder="1" applyAlignment="1">
      <alignment horizontal="center"/>
    </xf>
    <xf numFmtId="9" fontId="3" fillId="8" borderId="0" xfId="0" applyNumberFormat="1" applyFont="1" applyFill="1" applyAlignment="1">
      <alignment horizontal="center"/>
    </xf>
    <xf numFmtId="9" fontId="3" fillId="8" borderId="10" xfId="0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3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4" borderId="12" xfId="1" quotePrefix="1" applyNumberFormat="1" applyFont="1" applyFill="1" applyBorder="1" applyAlignment="1">
      <alignment horizontal="center"/>
    </xf>
    <xf numFmtId="164" fontId="3" fillId="8" borderId="11" xfId="1" quotePrefix="1" applyNumberFormat="1" applyFont="1" applyFill="1" applyBorder="1" applyAlignment="1">
      <alignment horizontal="center"/>
    </xf>
    <xf numFmtId="164" fontId="3" fillId="8" borderId="12" xfId="1" quotePrefix="1" applyNumberFormat="1" applyFont="1" applyFill="1" applyBorder="1" applyAlignment="1">
      <alignment horizontal="center"/>
    </xf>
    <xf numFmtId="164" fontId="3" fillId="8" borderId="13" xfId="1" quotePrefix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3" fillId="0" borderId="8" xfId="0" applyFont="1" applyBorder="1"/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9" fontId="3" fillId="0" borderId="0" xfId="1" applyNumberFormat="1" applyFont="1" applyFill="1" applyBorder="1" applyAlignment="1">
      <alignment horizontal="center"/>
    </xf>
    <xf numFmtId="9" fontId="3" fillId="0" borderId="10" xfId="1" applyNumberFormat="1" applyFont="1" applyFill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4" fillId="0" borderId="17" xfId="0" applyFont="1" applyBorder="1"/>
    <xf numFmtId="164" fontId="4" fillId="0" borderId="17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164" fontId="4" fillId="0" borderId="19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0B4D2"/>
      <color rgb="FF598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Compliant Energy to Serve Washington</a:t>
            </a:r>
            <a:r>
              <a:rPr lang="en-US" baseline="0"/>
              <a:t> Retail Sales</a:t>
            </a:r>
          </a:p>
          <a:p>
            <a:pPr>
              <a:defRPr/>
            </a:pPr>
            <a:r>
              <a:rPr lang="en-US" baseline="0"/>
              <a:t>Forecasted 2023 - 2045 </a:t>
            </a:r>
            <a:endParaRPr lang="en-US"/>
          </a:p>
        </c:rich>
      </c:tx>
      <c:layout>
        <c:manualLayout>
          <c:xMode val="edge"/>
          <c:yMode val="edge"/>
          <c:x val="0.29069338448597226"/>
          <c:y val="2.2629101049868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Total CETA-compliant Energy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 CETA Summary'!$D$2:$Z$2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'WA CETA Summary'!$D$9:$Z$9</c:f>
              <c:numCache>
                <c:formatCode>#,##0</c:formatCode>
                <c:ptCount val="23"/>
                <c:pt idx="0">
                  <c:v>1081277.4479032669</c:v>
                </c:pt>
                <c:pt idx="1">
                  <c:v>1028235.6508171868</c:v>
                </c:pt>
                <c:pt idx="2">
                  <c:v>1367667.3227981552</c:v>
                </c:pt>
                <c:pt idx="3">
                  <c:v>1648264.9426983572</c:v>
                </c:pt>
                <c:pt idx="4">
                  <c:v>1611189.2957115059</c:v>
                </c:pt>
                <c:pt idx="5">
                  <c:v>2177022.2975026374</c:v>
                </c:pt>
                <c:pt idx="6">
                  <c:v>2516107.7112239529</c:v>
                </c:pt>
                <c:pt idx="7">
                  <c:v>3336333.8260031687</c:v>
                </c:pt>
                <c:pt idx="8">
                  <c:v>3272800.6253871941</c:v>
                </c:pt>
                <c:pt idx="9">
                  <c:v>4682295.881035395</c:v>
                </c:pt>
                <c:pt idx="10">
                  <c:v>5345139.6990205022</c:v>
                </c:pt>
                <c:pt idx="11">
                  <c:v>5477657.390479194</c:v>
                </c:pt>
                <c:pt idx="12">
                  <c:v>5520106.7198199611</c:v>
                </c:pt>
                <c:pt idx="13">
                  <c:v>5534440.7199544376</c:v>
                </c:pt>
                <c:pt idx="14">
                  <c:v>5704340.2496662112</c:v>
                </c:pt>
                <c:pt idx="15">
                  <c:v>5695378.0433378043</c:v>
                </c:pt>
                <c:pt idx="16">
                  <c:v>5677019.0912826611</c:v>
                </c:pt>
                <c:pt idx="17">
                  <c:v>5289011.8770197043</c:v>
                </c:pt>
                <c:pt idx="18">
                  <c:v>5300748.2439786429</c:v>
                </c:pt>
                <c:pt idx="19">
                  <c:v>5317273.9462800846</c:v>
                </c:pt>
                <c:pt idx="20">
                  <c:v>6091255.70913212</c:v>
                </c:pt>
                <c:pt idx="21">
                  <c:v>6234484.0377634764</c:v>
                </c:pt>
                <c:pt idx="22">
                  <c:v>6377712.3663948178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C4-480A-956D-49AA2441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252208"/>
        <c:axId val="1890245968"/>
      </c:lineChart>
      <c:catAx>
        <c:axId val="18902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45968"/>
        <c:crosses val="autoZero"/>
        <c:auto val="1"/>
        <c:lblAlgn val="ctr"/>
        <c:lblOffset val="100"/>
        <c:noMultiLvlLbl val="0"/>
      </c:catAx>
      <c:valAx>
        <c:axId val="1890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GHG Neutrality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Summary'!$D$2:$K$2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Summary'!$D$12:$K$12</c:f>
              <c:numCache>
                <c:formatCode>0%</c:formatCode>
                <c:ptCount val="8"/>
                <c:pt idx="0">
                  <c:v>0.26188974744660543</c:v>
                </c:pt>
                <c:pt idx="1">
                  <c:v>0.24829971305742471</c:v>
                </c:pt>
                <c:pt idx="2">
                  <c:v>0.33305862095937561</c:v>
                </c:pt>
                <c:pt idx="3">
                  <c:v>0.40274452974345137</c:v>
                </c:pt>
                <c:pt idx="4">
                  <c:v>0.39425191399750042</c:v>
                </c:pt>
                <c:pt idx="5">
                  <c:v>0.53171901317412795</c:v>
                </c:pt>
                <c:pt idx="6">
                  <c:v>0.61651990321322592</c:v>
                </c:pt>
                <c:pt idx="7">
                  <c:v>0.81778553694350598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5-4FC3-8AE8-94EF31DAC2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Interim Targets to Achieve 100%</a:t>
            </a:r>
            <a:r>
              <a:rPr lang="en-US" baseline="0"/>
              <a:t> Renewble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Summary'!$L$12:$Z$12</c:f>
              <c:numCache>
                <c:formatCode>0%</c:formatCode>
                <c:ptCount val="15"/>
                <c:pt idx="0">
                  <c:v>0.80098783304199694</c:v>
                </c:pt>
                <c:pt idx="1">
                  <c:v>1.142663659667341</c:v>
                </c:pt>
                <c:pt idx="2">
                  <c:v>1.3064865382433106</c:v>
                </c:pt>
                <c:pt idx="3">
                  <c:v>1.3363142614685846</c:v>
                </c:pt>
                <c:pt idx="4">
                  <c:v>1.3431374506601581</c:v>
                </c:pt>
                <c:pt idx="5">
                  <c:v>1.3379383632161608</c:v>
                </c:pt>
                <c:pt idx="6">
                  <c:v>1.3754717300514567</c:v>
                </c:pt>
                <c:pt idx="7">
                  <c:v>1.3649840001983766</c:v>
                </c:pt>
                <c:pt idx="8">
                  <c:v>1.3506922169619311</c:v>
                </c:pt>
                <c:pt idx="9">
                  <c:v>1.2458235375336937</c:v>
                </c:pt>
                <c:pt idx="10">
                  <c:v>1.2409797874970645</c:v>
                </c:pt>
                <c:pt idx="11">
                  <c:v>1.2316205945410761</c:v>
                </c:pt>
                <c:pt idx="12">
                  <c:v>1.4184510481309534</c:v>
                </c:pt>
                <c:pt idx="13">
                  <c:v>1.4454082956757368</c:v>
                </c:pt>
                <c:pt idx="14">
                  <c:v>1.4721290666473739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730-9DBA-2CEABF6F2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rgbClr val="70B4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Summary'!$D$2:$J$2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Summary'!$D$12:$J$12</c:f>
              <c:numCache>
                <c:formatCode>0%</c:formatCode>
                <c:ptCount val="7"/>
                <c:pt idx="0">
                  <c:v>0.26188974744660543</c:v>
                </c:pt>
                <c:pt idx="1">
                  <c:v>0.24829971305742471</c:v>
                </c:pt>
                <c:pt idx="2">
                  <c:v>0.33305862095937561</c:v>
                </c:pt>
                <c:pt idx="3">
                  <c:v>0.40274452974345137</c:v>
                </c:pt>
                <c:pt idx="4">
                  <c:v>0.39425191399750042</c:v>
                </c:pt>
                <c:pt idx="5">
                  <c:v>0.53171901317412795</c:v>
                </c:pt>
                <c:pt idx="6">
                  <c:v>0.61651990321322592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6-4FA8-BE53-A40AAD7715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softEdge rad="127000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E-4705-BE8A-782D6D429E6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71E-4705-BE8A-782D6D429E6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E-4705-BE8A-782D6D429E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Summary'!$K$2:$Z$2</c:f>
              <c:numCache>
                <c:formatCode>General</c:formatCode>
                <c:ptCount val="16"/>
                <c:pt idx="0">
                  <c:v>2030</c:v>
                </c:pt>
                <c:pt idx="1">
                  <c:v>2031</c:v>
                </c:pt>
                <c:pt idx="2">
                  <c:v>2032</c:v>
                </c:pt>
                <c:pt idx="3">
                  <c:v>2033</c:v>
                </c:pt>
                <c:pt idx="4">
                  <c:v>2034</c:v>
                </c:pt>
                <c:pt idx="5">
                  <c:v>2035</c:v>
                </c:pt>
                <c:pt idx="6">
                  <c:v>2036</c:v>
                </c:pt>
                <c:pt idx="7">
                  <c:v>2037</c:v>
                </c:pt>
                <c:pt idx="8">
                  <c:v>2038</c:v>
                </c:pt>
                <c:pt idx="9">
                  <c:v>2039</c:v>
                </c:pt>
                <c:pt idx="10">
                  <c:v>2040</c:v>
                </c:pt>
                <c:pt idx="11">
                  <c:v>2041</c:v>
                </c:pt>
                <c:pt idx="12">
                  <c:v>2042</c:v>
                </c:pt>
                <c:pt idx="13">
                  <c:v>2043</c:v>
                </c:pt>
                <c:pt idx="14">
                  <c:v>2044</c:v>
                </c:pt>
                <c:pt idx="15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Summary'!$K$12:$Z$12</c:f>
              <c:numCache>
                <c:formatCode>0%</c:formatCode>
                <c:ptCount val="16"/>
                <c:pt idx="0">
                  <c:v>0.81778553694350598</c:v>
                </c:pt>
                <c:pt idx="1">
                  <c:v>0.80098783304199694</c:v>
                </c:pt>
                <c:pt idx="2">
                  <c:v>1.142663659667341</c:v>
                </c:pt>
                <c:pt idx="3">
                  <c:v>1.3064865382433106</c:v>
                </c:pt>
                <c:pt idx="4">
                  <c:v>1.3363142614685846</c:v>
                </c:pt>
                <c:pt idx="5">
                  <c:v>1.3431374506601581</c:v>
                </c:pt>
                <c:pt idx="6">
                  <c:v>1.3379383632161608</c:v>
                </c:pt>
                <c:pt idx="7">
                  <c:v>1.3754717300514567</c:v>
                </c:pt>
                <c:pt idx="8">
                  <c:v>1.3649840001983766</c:v>
                </c:pt>
                <c:pt idx="9">
                  <c:v>1.3506922169619311</c:v>
                </c:pt>
                <c:pt idx="10">
                  <c:v>1.2458235375336937</c:v>
                </c:pt>
                <c:pt idx="11">
                  <c:v>1.2409797874970645</c:v>
                </c:pt>
                <c:pt idx="12">
                  <c:v>1.2316205945410761</c:v>
                </c:pt>
                <c:pt idx="13">
                  <c:v>1.4184510481309534</c:v>
                </c:pt>
                <c:pt idx="14">
                  <c:v>1.4454082956757368</c:v>
                </c:pt>
                <c:pt idx="15">
                  <c:v>1.4721290666473739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705-BE8A-782D6D429E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softEdge rad="22860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1795390</xdr:colOff>
      <xdr:row>20</xdr:row>
      <xdr:rowOff>142420</xdr:rowOff>
    </xdr:from>
    <xdr:to>
      <xdr:col>29</xdr:col>
      <xdr:colOff>509814</xdr:colOff>
      <xdr:row>54</xdr:row>
      <xdr:rowOff>142420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C78EC-6603-469A-93E6-75CDF4392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3</xdr:row>
      <xdr:rowOff>0</xdr:rowOff>
    </xdr:from>
    <xdr:to>
      <xdr:col>10</xdr:col>
      <xdr:colOff>600076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9463B9-E73A-4075-900A-DEC736FA2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82550</xdr:colOff>
      <xdr:row>3</xdr:row>
      <xdr:rowOff>6350</xdr:rowOff>
    </xdr:from>
    <xdr:to>
      <xdr:col>20</xdr:col>
      <xdr:colOff>590550</xdr:colOff>
      <xdr:row>19</xdr:row>
      <xdr:rowOff>165099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F52BE0-AC4C-490A-973D-BFD6C010A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24</xdr:row>
      <xdr:rowOff>171450</xdr:rowOff>
    </xdr:from>
    <xdr:to>
      <xdr:col>16</xdr:col>
      <xdr:colOff>552450</xdr:colOff>
      <xdr:row>50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208B3B0C-3232-45AE-84EA-CA246F2B96E2}"/>
            </a:ext>
          </a:extLst>
        </xdr:cNvPr>
        <xdr:cNvSpPr/>
      </xdr:nvSpPr>
      <xdr:spPr>
        <a:xfrm>
          <a:off x="2431143" y="4580164"/>
          <a:ext cx="7845878" cy="4563836"/>
        </a:xfrm>
        <a:prstGeom prst="round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152401</xdr:colOff>
      <xdr:row>27</xdr:row>
      <xdr:rowOff>27214</xdr:rowOff>
    </xdr:from>
    <xdr:to>
      <xdr:col>9</xdr:col>
      <xdr:colOff>176893</xdr:colOff>
      <xdr:row>47</xdr:row>
      <xdr:rowOff>38100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FA8D69F-4313-4ECD-911F-B01DC4039DAC}"/>
            </a:ext>
          </a:extLst>
        </xdr:cNvPr>
        <xdr:cNvCxnSpPr/>
      </xdr:nvCxnSpPr>
      <xdr:spPr>
        <a:xfrm flipH="1">
          <a:off x="5663294" y="4898571"/>
          <a:ext cx="24492" cy="3548743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48</xdr:row>
      <xdr:rowOff>9525</xdr:rowOff>
    </xdr:from>
    <xdr:to>
      <xdr:col>5</xdr:col>
      <xdr:colOff>552450</xdr:colOff>
      <xdr:row>49</xdr:row>
      <xdr:rowOff>19050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A8A9C8B-8344-454C-8C3F-37BBB3C03BF7}"/>
            </a:ext>
          </a:extLst>
        </xdr:cNvPr>
        <xdr:cNvSpPr/>
      </xdr:nvSpPr>
      <xdr:spPr>
        <a:xfrm>
          <a:off x="3400425" y="9210675"/>
          <a:ext cx="200025" cy="200025"/>
        </a:xfrm>
        <a:prstGeom prst="rect">
          <a:avLst/>
        </a:prstGeom>
        <a:solidFill>
          <a:srgbClr val="70B4D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381000</xdr:colOff>
      <xdr:row>48</xdr:row>
      <xdr:rowOff>0</xdr:rowOff>
    </xdr:from>
    <xdr:to>
      <xdr:col>9</xdr:col>
      <xdr:colOff>581025</xdr:colOff>
      <xdr:row>49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AAAE6D3-07B3-4543-83BF-E0F4CBF9A0D4}"/>
            </a:ext>
          </a:extLst>
        </xdr:cNvPr>
        <xdr:cNvSpPr/>
      </xdr:nvSpPr>
      <xdr:spPr>
        <a:xfrm>
          <a:off x="5867400" y="9201150"/>
          <a:ext cx="200025" cy="200025"/>
        </a:xfrm>
        <a:prstGeom prst="rect">
          <a:avLst/>
        </a:prstGeom>
        <a:solidFill>
          <a:srgbClr val="5982C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361950</xdr:colOff>
      <xdr:row>48</xdr:row>
      <xdr:rowOff>9525</xdr:rowOff>
    </xdr:from>
    <xdr:to>
      <xdr:col>13</xdr:col>
      <xdr:colOff>561975</xdr:colOff>
      <xdr:row>49</xdr:row>
      <xdr:rowOff>19050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C258918-D70A-4DD7-85BF-A600631854A1}"/>
            </a:ext>
          </a:extLst>
        </xdr:cNvPr>
        <xdr:cNvSpPr/>
      </xdr:nvSpPr>
      <xdr:spPr>
        <a:xfrm>
          <a:off x="8286750" y="9210675"/>
          <a:ext cx="200025" cy="20002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12</xdr:col>
      <xdr:colOff>353784</xdr:colOff>
      <xdr:row>26</xdr:row>
      <xdr:rowOff>79829</xdr:rowOff>
    </xdr:from>
    <xdr:to>
      <xdr:col>14</xdr:col>
      <xdr:colOff>200029</xdr:colOff>
      <xdr:row>27</xdr:row>
      <xdr:rowOff>66221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98DC95C-4F8C-4951-B4E4-9DF53B3F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01641" y="4774293"/>
          <a:ext cx="1064538" cy="169635"/>
        </a:xfrm>
        <a:prstGeom prst="rect">
          <a:avLst/>
        </a:prstGeom>
      </xdr:spPr>
    </xdr:pic>
    <xdr:clientData/>
  </xdr:twoCellAnchor>
  <xdr:twoCellAnchor>
    <xdr:from>
      <xdr:col>4</xdr:col>
      <xdr:colOff>217714</xdr:colOff>
      <xdr:row>27</xdr:row>
      <xdr:rowOff>95250</xdr:rowOff>
    </xdr:from>
    <xdr:to>
      <xdr:col>9</xdr:col>
      <xdr:colOff>244928</xdr:colOff>
      <xdr:row>47</xdr:row>
      <xdr:rowOff>68036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94633FA-1337-4935-A565-65C262E70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64860</xdr:colOff>
      <xdr:row>27</xdr:row>
      <xdr:rowOff>95249</xdr:rowOff>
    </xdr:from>
    <xdr:to>
      <xdr:col>16</xdr:col>
      <xdr:colOff>408213</xdr:colOff>
      <xdr:row>47</xdr:row>
      <xdr:rowOff>85723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5611FC0-9083-42E9-9AB6-EEBD64E87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559706</xdr:colOff>
      <xdr:row>27</xdr:row>
      <xdr:rowOff>95250</xdr:rowOff>
    </xdr:from>
    <xdr:to>
      <xdr:col>16</xdr:col>
      <xdr:colOff>244929</xdr:colOff>
      <xdr:row>27</xdr:row>
      <xdr:rowOff>126092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1A19D4B-A962-4E8C-BB72-9CBA48B0BB12}"/>
            </a:ext>
          </a:extLst>
        </xdr:cNvPr>
        <xdr:cNvCxnSpPr/>
      </xdr:nvCxnSpPr>
      <xdr:spPr>
        <a:xfrm flipH="1">
          <a:off x="6070599" y="4966607"/>
          <a:ext cx="3971473" cy="30842"/>
        </a:xfrm>
        <a:prstGeom prst="line">
          <a:avLst/>
        </a:prstGeom>
        <a:ln w="412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388259</xdr:colOff>
      <xdr:row>25</xdr:row>
      <xdr:rowOff>34472</xdr:rowOff>
    </xdr:from>
    <xdr:to>
      <xdr:col>15</xdr:col>
      <xdr:colOff>476250</xdr:colOff>
      <xdr:row>26</xdr:row>
      <xdr:rowOff>112033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24A22D2-711C-2779-1ABC-EDC216EF9389}"/>
            </a:ext>
          </a:extLst>
        </xdr:cNvPr>
        <xdr:cNvSpPr txBox="1"/>
      </xdr:nvSpPr>
      <xdr:spPr>
        <a:xfrm>
          <a:off x="4674509" y="4524829"/>
          <a:ext cx="4986562" cy="28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aseline="0"/>
            <a:t>Renewable or Nonemitting Energy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cificorp.us\2021%20IRP\11%20-%20Reporting%20&amp;%20Summaries\LT%20Plan%20Runs\_Indicative%20Case%206.18.21\Final%20Indicative%20Portfolio%20-%20Plexos%20Portfolio%20-%203112%20-%20_LT%2021IRP%2020yr%20-%20P02-MMR%20(CO,NG)%20Intl%20UT+WY%20EOL%20-%20%20MTST%20Modified%20(06182021).xlsx?7981765C" TargetMode="External"/><Relationship Id="rId1" Type="http://schemas.openxmlformats.org/officeDocument/2006/relationships/externalLinkPath" Target="file:///\\7981765C\Final%20Indicative%20Portfolio%20-%20Plexos%20Portfolio%20-%203112%20-%20_LT%2021IRP%2020yr%20-%20P02-MMR%20(CO,NG)%20Intl%20UT+WY%20EOL%20-%20%20MTST%20Modified%20(0618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ST%20Reporting\Cost%20Reports\P02-MMGR%20ST%20Cost%20Summary%206086-57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PVRR%20reporting\4983%20-%20Plexos%20Portfolio%20LT%20$%20By%2020%20Year%20P02-MMGR%20(CO,NG)%20Intl%20Prod%20Run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9%20IRP\_Preferred%20Portfolio\SO\Reliability\SO%20Portfolio%20I19-P45CNW-MMR_19092210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LT%20Plan%20Runs\Plexos%20Portfolio%20-%205230%20-%20_LT%2021IRP%2020yr%20-%20P02-MMGR%20(CO,NG)%20Intl%20Prod%20R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75AF-03B2-41B4-A1F2-EF2D6F1A1337}">
  <sheetPr>
    <tabColor theme="5" tint="-0.249977111117893"/>
  </sheetPr>
  <dimension ref="A1:Z76"/>
  <sheetViews>
    <sheetView zoomScale="70" zoomScaleNormal="70" workbookViewId="0">
      <selection activeCell="L22" sqref="L22"/>
    </sheetView>
  </sheetViews>
  <sheetFormatPr defaultColWidth="9.140625" defaultRowHeight="15" x14ac:dyDescent="0.25"/>
  <cols>
    <col min="1" max="1" width="4.28515625" style="34" customWidth="1"/>
    <col min="2" max="2" width="38.28515625" style="34" customWidth="1"/>
    <col min="3" max="3" width="34" style="34" customWidth="1"/>
    <col min="4" max="4" width="15.42578125" style="35" bestFit="1" customWidth="1"/>
    <col min="5" max="5" width="17.28515625" style="35" bestFit="1" customWidth="1"/>
    <col min="6" max="12" width="15" style="35" bestFit="1" customWidth="1"/>
    <col min="13" max="13" width="15" style="35" customWidth="1"/>
    <col min="14" max="14" width="18" style="35" customWidth="1"/>
    <col min="15" max="15" width="19.85546875" style="35" customWidth="1"/>
    <col min="16" max="17" width="15" style="35" bestFit="1" customWidth="1"/>
    <col min="18" max="18" width="14.5703125" style="35" customWidth="1"/>
    <col min="19" max="20" width="15" style="35" bestFit="1" customWidth="1"/>
    <col min="21" max="21" width="14.5703125" style="35" bestFit="1" customWidth="1"/>
    <col min="22" max="23" width="15" style="35" bestFit="1" customWidth="1"/>
    <col min="24" max="24" width="33.42578125" style="108" customWidth="1"/>
    <col min="25" max="25" width="31.28515625" style="34" customWidth="1"/>
    <col min="26" max="26" width="36.42578125" style="34" customWidth="1"/>
    <col min="27" max="16384" width="9.140625" style="34"/>
  </cols>
  <sheetData>
    <row r="1" spans="2:26" x14ac:dyDescent="0.25">
      <c r="F1" s="36"/>
      <c r="G1" s="36"/>
      <c r="H1" s="36"/>
      <c r="I1" s="36"/>
      <c r="J1" s="36"/>
      <c r="K1" s="36"/>
      <c r="X1" s="37" t="s">
        <v>46</v>
      </c>
      <c r="Y1" s="38"/>
      <c r="Z1" s="38"/>
    </row>
    <row r="2" spans="2:26" ht="13.5" customHeight="1" x14ac:dyDescent="0.25">
      <c r="C2" s="34" t="s">
        <v>0</v>
      </c>
      <c r="D2" s="39">
        <v>2023</v>
      </c>
      <c r="E2" s="39">
        <v>2024</v>
      </c>
      <c r="F2" s="39">
        <v>2025</v>
      </c>
      <c r="G2" s="39">
        <v>2026</v>
      </c>
      <c r="H2" s="39">
        <v>2027</v>
      </c>
      <c r="I2" s="39">
        <v>2028</v>
      </c>
      <c r="J2" s="39">
        <v>2029</v>
      </c>
      <c r="K2" s="39">
        <v>2030</v>
      </c>
      <c r="L2" s="39">
        <v>2031</v>
      </c>
      <c r="M2" s="39">
        <v>2032</v>
      </c>
      <c r="N2" s="39">
        <v>2033</v>
      </c>
      <c r="O2" s="39">
        <v>2034</v>
      </c>
      <c r="P2" s="39">
        <v>2035</v>
      </c>
      <c r="Q2" s="39">
        <v>2036</v>
      </c>
      <c r="R2" s="39">
        <v>2037</v>
      </c>
      <c r="S2" s="39">
        <v>2038</v>
      </c>
      <c r="T2" s="39">
        <v>2039</v>
      </c>
      <c r="U2" s="39">
        <v>2040</v>
      </c>
      <c r="V2" s="39">
        <v>2041</v>
      </c>
      <c r="W2" s="40">
        <v>2042</v>
      </c>
      <c r="X2" s="41">
        <v>2043</v>
      </c>
      <c r="Y2" s="41">
        <v>2044</v>
      </c>
      <c r="Z2" s="41">
        <v>2045</v>
      </c>
    </row>
    <row r="3" spans="2:26" x14ac:dyDescent="0.25">
      <c r="B3" s="34" t="s">
        <v>36</v>
      </c>
      <c r="C3" s="34" t="s">
        <v>47</v>
      </c>
      <c r="D3" s="42">
        <v>4132234.904723519</v>
      </c>
      <c r="E3" s="42">
        <v>4144601.7631140128</v>
      </c>
      <c r="F3" s="42">
        <v>4109861.5536928163</v>
      </c>
      <c r="G3" s="42">
        <v>4095608.2253783485</v>
      </c>
      <c r="H3" s="42">
        <v>4090194.8769008587</v>
      </c>
      <c r="I3" s="42">
        <v>4097804.5502656801</v>
      </c>
      <c r="J3" s="42">
        <v>4084635.7143229651</v>
      </c>
      <c r="K3" s="42">
        <v>4083514.7684261114</v>
      </c>
      <c r="L3" s="42">
        <v>4088955.4570474266</v>
      </c>
      <c r="M3" s="42">
        <v>4100702.6055112048</v>
      </c>
      <c r="N3" s="42">
        <v>4094232.104805788</v>
      </c>
      <c r="O3" s="42">
        <v>4102078.7260837657</v>
      </c>
      <c r="P3" s="42">
        <v>4112859.8561323686</v>
      </c>
      <c r="Q3" s="42">
        <v>4139543.8365062573</v>
      </c>
      <c r="R3" s="42">
        <v>4150188.2658357322</v>
      </c>
      <c r="S3" s="42">
        <v>4175487.0122557851</v>
      </c>
      <c r="T3" s="42">
        <v>4206044.1796716489</v>
      </c>
      <c r="U3" s="42">
        <v>4248394.0624576667</v>
      </c>
      <c r="V3" s="42">
        <v>4274421.8793797381</v>
      </c>
      <c r="W3" s="42">
        <v>4320298.6407192722</v>
      </c>
      <c r="X3" s="43">
        <f t="shared" ref="X3:Z4" si="0">_xlfn.FORECAST.LINEAR(X$2,$K3:$W3,$K$2:$W$2)</f>
        <v>4294300.9680583403</v>
      </c>
      <c r="Y3" s="43">
        <f t="shared" si="0"/>
        <v>4313303.0690465346</v>
      </c>
      <c r="Z3" s="43">
        <f t="shared" si="0"/>
        <v>4332305.1700347289</v>
      </c>
    </row>
    <row r="4" spans="2:26" ht="30" x14ac:dyDescent="0.25">
      <c r="B4" s="34" t="s">
        <v>75</v>
      </c>
      <c r="C4" s="1" t="s">
        <v>73</v>
      </c>
      <c r="D4" s="42">
        <f>D3-D43</f>
        <v>4128750.5847235192</v>
      </c>
      <c r="E4" s="42">
        <f t="shared" ref="E4:H4" si="1">E3-E43</f>
        <v>4141106.8831134127</v>
      </c>
      <c r="F4" s="42">
        <f t="shared" si="1"/>
        <v>4106386.1936934362</v>
      </c>
      <c r="G4" s="42">
        <f t="shared" si="1"/>
        <v>4092581.8253777483</v>
      </c>
      <c r="H4" s="42">
        <f t="shared" si="1"/>
        <v>4086699.9969002586</v>
      </c>
      <c r="I4" s="42">
        <f t="shared" ref="I4" si="2">I3-I43</f>
        <v>4094309.6702650799</v>
      </c>
      <c r="J4" s="42">
        <f t="shared" ref="J4" si="3">J3-J43</f>
        <v>4081145.9583223653</v>
      </c>
      <c r="K4" s="42">
        <f t="shared" ref="K4:L4" si="4">K3-K43</f>
        <v>4079717.3284242717</v>
      </c>
      <c r="L4" s="42">
        <f t="shared" si="4"/>
        <v>4085955.4794455864</v>
      </c>
      <c r="M4" s="42">
        <f t="shared" ref="M4" si="5">M3-M43</f>
        <v>4097702.6279093646</v>
      </c>
      <c r="N4" s="42">
        <f t="shared" ref="N4" si="6">N3-N43</f>
        <v>4091232.1272039479</v>
      </c>
      <c r="O4" s="42">
        <f t="shared" ref="O4:P4" si="7">O3-O43</f>
        <v>4099078.7484819256</v>
      </c>
      <c r="P4" s="42">
        <f t="shared" si="7"/>
        <v>4109859.8785305284</v>
      </c>
      <c r="Q4" s="42">
        <f t="shared" ref="Q4" si="8">Q3-Q43</f>
        <v>4136543.8589044171</v>
      </c>
      <c r="R4" s="42">
        <f t="shared" ref="R4" si="9">R3-R43</f>
        <v>4147188.2882338921</v>
      </c>
      <c r="S4" s="42">
        <f t="shared" ref="S4:T4" si="10">S3-S43</f>
        <v>4172487.0346539449</v>
      </c>
      <c r="T4" s="42">
        <f t="shared" si="10"/>
        <v>4203044.2020698087</v>
      </c>
      <c r="U4" s="42">
        <f t="shared" ref="U4" si="11">U3-U43</f>
        <v>4245394.0848558266</v>
      </c>
      <c r="V4" s="42">
        <f t="shared" ref="V4" si="12">V3-V43</f>
        <v>4271421.901777898</v>
      </c>
      <c r="W4" s="42">
        <f t="shared" ref="W4" si="13">W3-W43</f>
        <v>4317298.663117432</v>
      </c>
      <c r="X4" s="43">
        <f t="shared" si="0"/>
        <v>4291423.676979579</v>
      </c>
      <c r="Y4" s="43">
        <f t="shared" si="0"/>
        <v>4310452.067937009</v>
      </c>
      <c r="Z4" s="43">
        <f t="shared" si="0"/>
        <v>4329480.4588944316</v>
      </c>
    </row>
    <row r="5" spans="2:26" ht="42.75" customHeight="1" x14ac:dyDescent="0.25">
      <c r="B5" s="44" t="s">
        <v>1</v>
      </c>
      <c r="C5" s="5" t="s">
        <v>48</v>
      </c>
      <c r="D5" s="45">
        <f>D50</f>
        <v>3859085.8895492987</v>
      </c>
      <c r="E5" s="45">
        <f t="shared" ref="E5:W5" si="14">E50</f>
        <v>3413521.8072794047</v>
      </c>
      <c r="F5" s="45">
        <f t="shared" si="14"/>
        <v>4108110.4361856226</v>
      </c>
      <c r="G5" s="45">
        <f t="shared" si="14"/>
        <v>3307382.5752675487</v>
      </c>
      <c r="H5" s="45">
        <f t="shared" si="14"/>
        <v>3290471.7899051071</v>
      </c>
      <c r="I5" s="45">
        <f t="shared" si="14"/>
        <v>3788339.9463377763</v>
      </c>
      <c r="J5" s="45">
        <f t="shared" si="14"/>
        <v>3955838.7716386896</v>
      </c>
      <c r="K5" s="45">
        <f t="shared" si="14"/>
        <v>4441731.7628287971</v>
      </c>
      <c r="L5" s="45">
        <f t="shared" si="14"/>
        <v>4279375.8465351267</v>
      </c>
      <c r="M5" s="45">
        <f t="shared" si="14"/>
        <v>5457980.9273622725</v>
      </c>
      <c r="N5" s="45">
        <f t="shared" si="14"/>
        <v>5856302.2931448519</v>
      </c>
      <c r="O5" s="45">
        <f t="shared" si="14"/>
        <v>5947681.2518824805</v>
      </c>
      <c r="P5" s="45">
        <f t="shared" si="14"/>
        <v>5976873.4492775127</v>
      </c>
      <c r="Q5" s="45">
        <f t="shared" si="14"/>
        <v>6022340.7734664697</v>
      </c>
      <c r="R5" s="45">
        <f t="shared" si="14"/>
        <v>6195106.3039574167</v>
      </c>
      <c r="S5" s="45">
        <f t="shared" si="14"/>
        <v>6126638.1203626804</v>
      </c>
      <c r="T5" s="45">
        <f t="shared" si="14"/>
        <v>6115736.7738254415</v>
      </c>
      <c r="U5" s="45">
        <f t="shared" si="14"/>
        <v>5771204.7162977941</v>
      </c>
      <c r="V5" s="45">
        <f t="shared" si="14"/>
        <v>5781242.7801061356</v>
      </c>
      <c r="W5" s="45">
        <f t="shared" si="14"/>
        <v>5849961.4835607959</v>
      </c>
      <c r="X5" s="43">
        <f>_xlfn.FORECAST.LINEAR(X$2,$K5:$W5,$K$2:$W$2)</f>
        <v>6392708.1210341156</v>
      </c>
      <c r="Y5" s="43">
        <f t="shared" ref="X5:Z8" si="15">_xlfn.FORECAST.LINEAR(Y$2,$K5:$W5,$K$2:$W$2)</f>
        <v>6494719.4297246039</v>
      </c>
      <c r="Z5" s="43">
        <f t="shared" si="15"/>
        <v>6596730.738415122</v>
      </c>
    </row>
    <row r="6" spans="2:26" x14ac:dyDescent="0.25">
      <c r="B6" s="44" t="s">
        <v>2</v>
      </c>
      <c r="C6" s="44" t="s">
        <v>3</v>
      </c>
      <c r="D6" s="45">
        <f>IF(D3-D5&gt;0, D3-D5,0)</f>
        <v>273149.01517422032</v>
      </c>
      <c r="E6" s="45">
        <f t="shared" ref="E6:W6" si="16">IF(E3-E5&gt;0, E3-E5,0)</f>
        <v>731079.95583460806</v>
      </c>
      <c r="F6" s="45">
        <f t="shared" si="16"/>
        <v>1751.1175071937032</v>
      </c>
      <c r="G6" s="45">
        <f t="shared" si="16"/>
        <v>788225.65011079982</v>
      </c>
      <c r="H6" s="45">
        <f t="shared" si="16"/>
        <v>799723.0869957516</v>
      </c>
      <c r="I6" s="45">
        <f t="shared" si="16"/>
        <v>309464.60392790381</v>
      </c>
      <c r="J6" s="45">
        <f t="shared" si="16"/>
        <v>128796.94268427556</v>
      </c>
      <c r="K6" s="45">
        <f t="shared" si="16"/>
        <v>0</v>
      </c>
      <c r="L6" s="45">
        <f t="shared" si="16"/>
        <v>0</v>
      </c>
      <c r="M6" s="45">
        <f t="shared" si="16"/>
        <v>0</v>
      </c>
      <c r="N6" s="45">
        <f t="shared" si="16"/>
        <v>0</v>
      </c>
      <c r="O6" s="45">
        <f t="shared" si="16"/>
        <v>0</v>
      </c>
      <c r="P6" s="45">
        <f t="shared" si="16"/>
        <v>0</v>
      </c>
      <c r="Q6" s="45">
        <f t="shared" si="16"/>
        <v>0</v>
      </c>
      <c r="R6" s="45">
        <f t="shared" si="16"/>
        <v>0</v>
      </c>
      <c r="S6" s="45">
        <f t="shared" si="16"/>
        <v>0</v>
      </c>
      <c r="T6" s="45">
        <f t="shared" si="16"/>
        <v>0</v>
      </c>
      <c r="U6" s="45">
        <f t="shared" si="16"/>
        <v>0</v>
      </c>
      <c r="V6" s="45">
        <f t="shared" si="16"/>
        <v>0</v>
      </c>
      <c r="W6" s="45">
        <f t="shared" si="16"/>
        <v>0</v>
      </c>
      <c r="X6" s="43"/>
      <c r="Y6" s="43"/>
      <c r="Z6" s="43"/>
    </row>
    <row r="7" spans="2:26" ht="30" x14ac:dyDescent="0.25">
      <c r="B7" s="34" t="s">
        <v>4</v>
      </c>
      <c r="C7" s="1" t="s">
        <v>70</v>
      </c>
      <c r="D7" s="42">
        <f>D37+D40+D39</f>
        <v>330836.69328471989</v>
      </c>
      <c r="E7" s="42">
        <f t="shared" ref="E7:W7" si="17">E37+E40+E39</f>
        <v>311658.07392483816</v>
      </c>
      <c r="F7" s="42">
        <f t="shared" si="17"/>
        <v>312830.84397244046</v>
      </c>
      <c r="G7" s="42">
        <f t="shared" si="17"/>
        <v>306573.15128323075</v>
      </c>
      <c r="H7" s="42">
        <f t="shared" si="17"/>
        <v>296106.26694034872</v>
      </c>
      <c r="I7" s="42">
        <f t="shared" si="17"/>
        <v>279821.98743676249</v>
      </c>
      <c r="J7" s="42">
        <f t="shared" si="17"/>
        <v>282444.46595579706</v>
      </c>
      <c r="K7" s="42">
        <f>K37+K40+K39</f>
        <v>471819.19961503881</v>
      </c>
      <c r="L7" s="42">
        <f t="shared" si="17"/>
        <v>463149.23608438985</v>
      </c>
      <c r="M7" s="42">
        <f t="shared" si="17"/>
        <v>454668.50287921232</v>
      </c>
      <c r="N7" s="42">
        <f t="shared" si="17"/>
        <v>626348.19327736658</v>
      </c>
      <c r="O7" s="42">
        <f t="shared" si="17"/>
        <v>703053.61223616451</v>
      </c>
      <c r="P7" s="42">
        <f t="shared" si="17"/>
        <v>732672.2568462739</v>
      </c>
      <c r="Q7" s="42">
        <f t="shared" si="17"/>
        <v>751497.61376137298</v>
      </c>
      <c r="R7" s="42">
        <f t="shared" si="17"/>
        <v>757123.23151833925</v>
      </c>
      <c r="S7" s="42">
        <f t="shared" si="17"/>
        <v>821065.64898053906</v>
      </c>
      <c r="T7" s="42">
        <f t="shared" si="17"/>
        <v>814845.35317526874</v>
      </c>
      <c r="U7" s="42">
        <f t="shared" si="17"/>
        <v>761003.13573115482</v>
      </c>
      <c r="V7" s="42">
        <f t="shared" si="17"/>
        <v>785488.87520972302</v>
      </c>
      <c r="W7" s="42">
        <f t="shared" si="17"/>
        <v>872510.57221066742</v>
      </c>
      <c r="X7" s="43">
        <f>_xlfn.FORECAST.LINEAR(X$2,$K7:$W7,$K$2:$W$2)</f>
        <v>926832.39821206033</v>
      </c>
      <c r="Y7" s="43">
        <f t="shared" si="15"/>
        <v>960168.39541241527</v>
      </c>
      <c r="Z7" s="43">
        <f t="shared" si="15"/>
        <v>993504.3926127553</v>
      </c>
    </row>
    <row r="8" spans="2:26" ht="15.75" thickBot="1" x14ac:dyDescent="0.3">
      <c r="B8" s="46" t="s">
        <v>5</v>
      </c>
      <c r="C8" s="46" t="s">
        <v>71</v>
      </c>
      <c r="D8" s="47">
        <f t="shared" ref="D8:W8" si="18">D41+D42+D72</f>
        <v>750440.75461854704</v>
      </c>
      <c r="E8" s="47">
        <f t="shared" si="18"/>
        <v>716577.57689234859</v>
      </c>
      <c r="F8" s="47">
        <f t="shared" si="18"/>
        <v>1054836.4788257149</v>
      </c>
      <c r="G8" s="47">
        <f t="shared" si="18"/>
        <v>1341691.7914151263</v>
      </c>
      <c r="H8" s="47">
        <f t="shared" si="18"/>
        <v>1315083.0287711571</v>
      </c>
      <c r="I8" s="47">
        <f t="shared" si="18"/>
        <v>1897200.3100658751</v>
      </c>
      <c r="J8" s="47">
        <f t="shared" si="18"/>
        <v>2233663.2452681558</v>
      </c>
      <c r="K8" s="47">
        <f t="shared" si="18"/>
        <v>2864514.6263881298</v>
      </c>
      <c r="L8" s="47">
        <f t="shared" si="18"/>
        <v>2809651.3893028041</v>
      </c>
      <c r="M8" s="47">
        <f t="shared" si="18"/>
        <v>4227627.3781561824</v>
      </c>
      <c r="N8" s="47">
        <f t="shared" si="18"/>
        <v>4718791.5057431357</v>
      </c>
      <c r="O8" s="47">
        <f t="shared" si="18"/>
        <v>4774603.7782430295</v>
      </c>
      <c r="P8" s="47">
        <f t="shared" si="18"/>
        <v>4787434.4629736869</v>
      </c>
      <c r="Q8" s="47">
        <f t="shared" si="18"/>
        <v>4782943.1061930647</v>
      </c>
      <c r="R8" s="47">
        <f t="shared" si="18"/>
        <v>4947217.0181478718</v>
      </c>
      <c r="S8" s="47">
        <f t="shared" si="18"/>
        <v>4874312.394357265</v>
      </c>
      <c r="T8" s="47">
        <f t="shared" si="18"/>
        <v>4862173.7381073926</v>
      </c>
      <c r="U8" s="47">
        <f t="shared" si="18"/>
        <v>4528008.7412885493</v>
      </c>
      <c r="V8" s="47">
        <f t="shared" si="18"/>
        <v>4515259.3687689202</v>
      </c>
      <c r="W8" s="47">
        <f t="shared" si="18"/>
        <v>4444763.3740694169</v>
      </c>
      <c r="X8" s="48">
        <f t="shared" si="15"/>
        <v>5164423.3109200597</v>
      </c>
      <c r="Y8" s="48">
        <f t="shared" si="15"/>
        <v>5274315.6423510611</v>
      </c>
      <c r="Z8" s="48">
        <f t="shared" si="15"/>
        <v>5384207.9737820625</v>
      </c>
    </row>
    <row r="9" spans="2:26" s="49" customFormat="1" ht="15.75" thickTop="1" x14ac:dyDescent="0.25">
      <c r="B9" s="49" t="s">
        <v>6</v>
      </c>
      <c r="D9" s="50">
        <f>D8+D7</f>
        <v>1081277.4479032669</v>
      </c>
      <c r="E9" s="50">
        <f t="shared" ref="E9:Z9" si="19">E8+E7</f>
        <v>1028235.6508171868</v>
      </c>
      <c r="F9" s="50">
        <f t="shared" si="19"/>
        <v>1367667.3227981552</v>
      </c>
      <c r="G9" s="50">
        <f t="shared" si="19"/>
        <v>1648264.9426983572</v>
      </c>
      <c r="H9" s="50">
        <f t="shared" si="19"/>
        <v>1611189.2957115059</v>
      </c>
      <c r="I9" s="50">
        <f t="shared" si="19"/>
        <v>2177022.2975026374</v>
      </c>
      <c r="J9" s="50">
        <f t="shared" si="19"/>
        <v>2516107.7112239529</v>
      </c>
      <c r="K9" s="50">
        <f t="shared" si="19"/>
        <v>3336333.8260031687</v>
      </c>
      <c r="L9" s="50">
        <f t="shared" si="19"/>
        <v>3272800.6253871941</v>
      </c>
      <c r="M9" s="50">
        <f t="shared" si="19"/>
        <v>4682295.881035395</v>
      </c>
      <c r="N9" s="50">
        <f t="shared" si="19"/>
        <v>5345139.6990205022</v>
      </c>
      <c r="O9" s="50">
        <f t="shared" si="19"/>
        <v>5477657.390479194</v>
      </c>
      <c r="P9" s="50">
        <f t="shared" si="19"/>
        <v>5520106.7198199611</v>
      </c>
      <c r="Q9" s="50">
        <f t="shared" si="19"/>
        <v>5534440.7199544376</v>
      </c>
      <c r="R9" s="50">
        <f t="shared" si="19"/>
        <v>5704340.2496662112</v>
      </c>
      <c r="S9" s="50">
        <f t="shared" si="19"/>
        <v>5695378.0433378043</v>
      </c>
      <c r="T9" s="50">
        <f t="shared" si="19"/>
        <v>5677019.0912826611</v>
      </c>
      <c r="U9" s="50">
        <f t="shared" si="19"/>
        <v>5289011.8770197043</v>
      </c>
      <c r="V9" s="50">
        <f t="shared" si="19"/>
        <v>5300748.2439786429</v>
      </c>
      <c r="W9" s="50">
        <f t="shared" si="19"/>
        <v>5317273.9462800846</v>
      </c>
      <c r="X9" s="51">
        <f t="shared" si="19"/>
        <v>6091255.70913212</v>
      </c>
      <c r="Y9" s="52">
        <f t="shared" si="19"/>
        <v>6234484.0377634764</v>
      </c>
      <c r="Z9" s="52">
        <f t="shared" si="19"/>
        <v>6377712.3663948178</v>
      </c>
    </row>
    <row r="10" spans="2:26" s="49" customFormat="1" ht="15.75" thickBot="1" x14ac:dyDescent="0.3"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4"/>
      <c r="Y10" s="55"/>
      <c r="Z10" s="55"/>
    </row>
    <row r="11" spans="2:26" s="49" customFormat="1" x14ac:dyDescent="0.25">
      <c r="B11" s="56" t="s">
        <v>49</v>
      </c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60"/>
      <c r="Y11" s="61"/>
      <c r="Z11" s="62"/>
    </row>
    <row r="12" spans="2:26" x14ac:dyDescent="0.25">
      <c r="B12" s="63" t="s">
        <v>37</v>
      </c>
      <c r="D12" s="64">
        <f>D9/D4</f>
        <v>0.26188974744660543</v>
      </c>
      <c r="E12" s="64">
        <f t="shared" ref="E12:W12" si="20">E9/E4</f>
        <v>0.24829971305742471</v>
      </c>
      <c r="F12" s="64">
        <f t="shared" si="20"/>
        <v>0.33305862095937561</v>
      </c>
      <c r="G12" s="64">
        <f t="shared" si="20"/>
        <v>0.40274452974345137</v>
      </c>
      <c r="H12" s="64">
        <f t="shared" si="20"/>
        <v>0.39425191399750042</v>
      </c>
      <c r="I12" s="64">
        <f t="shared" si="20"/>
        <v>0.53171901317412795</v>
      </c>
      <c r="J12" s="64">
        <f t="shared" si="20"/>
        <v>0.61651990321322592</v>
      </c>
      <c r="K12" s="65">
        <f t="shared" si="20"/>
        <v>0.81778553694350598</v>
      </c>
      <c r="L12" s="65">
        <f>L9/L4</f>
        <v>0.80098783304199694</v>
      </c>
      <c r="M12" s="65">
        <f t="shared" si="20"/>
        <v>1.142663659667341</v>
      </c>
      <c r="N12" s="65">
        <f t="shared" si="20"/>
        <v>1.3064865382433106</v>
      </c>
      <c r="O12" s="65">
        <f t="shared" si="20"/>
        <v>1.3363142614685846</v>
      </c>
      <c r="P12" s="65">
        <f t="shared" si="20"/>
        <v>1.3431374506601581</v>
      </c>
      <c r="Q12" s="65">
        <f t="shared" si="20"/>
        <v>1.3379383632161608</v>
      </c>
      <c r="R12" s="65">
        <f t="shared" si="20"/>
        <v>1.3754717300514567</v>
      </c>
      <c r="S12" s="65">
        <f t="shared" si="20"/>
        <v>1.3649840001983766</v>
      </c>
      <c r="T12" s="65">
        <f t="shared" si="20"/>
        <v>1.3506922169619311</v>
      </c>
      <c r="U12" s="65">
        <f t="shared" si="20"/>
        <v>1.2458235375336937</v>
      </c>
      <c r="V12" s="65">
        <f t="shared" si="20"/>
        <v>1.2409797874970645</v>
      </c>
      <c r="W12" s="65">
        <f t="shared" si="20"/>
        <v>1.2316205945410761</v>
      </c>
      <c r="X12" s="66">
        <f t="shared" ref="X12:Z12" si="21">X9/X3</f>
        <v>1.4184510481309534</v>
      </c>
      <c r="Y12" s="67">
        <f t="shared" si="21"/>
        <v>1.4454082956757368</v>
      </c>
      <c r="Z12" s="68">
        <f t="shared" si="21"/>
        <v>1.4721290666473739</v>
      </c>
    </row>
    <row r="13" spans="2:26" x14ac:dyDescent="0.25">
      <c r="B13" s="63" t="s">
        <v>7</v>
      </c>
      <c r="D13" s="69"/>
      <c r="E13" s="70"/>
      <c r="F13" s="70"/>
      <c r="G13" s="70"/>
      <c r="H13" s="70"/>
      <c r="I13" s="70"/>
      <c r="J13" s="70"/>
      <c r="K13" s="71">
        <f>IF(IF(100%-K12&lt;20%, 100%-K12, 20%)&lt;0, 0, IF(100%-K12&lt;20%, 100%-K12, 20%))</f>
        <v>0.18221446305649402</v>
      </c>
      <c r="L13" s="71">
        <f t="shared" ref="L13:Z13" si="22">IF(IF(100%-L12&lt;20%, 100%-L12, 20%)&lt;0, 0, IF(100%-L12&lt;20%, 100%-L12, 20%))</f>
        <v>0.19901216695800306</v>
      </c>
      <c r="M13" s="71">
        <f t="shared" si="22"/>
        <v>0</v>
      </c>
      <c r="N13" s="71">
        <f t="shared" si="22"/>
        <v>0</v>
      </c>
      <c r="O13" s="71">
        <f t="shared" si="22"/>
        <v>0</v>
      </c>
      <c r="P13" s="71">
        <f t="shared" si="22"/>
        <v>0</v>
      </c>
      <c r="Q13" s="71">
        <f t="shared" si="22"/>
        <v>0</v>
      </c>
      <c r="R13" s="71">
        <f t="shared" si="22"/>
        <v>0</v>
      </c>
      <c r="S13" s="71">
        <f t="shared" si="22"/>
        <v>0</v>
      </c>
      <c r="T13" s="71">
        <f t="shared" si="22"/>
        <v>0</v>
      </c>
      <c r="U13" s="71">
        <f t="shared" si="22"/>
        <v>0</v>
      </c>
      <c r="V13" s="71">
        <f t="shared" si="22"/>
        <v>0</v>
      </c>
      <c r="W13" s="71">
        <f t="shared" si="22"/>
        <v>0</v>
      </c>
      <c r="X13" s="72">
        <f t="shared" si="22"/>
        <v>0</v>
      </c>
      <c r="Y13" s="73">
        <f t="shared" si="22"/>
        <v>0</v>
      </c>
      <c r="Z13" s="74">
        <f t="shared" si="22"/>
        <v>0</v>
      </c>
    </row>
    <row r="14" spans="2:26" x14ac:dyDescent="0.25">
      <c r="B14" s="63" t="s">
        <v>38</v>
      </c>
      <c r="D14" s="69"/>
      <c r="E14" s="70"/>
      <c r="F14" s="70"/>
      <c r="G14" s="70"/>
      <c r="H14" s="70"/>
      <c r="I14" s="70"/>
      <c r="J14" s="70"/>
      <c r="K14" s="6">
        <f>K12+K13</f>
        <v>1</v>
      </c>
      <c r="L14" s="6">
        <f t="shared" ref="L14" si="23">L12+L13</f>
        <v>1</v>
      </c>
      <c r="M14" s="6">
        <f>M12+M13</f>
        <v>1.142663659667341</v>
      </c>
      <c r="N14" s="6">
        <f>N12+N13</f>
        <v>1.3064865382433106</v>
      </c>
      <c r="O14" s="6">
        <f t="shared" ref="O14:Z14" si="24">O12+O13</f>
        <v>1.3363142614685846</v>
      </c>
      <c r="P14" s="6">
        <f t="shared" si="24"/>
        <v>1.3431374506601581</v>
      </c>
      <c r="Q14" s="6">
        <f t="shared" si="24"/>
        <v>1.3379383632161608</v>
      </c>
      <c r="R14" s="6">
        <f t="shared" si="24"/>
        <v>1.3754717300514567</v>
      </c>
      <c r="S14" s="6">
        <f t="shared" si="24"/>
        <v>1.3649840001983766</v>
      </c>
      <c r="T14" s="6">
        <f t="shared" si="24"/>
        <v>1.3506922169619311</v>
      </c>
      <c r="U14" s="6">
        <f t="shared" si="24"/>
        <v>1.2458235375336937</v>
      </c>
      <c r="V14" s="6">
        <f t="shared" si="24"/>
        <v>1.2409797874970645</v>
      </c>
      <c r="W14" s="6">
        <f t="shared" si="24"/>
        <v>1.2316205945410761</v>
      </c>
      <c r="X14" s="21">
        <f t="shared" si="24"/>
        <v>1.4184510481309534</v>
      </c>
      <c r="Y14" s="22">
        <f t="shared" si="24"/>
        <v>1.4454082956757368</v>
      </c>
      <c r="Z14" s="23">
        <f t="shared" si="24"/>
        <v>1.4721290666473739</v>
      </c>
    </row>
    <row r="15" spans="2:26" x14ac:dyDescent="0.25">
      <c r="B15" s="63" t="s">
        <v>8</v>
      </c>
      <c r="D15" s="69"/>
      <c r="E15" s="70"/>
      <c r="F15" s="70"/>
      <c r="G15" s="70"/>
      <c r="H15" s="70"/>
      <c r="I15" s="70"/>
      <c r="J15" s="70"/>
      <c r="K15" s="71">
        <f>IF(K12-0.8&lt;0, K12-0.8, 0)</f>
        <v>0</v>
      </c>
      <c r="L15" s="71">
        <f t="shared" ref="L15:Z15" si="25">IF(L12-0.8&lt;0, L12-0.8, 0)</f>
        <v>0</v>
      </c>
      <c r="M15" s="71">
        <f t="shared" si="25"/>
        <v>0</v>
      </c>
      <c r="N15" s="71">
        <f t="shared" si="25"/>
        <v>0</v>
      </c>
      <c r="O15" s="71">
        <f t="shared" si="25"/>
        <v>0</v>
      </c>
      <c r="P15" s="71">
        <f t="shared" si="25"/>
        <v>0</v>
      </c>
      <c r="Q15" s="71">
        <f t="shared" si="25"/>
        <v>0</v>
      </c>
      <c r="R15" s="71">
        <f t="shared" si="25"/>
        <v>0</v>
      </c>
      <c r="S15" s="71">
        <f t="shared" si="25"/>
        <v>0</v>
      </c>
      <c r="T15" s="71">
        <f t="shared" si="25"/>
        <v>0</v>
      </c>
      <c r="U15" s="71">
        <f t="shared" si="25"/>
        <v>0</v>
      </c>
      <c r="V15" s="71">
        <f t="shared" si="25"/>
        <v>0</v>
      </c>
      <c r="W15" s="71">
        <f t="shared" si="25"/>
        <v>0</v>
      </c>
      <c r="X15" s="72">
        <f t="shared" si="25"/>
        <v>0</v>
      </c>
      <c r="Y15" s="73">
        <f t="shared" si="25"/>
        <v>0</v>
      </c>
      <c r="Z15" s="74">
        <f t="shared" si="25"/>
        <v>0</v>
      </c>
    </row>
    <row r="16" spans="2:26" x14ac:dyDescent="0.25">
      <c r="B16" s="63" t="s">
        <v>9</v>
      </c>
      <c r="D16" s="69"/>
      <c r="E16" s="70"/>
      <c r="F16" s="70"/>
      <c r="G16" s="70"/>
      <c r="H16" s="70"/>
      <c r="I16" s="70"/>
      <c r="J16" s="70"/>
      <c r="K16" s="3">
        <f>K3*(-K15)</f>
        <v>0</v>
      </c>
      <c r="L16" s="3">
        <f t="shared" ref="L16" si="26">L3*(-L15)</f>
        <v>0</v>
      </c>
      <c r="M16" s="24">
        <f>M3*(-M15)</f>
        <v>0</v>
      </c>
      <c r="N16" s="24">
        <f t="shared" ref="N16:Z16" si="27">N3*(-N15)</f>
        <v>0</v>
      </c>
      <c r="O16" s="24">
        <f t="shared" si="27"/>
        <v>0</v>
      </c>
      <c r="P16" s="24">
        <f t="shared" si="27"/>
        <v>0</v>
      </c>
      <c r="Q16" s="24">
        <f t="shared" si="27"/>
        <v>0</v>
      </c>
      <c r="R16" s="24">
        <f t="shared" si="27"/>
        <v>0</v>
      </c>
      <c r="S16" s="24">
        <f t="shared" si="27"/>
        <v>0</v>
      </c>
      <c r="T16" s="24">
        <f t="shared" si="27"/>
        <v>0</v>
      </c>
      <c r="U16" s="24">
        <f t="shared" si="27"/>
        <v>0</v>
      </c>
      <c r="V16" s="24">
        <f t="shared" si="27"/>
        <v>0</v>
      </c>
      <c r="W16" s="24">
        <f t="shared" si="27"/>
        <v>0</v>
      </c>
      <c r="X16" s="25">
        <f t="shared" si="27"/>
        <v>0</v>
      </c>
      <c r="Y16" s="26">
        <f t="shared" si="27"/>
        <v>0</v>
      </c>
      <c r="Z16" s="27">
        <f t="shared" si="27"/>
        <v>0</v>
      </c>
    </row>
    <row r="17" spans="2:26" ht="15.75" thickBot="1" x14ac:dyDescent="0.3">
      <c r="B17" s="75" t="s">
        <v>10</v>
      </c>
      <c r="C17" s="76"/>
      <c r="D17" s="77"/>
      <c r="E17" s="78"/>
      <c r="F17" s="78"/>
      <c r="G17" s="78"/>
      <c r="H17" s="78"/>
      <c r="I17" s="78"/>
      <c r="J17" s="78"/>
      <c r="K17" s="79">
        <f>K16/8760</f>
        <v>0</v>
      </c>
      <c r="L17" s="79">
        <f t="shared" ref="L17:Z17" si="28">L16/8760</f>
        <v>0</v>
      </c>
      <c r="M17" s="79">
        <f t="shared" si="28"/>
        <v>0</v>
      </c>
      <c r="N17" s="79">
        <f t="shared" si="28"/>
        <v>0</v>
      </c>
      <c r="O17" s="79">
        <f t="shared" si="28"/>
        <v>0</v>
      </c>
      <c r="P17" s="79">
        <f t="shared" si="28"/>
        <v>0</v>
      </c>
      <c r="Q17" s="79">
        <f t="shared" si="28"/>
        <v>0</v>
      </c>
      <c r="R17" s="79">
        <f t="shared" si="28"/>
        <v>0</v>
      </c>
      <c r="S17" s="79">
        <f t="shared" si="28"/>
        <v>0</v>
      </c>
      <c r="T17" s="79">
        <f t="shared" si="28"/>
        <v>0</v>
      </c>
      <c r="U17" s="79">
        <f t="shared" si="28"/>
        <v>0</v>
      </c>
      <c r="V17" s="79">
        <f t="shared" si="28"/>
        <v>0</v>
      </c>
      <c r="W17" s="79">
        <f t="shared" si="28"/>
        <v>0</v>
      </c>
      <c r="X17" s="80">
        <f t="shared" si="28"/>
        <v>0</v>
      </c>
      <c r="Y17" s="81">
        <f t="shared" si="28"/>
        <v>0</v>
      </c>
      <c r="Z17" s="82">
        <f t="shared" si="28"/>
        <v>0</v>
      </c>
    </row>
    <row r="18" spans="2:26" ht="15.75" thickBot="1" x14ac:dyDescent="0.3">
      <c r="D18" s="42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83"/>
    </row>
    <row r="19" spans="2:26" x14ac:dyDescent="0.25">
      <c r="B19" s="56" t="s">
        <v>50</v>
      </c>
      <c r="C19" s="84"/>
      <c r="D19" s="85"/>
      <c r="E19" s="86"/>
      <c r="F19" s="86"/>
      <c r="G19" s="86"/>
      <c r="H19" s="86"/>
      <c r="I19" s="86"/>
      <c r="J19" s="86"/>
      <c r="K19" s="86"/>
      <c r="L19" s="86"/>
      <c r="M19" s="87" t="s">
        <v>51</v>
      </c>
      <c r="N19" s="87" t="s">
        <v>52</v>
      </c>
      <c r="O19" s="88" t="s">
        <v>53</v>
      </c>
      <c r="P19" s="24"/>
      <c r="Q19" s="24"/>
      <c r="R19" s="24"/>
      <c r="S19" s="24"/>
      <c r="T19" s="24"/>
      <c r="U19" s="24"/>
      <c r="V19" s="24"/>
      <c r="W19" s="24"/>
      <c r="X19" s="83"/>
    </row>
    <row r="20" spans="2:26" x14ac:dyDescent="0.25">
      <c r="B20" s="63" t="s">
        <v>54</v>
      </c>
      <c r="D20" s="42"/>
      <c r="M20" s="89">
        <f>SUM(K9:N9)/SUM(K3:N3)</f>
        <v>1.0164451907135961</v>
      </c>
      <c r="N20" s="89">
        <f>SUM(O9:R9)/SUM(O3:R3)</f>
        <v>1.3472880195497907</v>
      </c>
      <c r="O20" s="90">
        <f>SUM(S9:V9)/SUM(S3:V3)</f>
        <v>1.2992017427133562</v>
      </c>
      <c r="P20" s="24"/>
      <c r="Q20" s="34"/>
      <c r="R20" s="24"/>
      <c r="S20" s="24"/>
      <c r="T20" s="24"/>
      <c r="U20" s="24"/>
      <c r="V20" s="24"/>
      <c r="W20" s="24"/>
      <c r="X20" s="83"/>
    </row>
    <row r="21" spans="2:26" x14ac:dyDescent="0.25">
      <c r="B21" s="63" t="s">
        <v>7</v>
      </c>
      <c r="D21" s="42"/>
      <c r="M21" s="71">
        <f>IF(IF(100%-M20&lt;20%, 100%-M20, 20%)&lt;0, 0, IF(100%-M20&lt;20%, 100%-M20, 20%))</f>
        <v>0</v>
      </c>
      <c r="N21" s="71">
        <f t="shared" ref="N21:O21" si="29">IF(IF(100%-N20&lt;20%, 100%-N20, 20%)&lt;0, 0, IF(100%-N20&lt;20%, 100%-N20, 20%))</f>
        <v>0</v>
      </c>
      <c r="O21" s="91">
        <f t="shared" si="29"/>
        <v>0</v>
      </c>
      <c r="P21" s="24"/>
      <c r="Q21" s="24"/>
      <c r="R21" s="24"/>
      <c r="S21" s="24"/>
      <c r="T21" s="24"/>
      <c r="U21" s="24"/>
      <c r="V21" s="24"/>
      <c r="W21" s="24"/>
      <c r="X21" s="83"/>
    </row>
    <row r="22" spans="2:26" x14ac:dyDescent="0.25">
      <c r="B22" s="63" t="s">
        <v>38</v>
      </c>
      <c r="D22" s="42"/>
      <c r="M22" s="6">
        <f>M20+M21</f>
        <v>1.0164451907135961</v>
      </c>
      <c r="N22" s="6">
        <f t="shared" ref="N22:O22" si="30">N20+N21</f>
        <v>1.3472880195497907</v>
      </c>
      <c r="O22" s="28">
        <f t="shared" si="30"/>
        <v>1.2992017427133562</v>
      </c>
      <c r="P22" s="24"/>
      <c r="Q22" s="24"/>
      <c r="R22" s="24"/>
      <c r="S22" s="24"/>
      <c r="T22" s="24"/>
      <c r="U22" s="24"/>
      <c r="V22" s="24"/>
      <c r="W22" s="24"/>
      <c r="X22" s="83"/>
    </row>
    <row r="23" spans="2:26" x14ac:dyDescent="0.25">
      <c r="B23" s="63" t="s">
        <v>8</v>
      </c>
      <c r="D23" s="42"/>
      <c r="M23" s="71">
        <f>IF(M20-0.8&lt;0, M20-0.8, 0)</f>
        <v>0</v>
      </c>
      <c r="N23" s="71">
        <f t="shared" ref="N23:O23" si="31">IF(N20-0.8&lt;0, N20-0.8, 0)</f>
        <v>0</v>
      </c>
      <c r="O23" s="91">
        <f t="shared" si="31"/>
        <v>0</v>
      </c>
      <c r="P23" s="24"/>
      <c r="Q23" s="24"/>
      <c r="R23" s="24"/>
      <c r="S23" s="24"/>
      <c r="T23" s="24"/>
      <c r="U23" s="24"/>
      <c r="V23" s="24"/>
      <c r="W23" s="24"/>
      <c r="X23" s="83"/>
    </row>
    <row r="24" spans="2:26" x14ac:dyDescent="0.25">
      <c r="B24" s="63" t="s">
        <v>55</v>
      </c>
      <c r="D24" s="42"/>
      <c r="M24" s="24">
        <f>-M23*SUM(M3:P3)</f>
        <v>0</v>
      </c>
      <c r="N24" s="24">
        <f>-N23*SUM(Q3:T3)</f>
        <v>0</v>
      </c>
      <c r="O24" s="92">
        <f>-O23*SUM(U3:W3)</f>
        <v>0</v>
      </c>
      <c r="P24" s="24"/>
      <c r="Q24" s="24"/>
      <c r="R24" s="24"/>
      <c r="S24" s="24"/>
      <c r="T24" s="24"/>
      <c r="U24" s="24"/>
      <c r="V24" s="24"/>
      <c r="W24" s="24"/>
      <c r="X24" s="83"/>
    </row>
    <row r="25" spans="2:26" ht="15.75" thickBot="1" x14ac:dyDescent="0.3">
      <c r="B25" s="75" t="s">
        <v>56</v>
      </c>
      <c r="C25" s="76"/>
      <c r="D25" s="93"/>
      <c r="E25" s="94"/>
      <c r="F25" s="94"/>
      <c r="G25" s="94"/>
      <c r="H25" s="94"/>
      <c r="I25" s="94"/>
      <c r="J25" s="94"/>
      <c r="K25" s="94"/>
      <c r="L25" s="94"/>
      <c r="M25" s="29">
        <f>(M24)/(8760*4)</f>
        <v>0</v>
      </c>
      <c r="N25" s="29">
        <f t="shared" ref="N25:O25" si="32">(N24)/(8760*4)</f>
        <v>0</v>
      </c>
      <c r="O25" s="30">
        <f t="shared" si="32"/>
        <v>0</v>
      </c>
      <c r="P25" s="24"/>
      <c r="Q25" s="24"/>
      <c r="R25" s="24"/>
      <c r="S25" s="24"/>
      <c r="T25" s="24"/>
      <c r="U25" s="24"/>
      <c r="V25" s="24"/>
      <c r="W25" s="24"/>
      <c r="X25" s="83"/>
    </row>
    <row r="26" spans="2:26" x14ac:dyDescent="0.25">
      <c r="D26" s="4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83"/>
    </row>
    <row r="27" spans="2:26" x14ac:dyDescent="0.25">
      <c r="B27" s="115" t="s">
        <v>11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6"/>
      <c r="X27" s="83"/>
    </row>
    <row r="28" spans="2:26" x14ac:dyDescent="0.25">
      <c r="X28" s="83"/>
    </row>
    <row r="29" spans="2:26" ht="18.75" x14ac:dyDescent="0.3">
      <c r="B29" s="95" t="s">
        <v>45</v>
      </c>
      <c r="D29" s="39">
        <v>2023</v>
      </c>
      <c r="E29" s="39">
        <v>2024</v>
      </c>
      <c r="F29" s="39">
        <v>2025</v>
      </c>
      <c r="G29" s="39">
        <v>2026</v>
      </c>
      <c r="H29" s="39">
        <v>2027</v>
      </c>
      <c r="I29" s="39">
        <v>2028</v>
      </c>
      <c r="J29" s="39">
        <v>2029</v>
      </c>
      <c r="K29" s="39">
        <v>2030</v>
      </c>
      <c r="L29" s="39">
        <v>2031</v>
      </c>
      <c r="M29" s="39">
        <v>2032</v>
      </c>
      <c r="N29" s="39">
        <v>2033</v>
      </c>
      <c r="O29" s="39">
        <v>2034</v>
      </c>
      <c r="P29" s="39">
        <v>2035</v>
      </c>
      <c r="Q29" s="39">
        <v>2036</v>
      </c>
      <c r="R29" s="39">
        <v>2037</v>
      </c>
      <c r="S29" s="39">
        <v>2038</v>
      </c>
      <c r="T29" s="39">
        <v>2039</v>
      </c>
      <c r="U29" s="39">
        <v>2040</v>
      </c>
      <c r="V29" s="39">
        <v>2041</v>
      </c>
      <c r="W29" s="40">
        <v>2042</v>
      </c>
      <c r="X29" s="83"/>
    </row>
    <row r="30" spans="2:26" x14ac:dyDescent="0.25">
      <c r="B30" s="96" t="s">
        <v>57</v>
      </c>
      <c r="D30" s="36">
        <v>1385950.6942784386</v>
      </c>
      <c r="E30" s="36">
        <v>1127409.9552545617</v>
      </c>
      <c r="F30" s="36">
        <v>1191694.0092120233</v>
      </c>
      <c r="G30" s="36">
        <v>119433.03970403987</v>
      </c>
      <c r="H30" s="36">
        <v>273675.77137702866</v>
      </c>
      <c r="I30" s="36">
        <v>249363.69234002318</v>
      </c>
      <c r="J30" s="36">
        <v>169501.97602962123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83"/>
    </row>
    <row r="31" spans="2:26" x14ac:dyDescent="0.25">
      <c r="B31" s="96" t="s">
        <v>16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83"/>
    </row>
    <row r="32" spans="2:26" x14ac:dyDescent="0.25">
      <c r="B32" s="96" t="s">
        <v>17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83"/>
    </row>
    <row r="33" spans="2:24" x14ac:dyDescent="0.25">
      <c r="B33" s="96" t="s">
        <v>58</v>
      </c>
      <c r="D33" s="36">
        <v>63605.409615617471</v>
      </c>
      <c r="E33" s="36">
        <v>46179.632036756084</v>
      </c>
      <c r="F33" s="36">
        <v>872.32759980949197</v>
      </c>
      <c r="G33" s="36">
        <v>852.5829955448902</v>
      </c>
      <c r="H33" s="36">
        <v>835.87386114885555</v>
      </c>
      <c r="I33" s="36">
        <v>819.73005696642554</v>
      </c>
      <c r="J33" s="36">
        <v>806.21157079570821</v>
      </c>
      <c r="K33" s="36">
        <v>799.9126390686946</v>
      </c>
      <c r="L33" s="36">
        <v>781.43134950470744</v>
      </c>
      <c r="M33" s="36">
        <v>779.95629529799339</v>
      </c>
      <c r="N33" s="36">
        <v>791.87796366677583</v>
      </c>
      <c r="O33" s="36">
        <v>788.29456188454276</v>
      </c>
      <c r="P33" s="36">
        <v>785.3900425885048</v>
      </c>
      <c r="Q33" s="36">
        <v>786.37971585945434</v>
      </c>
      <c r="R33" s="36">
        <v>787.98557099981952</v>
      </c>
      <c r="S33" s="36">
        <v>787.01247283308032</v>
      </c>
      <c r="T33" s="36">
        <v>786.69195057021454</v>
      </c>
      <c r="U33" s="36">
        <v>787.01742756564215</v>
      </c>
      <c r="V33" s="36">
        <v>787.17685549218913</v>
      </c>
      <c r="W33" s="36">
        <v>786.97467661528151</v>
      </c>
      <c r="X33" s="83"/>
    </row>
    <row r="34" spans="2:24" x14ac:dyDescent="0.25">
      <c r="B34" s="96" t="s">
        <v>59</v>
      </c>
      <c r="D34" s="36">
        <v>-57438.161242805756</v>
      </c>
      <c r="E34" s="36">
        <v>-28921.485576315681</v>
      </c>
      <c r="F34" s="36">
        <v>-28109.506173464739</v>
      </c>
      <c r="G34" s="36">
        <v>-27473.264610559181</v>
      </c>
      <c r="H34" s="36">
        <v>-26934.836711956454</v>
      </c>
      <c r="I34" s="36">
        <v>-26414.625768925045</v>
      </c>
      <c r="J34" s="36">
        <v>-25979.011934678987</v>
      </c>
      <c r="K34" s="36">
        <v>-25776.037891091011</v>
      </c>
      <c r="L34" s="36">
        <v>-25180.50483309085</v>
      </c>
      <c r="M34" s="36">
        <v>-25132.973326190371</v>
      </c>
      <c r="N34" s="36">
        <v>-25517.131996262804</v>
      </c>
      <c r="O34" s="36">
        <v>-25401.662011658758</v>
      </c>
      <c r="P34" s="36">
        <v>-25308.068041800696</v>
      </c>
      <c r="Q34" s="36">
        <v>-25339.958843978158</v>
      </c>
      <c r="R34" s="36">
        <v>-25391.705223425102</v>
      </c>
      <c r="S34" s="36">
        <v>-25360.348530215677</v>
      </c>
      <c r="T34" s="36">
        <v>-25350.020159854907</v>
      </c>
      <c r="U34" s="36">
        <v>-25360.508189368462</v>
      </c>
      <c r="V34" s="36">
        <v>-25365.645525716041</v>
      </c>
      <c r="W34" s="36">
        <v>-25359.130601288769</v>
      </c>
      <c r="X34" s="83"/>
    </row>
    <row r="35" spans="2:24" x14ac:dyDescent="0.25">
      <c r="B35" s="96" t="s">
        <v>18</v>
      </c>
      <c r="D35" s="36">
        <v>1211814.2887561508</v>
      </c>
      <c r="E35" s="36">
        <v>1048781.6583905732</v>
      </c>
      <c r="F35" s="36">
        <v>1025782.3161689837</v>
      </c>
      <c r="G35" s="36">
        <v>1030308.6176197988</v>
      </c>
      <c r="H35" s="36">
        <v>901162.35781535762</v>
      </c>
      <c r="I35" s="36">
        <v>878719.41795007372</v>
      </c>
      <c r="J35" s="36">
        <v>794930.04054586578</v>
      </c>
      <c r="K35" s="36">
        <v>666661.77199717297</v>
      </c>
      <c r="L35" s="36">
        <v>585047.27113230026</v>
      </c>
      <c r="M35" s="36">
        <v>392436.56998672645</v>
      </c>
      <c r="N35" s="36">
        <v>278919.48468459171</v>
      </c>
      <c r="O35" s="36">
        <v>252616.61697832297</v>
      </c>
      <c r="P35" s="36">
        <v>247949.34391806411</v>
      </c>
      <c r="Q35" s="36">
        <v>278228.37239600136</v>
      </c>
      <c r="R35" s="36">
        <v>228552.07393731212</v>
      </c>
      <c r="S35" s="36">
        <v>175816.73286903021</v>
      </c>
      <c r="T35" s="36">
        <v>172087.31383421997</v>
      </c>
      <c r="U35" s="36">
        <v>205918.81443310206</v>
      </c>
      <c r="V35" s="36">
        <v>200290.25060042567</v>
      </c>
      <c r="W35" s="36">
        <v>199786.03184850686</v>
      </c>
      <c r="X35" s="83"/>
    </row>
    <row r="36" spans="2:24" x14ac:dyDescent="0.25">
      <c r="B36" s="96" t="s">
        <v>19</v>
      </c>
      <c r="D36" s="36">
        <v>21327.83725004008</v>
      </c>
      <c r="E36" s="36">
        <v>20394.649072690787</v>
      </c>
      <c r="F36" s="36">
        <v>19826.03246369935</v>
      </c>
      <c r="G36" s="36">
        <v>19367.136520670152</v>
      </c>
      <c r="H36" s="36">
        <v>17888.243778419186</v>
      </c>
      <c r="I36" s="36">
        <v>18524.874082750306</v>
      </c>
      <c r="J36" s="36">
        <v>17835.634349585158</v>
      </c>
      <c r="K36" s="36">
        <v>17614.322375096071</v>
      </c>
      <c r="L36" s="36">
        <v>17262.307419098863</v>
      </c>
      <c r="M36" s="36">
        <v>14195.004571881842</v>
      </c>
      <c r="N36" s="36">
        <v>13003.089751930025</v>
      </c>
      <c r="O36" s="36">
        <v>12274.08906450074</v>
      </c>
      <c r="P36" s="36">
        <v>12343.324884657855</v>
      </c>
      <c r="Q36" s="36">
        <v>12595.148034883279</v>
      </c>
      <c r="R36" s="36">
        <v>12678.489814561901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83"/>
    </row>
    <row r="37" spans="2:24" x14ac:dyDescent="0.25">
      <c r="B37" s="96" t="s">
        <v>20</v>
      </c>
      <c r="D37" s="97">
        <v>330836.69328471989</v>
      </c>
      <c r="E37" s="36">
        <v>311658.07392483816</v>
      </c>
      <c r="F37" s="36">
        <v>312830.84397244046</v>
      </c>
      <c r="G37" s="36">
        <v>306573.15128323075</v>
      </c>
      <c r="H37" s="36">
        <v>296106.26694034872</v>
      </c>
      <c r="I37" s="36">
        <v>279821.98743676249</v>
      </c>
      <c r="J37" s="36">
        <v>282444.46595579706</v>
      </c>
      <c r="K37" s="36">
        <v>285489.18432832422</v>
      </c>
      <c r="L37" s="36">
        <v>281124.21461673174</v>
      </c>
      <c r="M37" s="36">
        <v>272413.9521343027</v>
      </c>
      <c r="N37" s="36">
        <v>257314.03131286765</v>
      </c>
      <c r="O37" s="36">
        <v>245175.72570318123</v>
      </c>
      <c r="P37" s="36">
        <v>259861.01457818499</v>
      </c>
      <c r="Q37" s="36">
        <v>268997.47477712296</v>
      </c>
      <c r="R37" s="36">
        <v>274136.99388044217</v>
      </c>
      <c r="S37" s="36">
        <v>271031.18678043928</v>
      </c>
      <c r="T37" s="36">
        <v>265094.10779047688</v>
      </c>
      <c r="U37" s="36">
        <v>256719.4160862951</v>
      </c>
      <c r="V37" s="36">
        <v>277726.17846182542</v>
      </c>
      <c r="W37" s="36">
        <v>365001.14454768307</v>
      </c>
      <c r="X37" s="83"/>
    </row>
    <row r="38" spans="2:24" x14ac:dyDescent="0.25">
      <c r="B38" s="96" t="s">
        <v>21</v>
      </c>
      <c r="D38" s="97">
        <v>0</v>
      </c>
      <c r="E38" s="36">
        <v>0</v>
      </c>
      <c r="F38" s="36">
        <v>0</v>
      </c>
      <c r="G38" s="36">
        <v>0</v>
      </c>
      <c r="H38" s="36">
        <v>3639.5327251818767</v>
      </c>
      <c r="I38" s="36">
        <v>4985.1820651406033</v>
      </c>
      <c r="J38" s="36">
        <v>4949.0531660735105</v>
      </c>
      <c r="K38" s="36">
        <v>5221.4704630361357</v>
      </c>
      <c r="L38" s="36">
        <v>4994.7002157947745</v>
      </c>
      <c r="M38" s="36">
        <v>5595.9165817756966</v>
      </c>
      <c r="N38" s="36">
        <v>5431.025839545503</v>
      </c>
      <c r="O38" s="36">
        <v>5470.3083467397073</v>
      </c>
      <c r="P38" s="36">
        <v>5510.7376381756148</v>
      </c>
      <c r="Q38" s="36">
        <v>5559.148154627489</v>
      </c>
      <c r="R38" s="36">
        <v>4218.3731688715206</v>
      </c>
      <c r="S38" s="36">
        <v>4100.2259715070732</v>
      </c>
      <c r="T38" s="36">
        <v>4075.1647287327814</v>
      </c>
      <c r="U38" s="36">
        <v>4184.8220376351019</v>
      </c>
      <c r="V38" s="36">
        <v>4408.5364605188934</v>
      </c>
      <c r="W38" s="36">
        <v>4410.6331016915747</v>
      </c>
      <c r="X38" s="83"/>
    </row>
    <row r="39" spans="2:24" x14ac:dyDescent="0.25">
      <c r="B39" s="96" t="s">
        <v>22</v>
      </c>
      <c r="D39" s="97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573.12538945412371</v>
      </c>
      <c r="N39" s="36">
        <v>117.29312484672937</v>
      </c>
      <c r="O39" s="36">
        <v>112.68250080906526</v>
      </c>
      <c r="P39" s="36">
        <v>126.94686107745537</v>
      </c>
      <c r="Q39" s="36">
        <v>153.40197858417636</v>
      </c>
      <c r="R39" s="36">
        <v>2.7984535193465483</v>
      </c>
      <c r="S39" s="36">
        <v>59.231412817984442</v>
      </c>
      <c r="T39" s="36">
        <v>0</v>
      </c>
      <c r="U39" s="36">
        <v>5.6552213485806844</v>
      </c>
      <c r="V39" s="36">
        <v>507.91492547521182</v>
      </c>
      <c r="W39" s="36">
        <v>231.0270296382111</v>
      </c>
      <c r="X39" s="83"/>
    </row>
    <row r="40" spans="2:24" x14ac:dyDescent="0.25">
      <c r="B40" s="96" t="s">
        <v>23</v>
      </c>
      <c r="D40" s="97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186330.01528671462</v>
      </c>
      <c r="L40" s="36">
        <v>182025.02146765811</v>
      </c>
      <c r="M40" s="36">
        <v>181681.42535545546</v>
      </c>
      <c r="N40" s="36">
        <v>368916.86883965216</v>
      </c>
      <c r="O40" s="36">
        <v>457765.2040321742</v>
      </c>
      <c r="P40" s="36">
        <v>472684.29540701152</v>
      </c>
      <c r="Q40" s="36">
        <v>482346.7370056659</v>
      </c>
      <c r="R40" s="36">
        <v>482983.43918437773</v>
      </c>
      <c r="S40" s="36">
        <v>549975.23078728176</v>
      </c>
      <c r="T40" s="36">
        <v>549751.24538479187</v>
      </c>
      <c r="U40" s="36">
        <v>504278.06442351115</v>
      </c>
      <c r="V40" s="36">
        <v>507254.78182242229</v>
      </c>
      <c r="W40" s="36">
        <v>507278.40063334611</v>
      </c>
      <c r="X40" s="83"/>
    </row>
    <row r="41" spans="2:24" x14ac:dyDescent="0.25">
      <c r="B41" s="96" t="s">
        <v>24</v>
      </c>
      <c r="D41" s="97">
        <v>0</v>
      </c>
      <c r="E41" s="36">
        <v>0</v>
      </c>
      <c r="F41" s="36">
        <v>209854.97979227162</v>
      </c>
      <c r="G41" s="36">
        <v>491366.85271079687</v>
      </c>
      <c r="H41" s="36">
        <v>481736.92246048263</v>
      </c>
      <c r="I41" s="36">
        <v>958628.10896572843</v>
      </c>
      <c r="J41" s="36">
        <v>1185111.3152777355</v>
      </c>
      <c r="K41" s="36">
        <v>1436051.8374572054</v>
      </c>
      <c r="L41" s="36">
        <v>1427868.6879099561</v>
      </c>
      <c r="M41" s="36">
        <v>1502945.9367352636</v>
      </c>
      <c r="N41" s="36">
        <v>1435561.2555265911</v>
      </c>
      <c r="O41" s="36">
        <v>1517030.1016897736</v>
      </c>
      <c r="P41" s="36">
        <v>1533248.1933016428</v>
      </c>
      <c r="Q41" s="36">
        <v>1468420.3149270108</v>
      </c>
      <c r="R41" s="36">
        <v>1530388.9000888348</v>
      </c>
      <c r="S41" s="36">
        <v>1433596.0939072366</v>
      </c>
      <c r="T41" s="36">
        <v>1443360.7624894136</v>
      </c>
      <c r="U41" s="36">
        <v>1469761.2462177647</v>
      </c>
      <c r="V41" s="36">
        <v>1478650.7323304592</v>
      </c>
      <c r="W41" s="36">
        <v>1534502.7813476915</v>
      </c>
      <c r="X41" s="83"/>
    </row>
    <row r="42" spans="2:24" x14ac:dyDescent="0.25">
      <c r="B42" s="96" t="s">
        <v>25</v>
      </c>
      <c r="D42" s="97">
        <v>0</v>
      </c>
      <c r="E42" s="36">
        <v>0</v>
      </c>
      <c r="F42" s="36">
        <v>21115.769943418491</v>
      </c>
      <c r="G42" s="36">
        <v>20637.827343223078</v>
      </c>
      <c r="H42" s="36">
        <v>20233.362050668562</v>
      </c>
      <c r="I42" s="36">
        <v>121599.36642342506</v>
      </c>
      <c r="J42" s="36">
        <v>247782.73152638867</v>
      </c>
      <c r="K42" s="36">
        <v>634824.64747569873</v>
      </c>
      <c r="L42" s="36">
        <v>629144.56971921702</v>
      </c>
      <c r="M42" s="36">
        <v>2114160.3230094658</v>
      </c>
      <c r="N42" s="36">
        <v>2770909.1567259659</v>
      </c>
      <c r="O42" s="36">
        <v>2749727.930448933</v>
      </c>
      <c r="P42" s="36">
        <v>2752647.1265921406</v>
      </c>
      <c r="Q42" s="36">
        <v>2787426.0966055798</v>
      </c>
      <c r="R42" s="36">
        <v>2907778.7681400301</v>
      </c>
      <c r="S42" s="36">
        <v>2916881.074093827</v>
      </c>
      <c r="T42" s="36">
        <v>2882882.9767379048</v>
      </c>
      <c r="U42" s="36">
        <v>2508282.6628386597</v>
      </c>
      <c r="V42" s="36">
        <v>2514576.6260499409</v>
      </c>
      <c r="W42" s="36">
        <v>2336691.444451096</v>
      </c>
      <c r="X42" s="83"/>
    </row>
    <row r="43" spans="2:24" x14ac:dyDescent="0.25">
      <c r="B43" s="96" t="s">
        <v>60</v>
      </c>
      <c r="C43" s="34" t="s">
        <v>74</v>
      </c>
      <c r="D43" s="97">
        <v>3484.3199999999943</v>
      </c>
      <c r="E43" s="36">
        <v>3494.880000599986</v>
      </c>
      <c r="F43" s="36">
        <v>3475.3599993799858</v>
      </c>
      <c r="G43" s="36">
        <v>3026.4000005999878</v>
      </c>
      <c r="H43" s="36">
        <v>3494.880000599986</v>
      </c>
      <c r="I43" s="36">
        <v>3494.880000599986</v>
      </c>
      <c r="J43" s="36">
        <v>3489.7560005999862</v>
      </c>
      <c r="K43" s="36">
        <v>3797.4400018399861</v>
      </c>
      <c r="L43" s="36">
        <v>2999.9776018400039</v>
      </c>
      <c r="M43" s="36">
        <v>2999.9776018400039</v>
      </c>
      <c r="N43" s="36">
        <v>2999.9776018400039</v>
      </c>
      <c r="O43" s="36">
        <v>2999.9776018400039</v>
      </c>
      <c r="P43" s="36">
        <v>2999.9776018400039</v>
      </c>
      <c r="Q43" s="36">
        <v>2999.9776018400039</v>
      </c>
      <c r="R43" s="36">
        <v>2999.9776018400039</v>
      </c>
      <c r="S43" s="36">
        <v>2999.9776018400039</v>
      </c>
      <c r="T43" s="36">
        <v>2999.9776018400039</v>
      </c>
      <c r="U43" s="36">
        <v>2999.9776018400039</v>
      </c>
      <c r="V43" s="36">
        <v>2999.9776018400039</v>
      </c>
      <c r="W43" s="36">
        <v>2999.9776018400039</v>
      </c>
      <c r="X43" s="83"/>
    </row>
    <row r="44" spans="2:24" x14ac:dyDescent="0.25">
      <c r="B44" s="96" t="s">
        <v>61</v>
      </c>
      <c r="D44" s="97">
        <v>11495.439670639949</v>
      </c>
      <c r="E44" s="36">
        <v>11423.882354079969</v>
      </c>
      <c r="F44" s="36">
        <v>11380.25490367002</v>
      </c>
      <c r="G44" s="36">
        <v>11324.966215749941</v>
      </c>
      <c r="H44" s="36">
        <v>11267.373833020019</v>
      </c>
      <c r="I44" s="36">
        <v>11196.09497221001</v>
      </c>
      <c r="J44" s="36">
        <v>11154.492762349981</v>
      </c>
      <c r="K44" s="36">
        <v>11099.20407470996</v>
      </c>
      <c r="L44" s="36">
        <v>11043.915385869979</v>
      </c>
      <c r="M44" s="36">
        <v>10975.210237279991</v>
      </c>
      <c r="N44" s="36">
        <v>10933.33801120001</v>
      </c>
      <c r="O44" s="36">
        <v>10878.049322980029</v>
      </c>
      <c r="P44" s="36">
        <v>10825.064330419989</v>
      </c>
      <c r="Q44" s="36">
        <v>10756.62638630004</v>
      </c>
      <c r="R44" s="36">
        <v>10716.79065023998</v>
      </c>
      <c r="S44" s="36">
        <v>10663.80565799002</v>
      </c>
      <c r="T44" s="36">
        <v>10608.51697008002</v>
      </c>
      <c r="U44" s="36">
        <v>10542.64429892</v>
      </c>
      <c r="V44" s="36">
        <v>10504.850679760009</v>
      </c>
      <c r="W44" s="36">
        <v>8262.4336515200357</v>
      </c>
      <c r="X44" s="83"/>
    </row>
    <row r="45" spans="2:24" x14ac:dyDescent="0.25">
      <c r="B45" s="96" t="s">
        <v>62</v>
      </c>
      <c r="D45" s="97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83"/>
    </row>
    <row r="46" spans="2:24" x14ac:dyDescent="0.25">
      <c r="B46" s="96" t="s">
        <v>63</v>
      </c>
      <c r="D46" s="36">
        <v>79271.489425618536</v>
      </c>
      <c r="E46" s="36">
        <v>75330.000345003544</v>
      </c>
      <c r="F46" s="36">
        <v>118053.56379192657</v>
      </c>
      <c r="G46" s="36">
        <v>148069.13537143334</v>
      </c>
      <c r="H46" s="36">
        <v>147255.01249367732</v>
      </c>
      <c r="I46" s="36">
        <v>143883.64878490224</v>
      </c>
      <c r="J46" s="36">
        <v>135073.36568382819</v>
      </c>
      <c r="K46" s="36">
        <v>131417.50100698424</v>
      </c>
      <c r="L46" s="36">
        <v>129946.07370574752</v>
      </c>
      <c r="M46" s="36">
        <v>90639.211767767498</v>
      </c>
      <c r="N46" s="36">
        <v>78273.009561191546</v>
      </c>
      <c r="O46" s="36">
        <v>76839.882741412934</v>
      </c>
      <c r="P46" s="36">
        <v>74631.944822111705</v>
      </c>
      <c r="Q46" s="36">
        <v>88206.782036882621</v>
      </c>
      <c r="R46" s="36">
        <v>93615.633366560389</v>
      </c>
      <c r="S46" s="36">
        <v>98887.884890650123</v>
      </c>
      <c r="T46" s="36">
        <v>98428.684304088325</v>
      </c>
      <c r="U46" s="36">
        <v>103051.99270028219</v>
      </c>
      <c r="V46" s="36">
        <v>103742.24939967187</v>
      </c>
      <c r="W46" s="36">
        <v>102719.88689997481</v>
      </c>
      <c r="X46" s="83"/>
    </row>
    <row r="47" spans="2:24" x14ac:dyDescent="0.25">
      <c r="B47" s="96" t="s">
        <v>64</v>
      </c>
      <c r="D47" s="97">
        <v>420928.01731590769</v>
      </c>
      <c r="E47" s="36">
        <v>418486.14670799271</v>
      </c>
      <c r="F47" s="36">
        <v>851208.74106029933</v>
      </c>
      <c r="G47" s="36">
        <v>830514.11461731035</v>
      </c>
      <c r="H47" s="36">
        <v>814544.96360030968</v>
      </c>
      <c r="I47" s="36">
        <v>802106.93087182159</v>
      </c>
      <c r="J47" s="36">
        <v>788928.53413223696</v>
      </c>
      <c r="K47" s="36">
        <v>782448.66956288146</v>
      </c>
      <c r="L47" s="36">
        <v>762814.99317672628</v>
      </c>
      <c r="M47" s="36">
        <v>695079.62937475264</v>
      </c>
      <c r="N47" s="36">
        <v>521639.96697570983</v>
      </c>
      <c r="O47" s="36">
        <v>509423.90997936408</v>
      </c>
      <c r="P47" s="36">
        <v>493032.02295160753</v>
      </c>
      <c r="Q47" s="36">
        <v>492805.34441264201</v>
      </c>
      <c r="R47" s="36">
        <v>515060.94033782755</v>
      </c>
      <c r="S47" s="36">
        <v>524334.17598871724</v>
      </c>
      <c r="T47" s="36">
        <v>539516.88038118591</v>
      </c>
      <c r="U47" s="36">
        <v>550148.68329151988</v>
      </c>
      <c r="V47" s="36">
        <v>523153.76203156885</v>
      </c>
      <c r="W47" s="36">
        <v>603509.88977330178</v>
      </c>
      <c r="X47" s="83"/>
    </row>
    <row r="48" spans="2:24" x14ac:dyDescent="0.25">
      <c r="B48" s="96" t="s">
        <v>26</v>
      </c>
      <c r="D48" s="97">
        <v>875.2786013496451</v>
      </c>
      <c r="E48" s="36">
        <v>830.24909798623662</v>
      </c>
      <c r="F48" s="36">
        <v>803.5591319569985</v>
      </c>
      <c r="G48" s="36">
        <v>780.44195303431502</v>
      </c>
      <c r="H48" s="36">
        <v>760.31415160877953</v>
      </c>
      <c r="I48" s="36">
        <v>739.3669675660957</v>
      </c>
      <c r="J48" s="36">
        <v>724.01118323084813</v>
      </c>
      <c r="K48" s="36">
        <v>713.72988352201844</v>
      </c>
      <c r="L48" s="36">
        <v>692.72201967411183</v>
      </c>
      <c r="M48" s="36">
        <v>685.49266073818694</v>
      </c>
      <c r="N48" s="36">
        <v>692.8264212651203</v>
      </c>
      <c r="O48" s="36">
        <v>685.13381582700492</v>
      </c>
      <c r="P48" s="36">
        <v>678.06875956376791</v>
      </c>
      <c r="Q48" s="36">
        <v>672.99006829586642</v>
      </c>
      <c r="R48" s="36">
        <v>671.19832699633196</v>
      </c>
      <c r="S48" s="36">
        <v>665.81943268851558</v>
      </c>
      <c r="T48" s="36">
        <v>661.0001022138357</v>
      </c>
      <c r="U48" s="36">
        <v>619.48563471295063</v>
      </c>
      <c r="V48" s="36">
        <v>0</v>
      </c>
      <c r="W48" s="36">
        <v>0</v>
      </c>
      <c r="X48" s="83"/>
    </row>
    <row r="49" spans="1:25" x14ac:dyDescent="0.25">
      <c r="B49" s="96" t="s">
        <v>27</v>
      </c>
      <c r="D49" s="97">
        <v>386934.5825936218</v>
      </c>
      <c r="E49" s="36">
        <v>378454.16567063838</v>
      </c>
      <c r="F49" s="36">
        <v>369322.1843192075</v>
      </c>
      <c r="G49" s="36">
        <v>352601.57354267477</v>
      </c>
      <c r="H49" s="36">
        <v>344805.75152921147</v>
      </c>
      <c r="I49" s="36">
        <v>340871.29118873057</v>
      </c>
      <c r="J49" s="36">
        <v>339086.19538926065</v>
      </c>
      <c r="K49" s="36">
        <v>305038.09416763345</v>
      </c>
      <c r="L49" s="36">
        <v>268810.46564809821</v>
      </c>
      <c r="M49" s="36">
        <v>197952.16898646142</v>
      </c>
      <c r="N49" s="36">
        <v>136316.22280025072</v>
      </c>
      <c r="O49" s="36">
        <v>131295.00710639631</v>
      </c>
      <c r="P49" s="36">
        <v>134858.06563022756</v>
      </c>
      <c r="Q49" s="36">
        <v>147725.93820915153</v>
      </c>
      <c r="R49" s="36">
        <v>155905.64665842842</v>
      </c>
      <c r="S49" s="36">
        <v>162200.01702603634</v>
      </c>
      <c r="T49" s="36">
        <v>170833.4717097781</v>
      </c>
      <c r="U49" s="36">
        <v>179264.7422740047</v>
      </c>
      <c r="V49" s="36">
        <v>182005.38841245006</v>
      </c>
      <c r="W49" s="36">
        <v>209139.98859917856</v>
      </c>
      <c r="X49" s="83"/>
    </row>
    <row r="50" spans="1:25" x14ac:dyDescent="0.25">
      <c r="B50" s="96"/>
      <c r="C50" s="98" t="s">
        <v>28</v>
      </c>
      <c r="D50" s="99">
        <f>SUM(D30:D49)</f>
        <v>3859085.8895492987</v>
      </c>
      <c r="E50" s="99">
        <f t="shared" ref="E50:W50" si="33">SUM(E30:E49)</f>
        <v>3413521.8072794047</v>
      </c>
      <c r="F50" s="99">
        <f t="shared" si="33"/>
        <v>4108110.4361856226</v>
      </c>
      <c r="G50" s="99">
        <f>SUM(G30:G49)</f>
        <v>3307382.5752675487</v>
      </c>
      <c r="H50" s="99">
        <f t="shared" si="33"/>
        <v>3290471.7899051071</v>
      </c>
      <c r="I50" s="99">
        <f t="shared" si="33"/>
        <v>3788339.9463377763</v>
      </c>
      <c r="J50" s="99">
        <f t="shared" si="33"/>
        <v>3955838.7716386896</v>
      </c>
      <c r="K50" s="99">
        <f t="shared" si="33"/>
        <v>4441731.7628287971</v>
      </c>
      <c r="L50" s="99">
        <f t="shared" si="33"/>
        <v>4279375.8465351267</v>
      </c>
      <c r="M50" s="99">
        <f t="shared" si="33"/>
        <v>5457980.9273622725</v>
      </c>
      <c r="N50" s="99">
        <f t="shared" si="33"/>
        <v>5856302.2931448519</v>
      </c>
      <c r="O50" s="99">
        <f t="shared" si="33"/>
        <v>5947681.2518824805</v>
      </c>
      <c r="P50" s="99">
        <f t="shared" si="33"/>
        <v>5976873.4492775127</v>
      </c>
      <c r="Q50" s="99">
        <f t="shared" si="33"/>
        <v>6022340.7734664697</v>
      </c>
      <c r="R50" s="99">
        <f t="shared" si="33"/>
        <v>6195106.3039574167</v>
      </c>
      <c r="S50" s="99">
        <f t="shared" si="33"/>
        <v>6126638.1203626804</v>
      </c>
      <c r="T50" s="99">
        <f t="shared" si="33"/>
        <v>6115736.7738254415</v>
      </c>
      <c r="U50" s="99">
        <f t="shared" si="33"/>
        <v>5771204.7162977941</v>
      </c>
      <c r="V50" s="99">
        <f t="shared" si="33"/>
        <v>5781242.7801061356</v>
      </c>
      <c r="W50" s="99">
        <f t="shared" si="33"/>
        <v>5849961.4835607959</v>
      </c>
      <c r="X50" s="83"/>
    </row>
    <row r="51" spans="1:25" x14ac:dyDescent="0.25">
      <c r="B51" s="49" t="s">
        <v>29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1"/>
      <c r="X51" s="83"/>
    </row>
    <row r="52" spans="1:25" x14ac:dyDescent="0.25">
      <c r="B52" s="96" t="s">
        <v>30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24076.736919547962</v>
      </c>
      <c r="L52" s="36">
        <v>23214.6807088696</v>
      </c>
      <c r="M52" s="36">
        <v>30345.678428994288</v>
      </c>
      <c r="N52" s="36">
        <v>66758.131228745508</v>
      </c>
      <c r="O52" s="36">
        <v>98675.631838478395</v>
      </c>
      <c r="P52" s="36">
        <v>98593.308412790648</v>
      </c>
      <c r="Q52" s="36">
        <v>95386.039802073923</v>
      </c>
      <c r="R52" s="36">
        <v>92013.152737780765</v>
      </c>
      <c r="S52" s="36">
        <v>89206.453009569581</v>
      </c>
      <c r="T52" s="36">
        <v>87376.25827000523</v>
      </c>
      <c r="U52" s="36">
        <v>82342.874991015793</v>
      </c>
      <c r="V52" s="36">
        <v>80330.246133210268</v>
      </c>
      <c r="W52" s="36">
        <v>81180.255982228613</v>
      </c>
      <c r="X52" s="83"/>
    </row>
    <row r="53" spans="1:25" x14ac:dyDescent="0.25">
      <c r="A53" s="96"/>
      <c r="B53" s="96" t="s">
        <v>31</v>
      </c>
      <c r="D53" s="36">
        <v>0</v>
      </c>
      <c r="E53" s="36">
        <v>0</v>
      </c>
      <c r="F53" s="36">
        <v>70738.183372204119</v>
      </c>
      <c r="G53" s="36">
        <v>245131.47420712619</v>
      </c>
      <c r="H53" s="36">
        <v>235222.74554815268</v>
      </c>
      <c r="I53" s="36">
        <v>234339.42303256589</v>
      </c>
      <c r="J53" s="36">
        <v>372123.13937660208</v>
      </c>
      <c r="K53" s="36">
        <v>365067.75760566641</v>
      </c>
      <c r="L53" s="36">
        <v>358276.18803215493</v>
      </c>
      <c r="M53" s="36">
        <v>475870.00088550179</v>
      </c>
      <c r="N53" s="36">
        <v>554765.2820418739</v>
      </c>
      <c r="O53" s="36">
        <v>557184.74946959969</v>
      </c>
      <c r="P53" s="36">
        <v>553724.97138975107</v>
      </c>
      <c r="Q53" s="36">
        <v>518526.83425624773</v>
      </c>
      <c r="R53" s="36">
        <v>506194.16425628384</v>
      </c>
      <c r="S53" s="36">
        <v>485707.68187023117</v>
      </c>
      <c r="T53" s="36">
        <v>470440.60637478658</v>
      </c>
      <c r="U53" s="36">
        <v>446356.42153833079</v>
      </c>
      <c r="V53" s="36">
        <v>435804.75180109876</v>
      </c>
      <c r="W53" s="36">
        <v>435261.25110321422</v>
      </c>
      <c r="X53" s="102"/>
      <c r="Y53" s="96"/>
    </row>
    <row r="54" spans="1:25" x14ac:dyDescent="0.25">
      <c r="A54" s="96"/>
      <c r="B54" s="96" t="s">
        <v>32</v>
      </c>
      <c r="D54" s="36">
        <v>79.931568058284611</v>
      </c>
      <c r="E54" s="36">
        <v>113.02112320308852</v>
      </c>
      <c r="F54" s="36">
        <v>66.832654667845759</v>
      </c>
      <c r="G54" s="36">
        <v>87.218385239738069</v>
      </c>
      <c r="H54" s="36">
        <v>77.964455106064236</v>
      </c>
      <c r="I54" s="36">
        <v>206405.0990438179</v>
      </c>
      <c r="J54" s="36">
        <v>202917.12566947486</v>
      </c>
      <c r="K54" s="36">
        <v>200299.77106382887</v>
      </c>
      <c r="L54" s="36">
        <v>196157.5013672944</v>
      </c>
      <c r="M54" s="36">
        <v>286900.38824004127</v>
      </c>
      <c r="N54" s="36">
        <v>318504.69064818055</v>
      </c>
      <c r="O54" s="36">
        <v>324813.234269229</v>
      </c>
      <c r="P54" s="36">
        <v>318529.18621940783</v>
      </c>
      <c r="Q54" s="36">
        <v>300508.38496621861</v>
      </c>
      <c r="R54" s="36">
        <v>578534.55058260635</v>
      </c>
      <c r="S54" s="36">
        <v>562291.50639724417</v>
      </c>
      <c r="T54" s="36">
        <v>547217.86627740355</v>
      </c>
      <c r="U54" s="36">
        <v>536954.77414712287</v>
      </c>
      <c r="V54" s="36">
        <v>534875.86149036186</v>
      </c>
      <c r="W54" s="36">
        <v>523610.7977867591</v>
      </c>
      <c r="X54" s="102"/>
      <c r="Y54" s="96"/>
    </row>
    <row r="55" spans="1:25" x14ac:dyDescent="0.25">
      <c r="A55" s="96"/>
      <c r="B55" s="96" t="s">
        <v>65</v>
      </c>
      <c r="D55" s="36">
        <v>0</v>
      </c>
      <c r="E55" s="36">
        <v>0</v>
      </c>
      <c r="F55" s="36">
        <v>3184.6706051012002</v>
      </c>
      <c r="G55" s="36">
        <v>5697.7790061793412</v>
      </c>
      <c r="H55" s="36">
        <v>5588.7260525191432</v>
      </c>
      <c r="I55" s="36">
        <v>5467.7685190368611</v>
      </c>
      <c r="J55" s="36">
        <v>5393.8454640056543</v>
      </c>
      <c r="K55" s="36">
        <v>5351.3376536010019</v>
      </c>
      <c r="L55" s="36">
        <v>5227.2494252713932</v>
      </c>
      <c r="M55" s="36">
        <v>4962.413162679748</v>
      </c>
      <c r="N55" s="36">
        <v>4761.0588880946707</v>
      </c>
      <c r="O55" s="36">
        <v>4657.9929940570873</v>
      </c>
      <c r="P55" s="36">
        <v>4733.3571232503864</v>
      </c>
      <c r="Q55" s="36">
        <v>4752.6499814772587</v>
      </c>
      <c r="R55" s="36">
        <v>4693.6207526394164</v>
      </c>
      <c r="S55" s="36">
        <v>4819.8980479178281</v>
      </c>
      <c r="T55" s="36">
        <v>4959.5977179918764</v>
      </c>
      <c r="U55" s="36">
        <v>5120.0296590637654</v>
      </c>
      <c r="V55" s="36">
        <v>5197.5166073980099</v>
      </c>
      <c r="W55" s="36">
        <v>5190.5820250021316</v>
      </c>
      <c r="X55" s="102"/>
      <c r="Y55" s="96"/>
    </row>
    <row r="56" spans="1:25" x14ac:dyDescent="0.25">
      <c r="A56" s="96"/>
      <c r="B56" s="96"/>
      <c r="C56" s="103" t="s">
        <v>33</v>
      </c>
      <c r="D56" s="99">
        <f>SUM(D52:D54)</f>
        <v>79.931568058284611</v>
      </c>
      <c r="E56" s="99">
        <f t="shared" ref="E56:W56" si="34">SUM(E52:E54)</f>
        <v>113.02112320308852</v>
      </c>
      <c r="F56" s="99">
        <f t="shared" si="34"/>
        <v>70805.016026871963</v>
      </c>
      <c r="G56" s="99">
        <f t="shared" si="34"/>
        <v>245218.69259236593</v>
      </c>
      <c r="H56" s="99">
        <f t="shared" si="34"/>
        <v>235300.71000325875</v>
      </c>
      <c r="I56" s="99">
        <f t="shared" si="34"/>
        <v>440744.52207638382</v>
      </c>
      <c r="J56" s="99">
        <f t="shared" si="34"/>
        <v>575040.26504607697</v>
      </c>
      <c r="K56" s="99">
        <f t="shared" si="34"/>
        <v>589444.26558904327</v>
      </c>
      <c r="L56" s="99">
        <f t="shared" si="34"/>
        <v>577648.37010831898</v>
      </c>
      <c r="M56" s="99">
        <f t="shared" si="34"/>
        <v>793116.06755453744</v>
      </c>
      <c r="N56" s="99">
        <f t="shared" si="34"/>
        <v>940028.10391880001</v>
      </c>
      <c r="O56" s="99">
        <f t="shared" si="34"/>
        <v>980673.61557730706</v>
      </c>
      <c r="P56" s="99">
        <f t="shared" si="34"/>
        <v>970847.46602194954</v>
      </c>
      <c r="Q56" s="99">
        <f t="shared" si="34"/>
        <v>914421.25902454031</v>
      </c>
      <c r="R56" s="99">
        <f t="shared" si="34"/>
        <v>1176741.8675766708</v>
      </c>
      <c r="S56" s="99">
        <f t="shared" si="34"/>
        <v>1137205.641277045</v>
      </c>
      <c r="T56" s="99">
        <f t="shared" si="34"/>
        <v>1105034.7309221954</v>
      </c>
      <c r="U56" s="99">
        <f t="shared" si="34"/>
        <v>1065654.0706764695</v>
      </c>
      <c r="V56" s="99">
        <f t="shared" si="34"/>
        <v>1051010.8594246709</v>
      </c>
      <c r="W56" s="99">
        <f t="shared" si="34"/>
        <v>1040052.304872202</v>
      </c>
      <c r="X56" s="102"/>
      <c r="Y56" s="96"/>
    </row>
    <row r="57" spans="1:25" x14ac:dyDescent="0.25">
      <c r="A57" s="96"/>
      <c r="B57" s="96"/>
      <c r="C57" s="104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2"/>
      <c r="Y57" s="96"/>
    </row>
    <row r="58" spans="1:25" x14ac:dyDescent="0.25">
      <c r="A58" s="96"/>
      <c r="C58" s="103" t="s">
        <v>66</v>
      </c>
      <c r="D58" s="105">
        <f>D50+D56</f>
        <v>3859165.8211173569</v>
      </c>
      <c r="E58" s="105">
        <f t="shared" ref="E58:W58" si="35">E50+E56</f>
        <v>3413634.8284026077</v>
      </c>
      <c r="F58" s="105">
        <f t="shared" si="35"/>
        <v>4178915.4522124943</v>
      </c>
      <c r="G58" s="105">
        <f t="shared" si="35"/>
        <v>3552601.2678599148</v>
      </c>
      <c r="H58" s="105">
        <f t="shared" si="35"/>
        <v>3525772.4999083658</v>
      </c>
      <c r="I58" s="105">
        <f t="shared" si="35"/>
        <v>4229084.4684141604</v>
      </c>
      <c r="J58" s="105">
        <f t="shared" si="35"/>
        <v>4530879.0366847664</v>
      </c>
      <c r="K58" s="105">
        <f t="shared" si="35"/>
        <v>5031176.0284178406</v>
      </c>
      <c r="L58" s="105">
        <f t="shared" si="35"/>
        <v>4857024.2166434452</v>
      </c>
      <c r="M58" s="105">
        <f t="shared" si="35"/>
        <v>6251096.9949168097</v>
      </c>
      <c r="N58" s="105">
        <f t="shared" si="35"/>
        <v>6796330.3970636521</v>
      </c>
      <c r="O58" s="105">
        <f t="shared" si="35"/>
        <v>6928354.8674597871</v>
      </c>
      <c r="P58" s="105">
        <f t="shared" si="35"/>
        <v>6947720.9152994622</v>
      </c>
      <c r="Q58" s="105">
        <f t="shared" si="35"/>
        <v>6936762.0324910097</v>
      </c>
      <c r="R58" s="105">
        <f t="shared" si="35"/>
        <v>7371848.1715340875</v>
      </c>
      <c r="S58" s="105">
        <f t="shared" si="35"/>
        <v>7263843.7616397254</v>
      </c>
      <c r="T58" s="105">
        <f t="shared" si="35"/>
        <v>7220771.5047476366</v>
      </c>
      <c r="U58" s="105">
        <f t="shared" si="35"/>
        <v>6836858.7869742634</v>
      </c>
      <c r="V58" s="105">
        <f t="shared" si="35"/>
        <v>6832253.6395308068</v>
      </c>
      <c r="W58" s="105">
        <f t="shared" si="35"/>
        <v>6890013.7884329977</v>
      </c>
      <c r="X58" s="102"/>
      <c r="Y58" s="96"/>
    </row>
    <row r="59" spans="1:25" x14ac:dyDescent="0.25">
      <c r="A59" s="96"/>
      <c r="C59" s="104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2"/>
      <c r="Y59" s="96"/>
    </row>
    <row r="60" spans="1:25" x14ac:dyDescent="0.25"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83"/>
    </row>
    <row r="61" spans="1:25" x14ac:dyDescent="0.25"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83"/>
    </row>
    <row r="62" spans="1:25" x14ac:dyDescent="0.25">
      <c r="X62" s="83">
        <f>SUM(D62:W62)</f>
        <v>0</v>
      </c>
    </row>
    <row r="63" spans="1:25" ht="18.75" x14ac:dyDescent="0.3">
      <c r="B63" s="95" t="s">
        <v>35</v>
      </c>
      <c r="D63" s="39">
        <v>2023</v>
      </c>
      <c r="E63" s="39">
        <v>2024</v>
      </c>
      <c r="F63" s="39">
        <v>2025</v>
      </c>
      <c r="G63" s="39">
        <v>2026</v>
      </c>
      <c r="H63" s="39">
        <v>2027</v>
      </c>
      <c r="I63" s="39">
        <v>2028</v>
      </c>
      <c r="J63" s="39">
        <v>2029</v>
      </c>
      <c r="K63" s="39">
        <v>2030</v>
      </c>
      <c r="L63" s="39">
        <v>2031</v>
      </c>
      <c r="M63" s="39">
        <v>2032</v>
      </c>
      <c r="N63" s="39">
        <v>2033</v>
      </c>
      <c r="O63" s="39">
        <v>2034</v>
      </c>
      <c r="P63" s="39">
        <v>2035</v>
      </c>
      <c r="Q63" s="39">
        <v>2036</v>
      </c>
      <c r="R63" s="39">
        <v>2037</v>
      </c>
      <c r="S63" s="39">
        <v>2038</v>
      </c>
      <c r="T63" s="39">
        <v>2039</v>
      </c>
      <c r="U63" s="39">
        <v>2040</v>
      </c>
      <c r="V63" s="39">
        <v>2041</v>
      </c>
      <c r="W63" s="40">
        <v>2042</v>
      </c>
      <c r="X63" s="83"/>
    </row>
    <row r="64" spans="1:25" x14ac:dyDescent="0.25">
      <c r="B64" s="36" t="s">
        <v>19</v>
      </c>
      <c r="D64" s="36">
        <v>21327.83725004008</v>
      </c>
      <c r="E64" s="36">
        <v>20394.649072690787</v>
      </c>
      <c r="F64" s="36">
        <v>19826.03246369935</v>
      </c>
      <c r="G64" s="36">
        <v>19367.136520670152</v>
      </c>
      <c r="H64" s="36">
        <v>17888.243778419186</v>
      </c>
      <c r="I64" s="36">
        <v>18524.874082750306</v>
      </c>
      <c r="J64" s="36">
        <v>17835.634349585158</v>
      </c>
      <c r="K64" s="36">
        <v>17614.322375096071</v>
      </c>
      <c r="L64" s="36">
        <v>17262.307419098863</v>
      </c>
      <c r="M64" s="36">
        <v>14195.004571881842</v>
      </c>
      <c r="N64" s="36">
        <v>13003.089751930025</v>
      </c>
      <c r="O64" s="36">
        <v>12274.08906450074</v>
      </c>
      <c r="P64" s="36">
        <v>12343.324884657855</v>
      </c>
      <c r="Q64" s="36">
        <v>12678.489814561901</v>
      </c>
      <c r="R64" s="36">
        <v>12595.148034883279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83"/>
    </row>
    <row r="65" spans="1:25" x14ac:dyDescent="0.25">
      <c r="B65" s="36" t="s">
        <v>20</v>
      </c>
      <c r="D65" s="97">
        <v>214611.03194221164</v>
      </c>
      <c r="E65" s="36">
        <v>205676.67814757748</v>
      </c>
      <c r="F65" s="36">
        <v>207591.41173107753</v>
      </c>
      <c r="G65" s="36">
        <v>204383.21114906206</v>
      </c>
      <c r="H65" s="36">
        <v>195783.18170895919</v>
      </c>
      <c r="I65" s="36">
        <v>181991.65115440081</v>
      </c>
      <c r="J65" s="36">
        <v>185704.17964804108</v>
      </c>
      <c r="K65" s="36">
        <v>189696.7368576485</v>
      </c>
      <c r="L65" s="36">
        <v>187086.58764643013</v>
      </c>
      <c r="M65" s="36">
        <v>181155.39259078028</v>
      </c>
      <c r="N65" s="36">
        <v>165237.00846683083</v>
      </c>
      <c r="O65" s="36">
        <v>153580.0788214994</v>
      </c>
      <c r="P65" s="36">
        <v>168594.34692258952</v>
      </c>
      <c r="Q65" s="36">
        <v>181408.69459534905</v>
      </c>
      <c r="R65" s="36">
        <v>176982.72349361773</v>
      </c>
      <c r="S65" s="36">
        <v>177526.3168685743</v>
      </c>
      <c r="T65" s="36">
        <v>170926.56665991366</v>
      </c>
      <c r="U65" s="36">
        <v>162903.02687485237</v>
      </c>
      <c r="V65" s="36">
        <v>183564.39021913591</v>
      </c>
      <c r="W65" s="36">
        <v>270915.21267045103</v>
      </c>
      <c r="X65" s="83"/>
    </row>
    <row r="66" spans="1:25" x14ac:dyDescent="0.25">
      <c r="B66" s="36" t="s">
        <v>60</v>
      </c>
      <c r="D66" s="9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3494.880000599986</v>
      </c>
      <c r="J66" s="36">
        <v>3489.7560005999862</v>
      </c>
      <c r="K66" s="36">
        <v>3797.4400018399861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83"/>
    </row>
    <row r="67" spans="1:25" x14ac:dyDescent="0.25">
      <c r="B67" s="36" t="s">
        <v>61</v>
      </c>
      <c r="D67" s="97">
        <v>0</v>
      </c>
      <c r="E67" s="36">
        <v>0</v>
      </c>
      <c r="F67" s="36">
        <v>0</v>
      </c>
      <c r="G67" s="36">
        <v>0</v>
      </c>
      <c r="H67" s="36">
        <v>0</v>
      </c>
      <c r="I67" s="36">
        <v>11196.09497221001</v>
      </c>
      <c r="J67" s="36">
        <v>11154.492762349981</v>
      </c>
      <c r="K67" s="36">
        <v>11099.20407470996</v>
      </c>
      <c r="L67" s="36">
        <v>11043.915385869979</v>
      </c>
      <c r="M67" s="36">
        <v>10975.210237279991</v>
      </c>
      <c r="N67" s="36">
        <v>10933.33801120001</v>
      </c>
      <c r="O67" s="36">
        <v>10878.049322980029</v>
      </c>
      <c r="P67" s="36">
        <v>10825.064330419989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83"/>
    </row>
    <row r="68" spans="1:25" x14ac:dyDescent="0.25">
      <c r="B68" s="36" t="s">
        <v>63</v>
      </c>
      <c r="D68" s="97">
        <v>0</v>
      </c>
      <c r="E68" s="36">
        <v>0</v>
      </c>
      <c r="F68" s="36">
        <v>45195.22420134869</v>
      </c>
      <c r="G68" s="36">
        <v>77265.803170489744</v>
      </c>
      <c r="H68" s="36">
        <v>78233.955574832988</v>
      </c>
      <c r="I68" s="36">
        <v>76668.919278893605</v>
      </c>
      <c r="J68" s="36">
        <v>70153.077284286148</v>
      </c>
      <c r="K68" s="36">
        <v>68010.158826640763</v>
      </c>
      <c r="L68" s="36">
        <v>66998.942134449288</v>
      </c>
      <c r="M68" s="36">
        <v>41839.718329795352</v>
      </c>
      <c r="N68" s="36">
        <v>33595.870866864767</v>
      </c>
      <c r="O68" s="36">
        <v>34847.933944042015</v>
      </c>
      <c r="P68" s="36">
        <v>29539.302461014075</v>
      </c>
      <c r="Q68" s="36">
        <v>36323.75942855046</v>
      </c>
      <c r="R68" s="36">
        <v>31397.283173371488</v>
      </c>
      <c r="S68" s="36">
        <v>37832.168779061489</v>
      </c>
      <c r="T68" s="36">
        <v>37743.980283899014</v>
      </c>
      <c r="U68" s="36">
        <v>42733.17308118764</v>
      </c>
      <c r="V68" s="36">
        <v>43705.197866863244</v>
      </c>
      <c r="W68" s="36">
        <v>43040.696143443463</v>
      </c>
      <c r="X68" s="83"/>
    </row>
    <row r="69" spans="1:25" x14ac:dyDescent="0.25">
      <c r="B69" s="36" t="s">
        <v>64</v>
      </c>
      <c r="D69" s="97">
        <v>358309.32587133994</v>
      </c>
      <c r="E69" s="36">
        <v>343626.52148179652</v>
      </c>
      <c r="F69" s="36">
        <v>417534.94165034051</v>
      </c>
      <c r="G69" s="36">
        <v>408064.3151276391</v>
      </c>
      <c r="H69" s="36">
        <v>400045.09150365629</v>
      </c>
      <c r="I69" s="36">
        <v>393538.79671686853</v>
      </c>
      <c r="J69" s="36">
        <v>385882.69878651231</v>
      </c>
      <c r="K69" s="36">
        <v>382841.88200338278</v>
      </c>
      <c r="L69" s="36">
        <v>373997.87073705241</v>
      </c>
      <c r="M69" s="36">
        <v>367636.03029355232</v>
      </c>
      <c r="N69" s="36">
        <v>332672.59317959321</v>
      </c>
      <c r="O69" s="36">
        <v>331160.42644168367</v>
      </c>
      <c r="P69" s="36">
        <v>324909.29430252442</v>
      </c>
      <c r="Q69" s="36">
        <v>333511.55371179059</v>
      </c>
      <c r="R69" s="36">
        <v>328631.95990407222</v>
      </c>
      <c r="S69" s="36">
        <v>335119.18215281802</v>
      </c>
      <c r="T69" s="36">
        <v>338823.21119621489</v>
      </c>
      <c r="U69" s="36">
        <v>340966.39217547927</v>
      </c>
      <c r="V69" s="36">
        <v>309386.13077017118</v>
      </c>
      <c r="W69" s="36">
        <v>334371.64254790032</v>
      </c>
    </row>
    <row r="70" spans="1:25" x14ac:dyDescent="0.25">
      <c r="B70" s="36" t="s">
        <v>27</v>
      </c>
      <c r="D70" s="97">
        <v>370803.59149716701</v>
      </c>
      <c r="E70" s="97">
        <v>352556.40633786126</v>
      </c>
      <c r="F70" s="97">
        <v>341309.53077463625</v>
      </c>
      <c r="G70" s="97">
        <v>324989.8565423073</v>
      </c>
      <c r="H70" s="97">
        <v>316945.45340309746</v>
      </c>
      <c r="I70" s="97">
        <v>313549.26962539909</v>
      </c>
      <c r="J70" s="97">
        <v>312253.53928069811</v>
      </c>
      <c r="K70" s="97">
        <v>310275.13417355623</v>
      </c>
      <c r="L70" s="97">
        <v>283335.09599716053</v>
      </c>
      <c r="M70" s="97">
        <v>175875.15497894317</v>
      </c>
      <c r="N70" s="97">
        <v>122116.20168099151</v>
      </c>
      <c r="O70" s="97">
        <v>118685.24733111638</v>
      </c>
      <c r="P70" s="97">
        <v>123922.15710128778</v>
      </c>
      <c r="Q70" s="97">
        <v>144582.89170557164</v>
      </c>
      <c r="R70" s="97">
        <v>136424.95880668049</v>
      </c>
      <c r="S70" s="97">
        <v>150883.8754243225</v>
      </c>
      <c r="T70" s="97">
        <v>159362.80739995997</v>
      </c>
      <c r="U70" s="97">
        <v>166265.26697545851</v>
      </c>
      <c r="V70" s="97">
        <v>168940.68175148539</v>
      </c>
      <c r="W70" s="97">
        <v>196156.80957928539</v>
      </c>
    </row>
    <row r="71" spans="1:25" x14ac:dyDescent="0.25">
      <c r="C71" s="98" t="s">
        <v>34</v>
      </c>
      <c r="D71" s="109">
        <f>SUM(D64:D70)</f>
        <v>965051.78656075872</v>
      </c>
      <c r="E71" s="109">
        <f t="shared" ref="E71:W71" si="36">SUM(E64:E70)</f>
        <v>922254.25503992592</v>
      </c>
      <c r="F71" s="109">
        <f t="shared" si="36"/>
        <v>1031457.1408211023</v>
      </c>
      <c r="G71" s="109">
        <f t="shared" si="36"/>
        <v>1034070.3225101683</v>
      </c>
      <c r="H71" s="109">
        <f t="shared" si="36"/>
        <v>1008895.9259689652</v>
      </c>
      <c r="I71" s="109">
        <f t="shared" si="36"/>
        <v>998964.48583112238</v>
      </c>
      <c r="J71" s="109">
        <f t="shared" si="36"/>
        <v>986473.37811207282</v>
      </c>
      <c r="K71" s="109">
        <f t="shared" si="36"/>
        <v>983334.87831287435</v>
      </c>
      <c r="L71" s="109">
        <f t="shared" si="36"/>
        <v>939724.71932006115</v>
      </c>
      <c r="M71" s="109">
        <f t="shared" si="36"/>
        <v>791676.5110022329</v>
      </c>
      <c r="N71" s="109">
        <f t="shared" si="36"/>
        <v>677558.10195741034</v>
      </c>
      <c r="O71" s="109">
        <f t="shared" si="36"/>
        <v>661425.82492582221</v>
      </c>
      <c r="P71" s="109">
        <f t="shared" si="36"/>
        <v>670133.49000249361</v>
      </c>
      <c r="Q71" s="109">
        <f t="shared" si="36"/>
        <v>708505.38925582368</v>
      </c>
      <c r="R71" s="109">
        <f t="shared" si="36"/>
        <v>686032.07341262524</v>
      </c>
      <c r="S71" s="109">
        <f t="shared" si="36"/>
        <v>701361.5432247764</v>
      </c>
      <c r="T71" s="109">
        <f t="shared" si="36"/>
        <v>706856.56553998752</v>
      </c>
      <c r="U71" s="109">
        <f t="shared" si="36"/>
        <v>712867.8591069777</v>
      </c>
      <c r="V71" s="109">
        <f t="shared" si="36"/>
        <v>705596.40060765576</v>
      </c>
      <c r="W71" s="109">
        <f t="shared" si="36"/>
        <v>844484.36094108014</v>
      </c>
    </row>
    <row r="72" spans="1:25" s="35" customFormat="1" ht="15.75" thickBot="1" x14ac:dyDescent="0.3">
      <c r="A72" s="34"/>
      <c r="B72" s="34"/>
      <c r="C72" s="110" t="s">
        <v>72</v>
      </c>
      <c r="D72" s="111">
        <f>D64+D66+D67+D69+D68+D70</f>
        <v>750440.75461854704</v>
      </c>
      <c r="E72" s="111">
        <f t="shared" ref="E72:W72" si="37">E64+E66+E67+E69+E68+E70</f>
        <v>716577.57689234859</v>
      </c>
      <c r="F72" s="111">
        <f t="shared" si="37"/>
        <v>823865.72909002472</v>
      </c>
      <c r="G72" s="111">
        <f t="shared" si="37"/>
        <v>829687.11136110628</v>
      </c>
      <c r="H72" s="111">
        <f t="shared" si="37"/>
        <v>813112.74426000589</v>
      </c>
      <c r="I72" s="111">
        <f t="shared" si="37"/>
        <v>816972.8346767216</v>
      </c>
      <c r="J72" s="111">
        <f t="shared" si="37"/>
        <v>800769.19846403168</v>
      </c>
      <c r="K72" s="111">
        <f t="shared" si="37"/>
        <v>793638.14145522576</v>
      </c>
      <c r="L72" s="111">
        <f t="shared" si="37"/>
        <v>752638.13167363103</v>
      </c>
      <c r="M72" s="111">
        <f t="shared" si="37"/>
        <v>610521.11841145274</v>
      </c>
      <c r="N72" s="111">
        <f t="shared" si="37"/>
        <v>512321.09349057951</v>
      </c>
      <c r="O72" s="111">
        <f t="shared" si="37"/>
        <v>507845.74610432284</v>
      </c>
      <c r="P72" s="111">
        <f t="shared" si="37"/>
        <v>501539.14307990414</v>
      </c>
      <c r="Q72" s="111">
        <f t="shared" si="37"/>
        <v>527096.69466047466</v>
      </c>
      <c r="R72" s="111">
        <f t="shared" si="37"/>
        <v>509049.34991900751</v>
      </c>
      <c r="S72" s="111">
        <f t="shared" si="37"/>
        <v>523835.22635620198</v>
      </c>
      <c r="T72" s="111">
        <f t="shared" si="37"/>
        <v>535929.99888007389</v>
      </c>
      <c r="U72" s="111">
        <f t="shared" si="37"/>
        <v>549964.83223212545</v>
      </c>
      <c r="V72" s="111">
        <f t="shared" si="37"/>
        <v>522032.01038851979</v>
      </c>
      <c r="W72" s="111">
        <f t="shared" si="37"/>
        <v>573569.14827062911</v>
      </c>
      <c r="X72" s="108"/>
      <c r="Y72" s="34"/>
    </row>
    <row r="74" spans="1:25" x14ac:dyDescent="0.25">
      <c r="E74" s="34"/>
      <c r="F74" s="112"/>
      <c r="G74" s="112"/>
      <c r="H74" s="112"/>
      <c r="I74" s="112"/>
      <c r="J74" s="112"/>
      <c r="K74" s="112"/>
      <c r="L74" s="112"/>
      <c r="M74" s="112"/>
    </row>
    <row r="75" spans="1:25" x14ac:dyDescent="0.25">
      <c r="E75" s="113"/>
      <c r="F75" s="114"/>
      <c r="G75" s="114"/>
      <c r="H75" s="114"/>
      <c r="I75" s="114"/>
      <c r="J75" s="114"/>
      <c r="K75" s="114"/>
      <c r="L75" s="114"/>
      <c r="M75" s="114"/>
    </row>
    <row r="76" spans="1:25" x14ac:dyDescent="0.25">
      <c r="G76" s="114"/>
      <c r="H76" s="114"/>
      <c r="I76" s="114"/>
      <c r="J76" s="114"/>
      <c r="K76" s="114"/>
      <c r="L76" s="114"/>
      <c r="M76" s="114"/>
    </row>
  </sheetData>
  <mergeCells count="1">
    <mergeCell ref="B27:W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9B79-BD2D-4628-9436-E7F883D19E6B}">
  <dimension ref="C2:U49"/>
  <sheetViews>
    <sheetView showGridLines="0" tabSelected="1" zoomScale="70" zoomScaleNormal="70" workbookViewId="0">
      <selection activeCell="AB24" sqref="AB24"/>
    </sheetView>
  </sheetViews>
  <sheetFormatPr defaultRowHeight="15" x14ac:dyDescent="0.25"/>
  <sheetData>
    <row r="2" spans="5:15" ht="18.75" x14ac:dyDescent="0.25">
      <c r="E2" s="7" t="s">
        <v>67</v>
      </c>
      <c r="O2" s="7" t="s">
        <v>12</v>
      </c>
    </row>
    <row r="19" spans="3:21" x14ac:dyDescent="0.25">
      <c r="E19" s="4"/>
    </row>
    <row r="26" spans="3:21" ht="15.75" x14ac:dyDescent="0.25">
      <c r="C26" s="8"/>
    </row>
    <row r="32" spans="3:21" x14ac:dyDescent="0.25">
      <c r="U32" s="9"/>
    </row>
    <row r="49" spans="7:15" x14ac:dyDescent="0.25">
      <c r="G49" t="s">
        <v>15</v>
      </c>
      <c r="K49" t="s">
        <v>14</v>
      </c>
      <c r="O49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C365-920B-4665-A124-B60B0B25ED97}">
  <dimension ref="E3:J11"/>
  <sheetViews>
    <sheetView showGridLines="0" workbookViewId="0">
      <selection activeCell="F14" sqref="F14"/>
    </sheetView>
  </sheetViews>
  <sheetFormatPr defaultRowHeight="15" x14ac:dyDescent="0.25"/>
  <cols>
    <col min="5" max="5" width="41.85546875" customWidth="1"/>
    <col min="6" max="6" width="9.85546875" bestFit="1" customWidth="1"/>
    <col min="10" max="10" width="10.140625" bestFit="1" customWidth="1"/>
  </cols>
  <sheetData>
    <row r="3" spans="5:10" x14ac:dyDescent="0.25">
      <c r="E3" s="2" t="s">
        <v>69</v>
      </c>
    </row>
    <row r="5" spans="5:10" ht="13.5" customHeight="1" x14ac:dyDescent="0.25">
      <c r="E5" s="13"/>
      <c r="F5" s="14">
        <v>20221</v>
      </c>
      <c r="G5" s="14">
        <v>2023</v>
      </c>
      <c r="H5" s="14">
        <v>2024</v>
      </c>
      <c r="I5" s="14">
        <v>2025</v>
      </c>
      <c r="J5" s="14" t="s">
        <v>42</v>
      </c>
    </row>
    <row r="6" spans="5:10" ht="13.5" customHeight="1" x14ac:dyDescent="0.25">
      <c r="E6" s="11" t="s">
        <v>39</v>
      </c>
      <c r="F6" s="31">
        <v>4051127.9006054234</v>
      </c>
      <c r="G6" s="12">
        <f>'WA CETA Summary'!D4</f>
        <v>4128750.5847235192</v>
      </c>
      <c r="H6" s="19">
        <f>'WA CETA Summary'!E4</f>
        <v>4141106.8831134127</v>
      </c>
      <c r="I6" s="19">
        <f>'WA CETA Summary'!F4</f>
        <v>4106386.1936934362</v>
      </c>
      <c r="J6" s="12">
        <f>SUM(F6:I6)</f>
        <v>16427371.562135791</v>
      </c>
    </row>
    <row r="7" spans="5:10" ht="13.5" customHeight="1" x14ac:dyDescent="0.25">
      <c r="E7" s="11" t="s">
        <v>40</v>
      </c>
      <c r="F7" s="31">
        <v>1262110.6562539418</v>
      </c>
      <c r="G7" s="12">
        <f>'WA CETA Summary'!D9</f>
        <v>1081277.4479032669</v>
      </c>
      <c r="H7" s="19">
        <f>'WA CETA Summary'!E9</f>
        <v>1028235.6508171868</v>
      </c>
      <c r="I7" s="19">
        <f>'WA CETA Summary'!F9</f>
        <v>1367667.3227981552</v>
      </c>
      <c r="J7" s="12">
        <f>SUM(F7:I7)</f>
        <v>4739291.0777725503</v>
      </c>
    </row>
    <row r="8" spans="5:10" ht="13.5" customHeight="1" x14ac:dyDescent="0.25">
      <c r="E8" s="10" t="s">
        <v>41</v>
      </c>
      <c r="F8" s="31">
        <v>2789017.2443514816</v>
      </c>
      <c r="G8" s="12">
        <f>G6-G7</f>
        <v>3047473.1368202521</v>
      </c>
      <c r="H8" s="19">
        <f t="shared" ref="H8:I8" si="0">H6-H7</f>
        <v>3112871.2322962256</v>
      </c>
      <c r="I8" s="19">
        <f t="shared" si="0"/>
        <v>2738718.870895281</v>
      </c>
      <c r="J8" s="12">
        <f>SUM(F8:I8)</f>
        <v>11688080.484363239</v>
      </c>
    </row>
    <row r="9" spans="5:10" ht="13.5" customHeight="1" thickBot="1" x14ac:dyDescent="0.3">
      <c r="E9" s="17" t="s">
        <v>43</v>
      </c>
      <c r="F9" s="32">
        <v>0.31154549725900404</v>
      </c>
      <c r="G9" s="18">
        <f>G7/G6</f>
        <v>0.26188974744660543</v>
      </c>
      <c r="H9" s="20">
        <f t="shared" ref="H9:I9" si="1">H7/H6</f>
        <v>0.24829971305742471</v>
      </c>
      <c r="I9" s="20">
        <f t="shared" si="1"/>
        <v>0.33305862095937561</v>
      </c>
      <c r="J9" s="18"/>
    </row>
    <row r="10" spans="5:10" ht="13.5" customHeight="1" x14ac:dyDescent="0.25">
      <c r="E10" s="15" t="s">
        <v>44</v>
      </c>
      <c r="F10" s="33">
        <v>1262110.6562539418</v>
      </c>
      <c r="G10" s="16">
        <f>G9*G6</f>
        <v>1081277.4479032669</v>
      </c>
      <c r="H10" s="16">
        <f t="shared" ref="H10:I10" si="2">H9*H6</f>
        <v>1028235.6508171868</v>
      </c>
      <c r="I10" s="16">
        <f t="shared" si="2"/>
        <v>1367667.3227981552</v>
      </c>
      <c r="J10" s="16">
        <f>SUM(F10:I10)</f>
        <v>4739291.0777725503</v>
      </c>
    </row>
    <row r="11" spans="5:10" x14ac:dyDescent="0.25">
      <c r="E11" s="4" t="s">
        <v>68</v>
      </c>
      <c r="F11" s="4"/>
      <c r="G11" s="4"/>
      <c r="H11" s="4"/>
      <c r="I11" s="4"/>
      <c r="J11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2850E-86AD-4710-840E-381EC4CFA3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8F5E3D-3AF1-409B-8CD9-E9C43F09B072}"/>
</file>

<file path=customXml/itemProps3.xml><?xml version="1.0" encoding="utf-8"?>
<ds:datastoreItem xmlns:ds="http://schemas.openxmlformats.org/officeDocument/2006/customXml" ds:itemID="{80DACFCC-3E25-4DD6-8298-DCE9BB4232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68A618-C1EE-41C8-A949-98FD08BCE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 CETA Summary</vt:lpstr>
      <vt:lpstr>Graphs - Interim Targets</vt:lpstr>
      <vt:lpstr>Table - Interim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Rohini (PacifiCorp)</dc:creator>
  <cp:lastModifiedBy>Baker, Randy (PacifiCorp)</cp:lastModifiedBy>
  <dcterms:created xsi:type="dcterms:W3CDTF">2021-08-19T03:59:22Z</dcterms:created>
  <dcterms:modified xsi:type="dcterms:W3CDTF">2023-04-14T20:38:32Z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