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45" windowWidth="16260" windowHeight="6585"/>
  </bookViews>
  <sheets>
    <sheet name="Exh 6" sheetId="1" r:id="rId1"/>
    <sheet name="REC Revenue" sheetId="2" r:id="rId2"/>
    <sheet name="Sales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19" i="1"/>
  <c r="I23" l="1"/>
  <c r="R8" i="2"/>
  <c r="S12" i="3" l="1"/>
  <c r="R12"/>
  <c r="Q12"/>
  <c r="P12"/>
  <c r="O12"/>
  <c r="N12"/>
  <c r="M12"/>
  <c r="L12"/>
  <c r="K12"/>
  <c r="J12"/>
  <c r="I12"/>
  <c r="H12"/>
  <c r="G12"/>
  <c r="F12"/>
  <c r="E12"/>
  <c r="D12"/>
  <c r="C12"/>
  <c r="B12"/>
  <c r="T12" s="1"/>
  <c r="T11"/>
  <c r="T10"/>
  <c r="T9"/>
  <c r="T8"/>
  <c r="T7"/>
  <c r="T6"/>
  <c r="D16" i="1"/>
  <c r="D14"/>
  <c r="F12"/>
  <c r="E12"/>
  <c r="D12"/>
  <c r="C12"/>
  <c r="U33" i="2"/>
  <c r="N33"/>
  <c r="G33"/>
  <c r="N24"/>
  <c r="U19"/>
  <c r="N19"/>
  <c r="G19"/>
  <c r="U11"/>
  <c r="N11"/>
  <c r="G11"/>
  <c r="U10"/>
  <c r="N10"/>
  <c r="G10"/>
  <c r="U9"/>
  <c r="N9"/>
  <c r="U8"/>
  <c r="U12" s="1"/>
  <c r="C16" i="1" s="1"/>
  <c r="K8" i="2"/>
  <c r="N8" s="1"/>
  <c r="N12" s="1"/>
  <c r="N21" s="1"/>
  <c r="N22" s="1"/>
  <c r="N27" s="1"/>
  <c r="N35" s="1"/>
  <c r="G8"/>
  <c r="G12" s="1"/>
  <c r="G21" s="1"/>
  <c r="G22" s="1"/>
  <c r="G27" s="1"/>
  <c r="G35" s="1"/>
  <c r="L6"/>
  <c r="E6"/>
  <c r="G12" i="1" l="1"/>
  <c r="H12" s="1"/>
  <c r="I12" s="1"/>
  <c r="G16"/>
  <c r="U21" i="2"/>
  <c r="U22" s="1"/>
  <c r="U27" s="1"/>
  <c r="U35" s="1"/>
  <c r="C14" i="1"/>
  <c r="G14" s="1"/>
  <c r="H14" l="1"/>
  <c r="I14" s="1"/>
  <c r="H16" s="1"/>
  <c r="I16" s="1"/>
  <c r="I18" s="1"/>
  <c r="I21" s="1"/>
  <c r="I26" s="1"/>
</calcChain>
</file>

<file path=xl/sharedStrings.xml><?xml version="1.0" encoding="utf-8"?>
<sst xmlns="http://schemas.openxmlformats.org/spreadsheetml/2006/main" count="136" uniqueCount="66">
  <si>
    <t>Jan 1 - Jun 30 2016</t>
  </si>
  <si>
    <t>REC</t>
  </si>
  <si>
    <t>Revenue</t>
  </si>
  <si>
    <t>Expenses</t>
  </si>
  <si>
    <t>Projected</t>
  </si>
  <si>
    <t>REC Revenue</t>
  </si>
  <si>
    <t>In Base</t>
  </si>
  <si>
    <t>Rates</t>
  </si>
  <si>
    <t>Net REC</t>
  </si>
  <si>
    <t>Total</t>
  </si>
  <si>
    <t>1/1/15 - 6/30/16</t>
  </si>
  <si>
    <t>WA Retail Sales, kWh</t>
  </si>
  <si>
    <t>REC Expense</t>
  </si>
  <si>
    <t>REC Revenue Rebate Calculation</t>
  </si>
  <si>
    <t>REC Revenue and Expenses, 2012 through June 2016.</t>
  </si>
  <si>
    <t>Interest</t>
  </si>
  <si>
    <t>Estimated</t>
  </si>
  <si>
    <t>Balance</t>
  </si>
  <si>
    <t>This is the REC revenue balance including interest as of 12-31-13.</t>
  </si>
  <si>
    <t>2012 - 2013</t>
  </si>
  <si>
    <t>Average</t>
  </si>
  <si>
    <t>Quantity</t>
  </si>
  <si>
    <t>Price</t>
  </si>
  <si>
    <t>2016 trhu June 30</t>
  </si>
  <si>
    <t>Executed Sales</t>
  </si>
  <si>
    <t>Projected Sales</t>
  </si>
  <si>
    <t xml:space="preserve">CEC </t>
  </si>
  <si>
    <t>CEC Long-term</t>
  </si>
  <si>
    <t>Green E</t>
  </si>
  <si>
    <t>Other</t>
  </si>
  <si>
    <t>WREGIS</t>
  </si>
  <si>
    <t>Green-e</t>
  </si>
  <si>
    <t>Brokers</t>
  </si>
  <si>
    <t>Net Revenue</t>
  </si>
  <si>
    <t>WA Allocation</t>
  </si>
  <si>
    <t>WA Directly Assigned Revenue</t>
  </si>
  <si>
    <t>WA Directly Assigned Cost</t>
  </si>
  <si>
    <t>Net WA REC Revenue</t>
  </si>
  <si>
    <t>WA Authorized REC Revenue</t>
  </si>
  <si>
    <t>WA Authorized REC Expense</t>
  </si>
  <si>
    <t>WA Authorized Net REC Revenue</t>
  </si>
  <si>
    <t>WA REC Revenue in excess of Authorized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</si>
  <si>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</si>
  <si>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</si>
  <si>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</si>
  <si>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</si>
  <si>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</si>
  <si>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</si>
  <si>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</si>
  <si>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</si>
  <si>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</si>
  <si>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</si>
  <si>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</si>
  <si>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</si>
  <si>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18 Month Total</t>
  </si>
  <si>
    <t>Residential Schedule 001</t>
  </si>
  <si>
    <t>General Svc Schedule 011/012</t>
  </si>
  <si>
    <t>Large Gen Svc Schedule 021/022</t>
  </si>
  <si>
    <t>Extra Large Gen Schedule 25</t>
  </si>
  <si>
    <t>Pumping Schedule 31/32</t>
  </si>
  <si>
    <t>Street and Area Lights</t>
  </si>
  <si>
    <t xml:space="preserve">     Total</t>
  </si>
  <si>
    <t>REC Revenue Rebate (cents/kWh)</t>
  </si>
  <si>
    <t>Revenue Gross-up Factor</t>
  </si>
  <si>
    <t>Revenue Requirement</t>
  </si>
  <si>
    <t>Washington Allocation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</si>
</sst>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_(* #,##0.0_);_(* \(#,##0.0\);_(* &quot;-&quot;??_);_(@_)"/>
    <numFmt numFmtId="166" formatCode="&quot;$&quot;#,##0.00"/>
    <numFmt numFmtId="167" formatCode="_(* #,##0_);_(* \(#,##0\);_(* &quot;-&quot;??_);_(@_)"/>
    <numFmt numFmtId="168" formatCode="0.000000"/>
    <numFmt numFmtId="169" formatCode="&quot;$&quot;#,##0.00000"/>
  </numFmts>
  <fonts count="5"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5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167" fontId="0" fillId="0" borderId="0" xfId="1" applyNumberFormat="1" applyFont="1"/>
    <xf numFmtId="167" fontId="0" fillId="0" borderId="1" xfId="1" applyNumberFormat="1" applyFont="1" applyBorder="1"/>
    <xf numFmtId="166" fontId="0" fillId="0" borderId="1" xfId="0" applyNumberFormat="1" applyBorder="1"/>
    <xf numFmtId="164" fontId="0" fillId="0" borderId="1" xfId="0" applyNumberFormat="1" applyBorder="1"/>
    <xf numFmtId="0" fontId="0" fillId="0" borderId="0" xfId="0" applyFill="1" applyBorder="1"/>
    <xf numFmtId="0" fontId="0" fillId="0" borderId="2" xfId="0" applyFont="1" applyBorder="1"/>
    <xf numFmtId="165" fontId="3" fillId="0" borderId="3" xfId="1" applyNumberFormat="1" applyFont="1" applyBorder="1"/>
    <xf numFmtId="166" fontId="0" fillId="0" borderId="3" xfId="0" applyNumberFormat="1" applyFont="1" applyBorder="1"/>
    <xf numFmtId="0" fontId="0" fillId="0" borderId="3" xfId="0" applyFont="1" applyBorder="1"/>
    <xf numFmtId="164" fontId="0" fillId="0" borderId="4" xfId="0" applyNumberFormat="1" applyFont="1" applyBorder="1"/>
    <xf numFmtId="5" fontId="0" fillId="0" borderId="0" xfId="1" applyNumberFormat="1" applyFont="1"/>
    <xf numFmtId="0" fontId="4" fillId="0" borderId="2" xfId="0" applyFont="1" applyBorder="1"/>
    <xf numFmtId="0" fontId="4" fillId="0" borderId="3" xfId="0" applyFont="1" applyBorder="1"/>
    <xf numFmtId="164" fontId="4" fillId="0" borderId="4" xfId="0" applyNumberFormat="1" applyFont="1" applyBorder="1"/>
    <xf numFmtId="167" fontId="0" fillId="0" borderId="0" xfId="0" applyNumberFormat="1"/>
    <xf numFmtId="168" fontId="0" fillId="0" borderId="1" xfId="0" applyNumberFormat="1" applyBorder="1"/>
    <xf numFmtId="16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shington%20Rate%20Cases\WA%20Rate%20Case%202014%20End%20Dec%202015\Backup\REC%20Revenue%20Projec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9">
          <cell r="N19">
            <v>70000</v>
          </cell>
        </row>
        <row r="25">
          <cell r="N25">
            <v>725000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H2" sqref="H2"/>
    </sheetView>
  </sheetViews>
  <sheetFormatPr defaultRowHeight="12.75"/>
  <cols>
    <col min="1" max="1" width="18" customWidth="1"/>
    <col min="2" max="2" width="2.85546875" customWidth="1"/>
    <col min="3" max="3" width="10" customWidth="1"/>
    <col min="4" max="4" width="11" customWidth="1"/>
    <col min="5" max="7" width="12.85546875" customWidth="1"/>
    <col min="8" max="8" width="11.5703125" customWidth="1"/>
    <col min="9" max="9" width="15.140625" customWidth="1"/>
  </cols>
  <sheetData>
    <row r="1" spans="1:9" ht="15.75">
      <c r="A1" s="9" t="s">
        <v>13</v>
      </c>
    </row>
    <row r="2" spans="1:9" ht="15.75">
      <c r="A2" s="9" t="s">
        <v>14</v>
      </c>
    </row>
    <row r="3" spans="1:9" ht="15.75">
      <c r="A3" s="9" t="s">
        <v>65</v>
      </c>
    </row>
    <row r="5" spans="1:9">
      <c r="I5" s="1"/>
    </row>
    <row r="6" spans="1:9">
      <c r="C6" s="7" t="s">
        <v>4</v>
      </c>
      <c r="D6" s="7" t="s">
        <v>4</v>
      </c>
      <c r="E6" s="7" t="s">
        <v>5</v>
      </c>
      <c r="F6" s="7" t="s">
        <v>12</v>
      </c>
      <c r="G6" s="7"/>
      <c r="H6" s="7"/>
      <c r="I6" s="11" t="s">
        <v>8</v>
      </c>
    </row>
    <row r="7" spans="1:9">
      <c r="C7" s="7" t="s">
        <v>1</v>
      </c>
      <c r="D7" s="7" t="s">
        <v>1</v>
      </c>
      <c r="E7" s="7" t="s">
        <v>6</v>
      </c>
      <c r="F7" s="7" t="s">
        <v>6</v>
      </c>
      <c r="G7" s="7" t="s">
        <v>8</v>
      </c>
      <c r="H7" s="7" t="s">
        <v>16</v>
      </c>
      <c r="I7" s="12" t="s">
        <v>2</v>
      </c>
    </row>
    <row r="8" spans="1:9">
      <c r="C8" s="8" t="s">
        <v>2</v>
      </c>
      <c r="D8" s="8" t="s">
        <v>3</v>
      </c>
      <c r="E8" s="8" t="s">
        <v>7</v>
      </c>
      <c r="F8" s="8" t="s">
        <v>7</v>
      </c>
      <c r="G8" s="8" t="s">
        <v>2</v>
      </c>
      <c r="H8" s="8" t="s">
        <v>15</v>
      </c>
      <c r="I8" s="10" t="s">
        <v>17</v>
      </c>
    </row>
    <row r="10" spans="1:9">
      <c r="A10" s="1" t="s">
        <v>19</v>
      </c>
      <c r="C10" s="13" t="s">
        <v>18</v>
      </c>
      <c r="D10" s="2"/>
      <c r="E10" s="2"/>
      <c r="F10" s="2"/>
      <c r="G10" s="2"/>
      <c r="H10" s="2"/>
      <c r="I10" s="2">
        <v>1606948</v>
      </c>
    </row>
    <row r="11" spans="1:9">
      <c r="A11" s="1"/>
      <c r="C11" s="2"/>
      <c r="D11" s="2"/>
      <c r="E11" s="2"/>
      <c r="F11" s="2"/>
      <c r="G11" s="2"/>
      <c r="H11" s="2"/>
      <c r="I11" s="2"/>
    </row>
    <row r="12" spans="1:9">
      <c r="A12" s="1">
        <v>2014</v>
      </c>
      <c r="C12" s="2">
        <f>'REC Revenue'!G12*0.6524+'REC Revenue'!G24</f>
        <v>5677807.3975999998</v>
      </c>
      <c r="D12" s="2">
        <f>'REC Revenue'!G19*0.6524+'REC Revenue'!G25</f>
        <v>770668</v>
      </c>
      <c r="E12" s="2">
        <f>'REC Revenue'!G29</f>
        <v>3410297</v>
      </c>
      <c r="F12" s="2">
        <f>'REC Revenue'!G31</f>
        <v>882335</v>
      </c>
      <c r="G12" s="2">
        <f>(C12-D12)-(E12-F12)</f>
        <v>2379177.3975999998</v>
      </c>
      <c r="H12" s="2">
        <f>(I10+G12/2)*0.052</f>
        <v>145419.90833759998</v>
      </c>
      <c r="I12" s="2">
        <f>I10+G12+H12</f>
        <v>4131545.3059375999</v>
      </c>
    </row>
    <row r="13" spans="1:9">
      <c r="A13" s="1"/>
      <c r="C13" s="2"/>
      <c r="D13" s="2"/>
      <c r="E13" s="2"/>
      <c r="F13" s="2"/>
      <c r="G13" s="2"/>
      <c r="H13" s="2"/>
      <c r="I13" s="2"/>
    </row>
    <row r="14" spans="1:9">
      <c r="A14" s="1">
        <v>2015</v>
      </c>
      <c r="C14" s="2">
        <f>'REC Revenue'!N12*0.6501+'REC Revenue'!N24</f>
        <v>3044586.2656</v>
      </c>
      <c r="D14" s="2">
        <f>[1]Sheet1!$N$19*0.6501+[1]Sheet1!$N$25</f>
        <v>770507</v>
      </c>
      <c r="E14" s="2">
        <v>0</v>
      </c>
      <c r="F14" s="2">
        <v>0</v>
      </c>
      <c r="G14" s="2">
        <f>(C14-D14)-(E14-F14)</f>
        <v>2274079.2656</v>
      </c>
      <c r="H14" s="2">
        <f>(I12+G14/2)*0.052</f>
        <v>273966.41681435518</v>
      </c>
      <c r="I14" s="2">
        <f>I12+G14+H14</f>
        <v>6679590.9883519551</v>
      </c>
    </row>
    <row r="15" spans="1:9">
      <c r="C15" s="2"/>
      <c r="D15" s="2"/>
      <c r="E15" s="2"/>
      <c r="F15" s="2"/>
      <c r="G15" s="2"/>
      <c r="H15" s="2"/>
      <c r="I15" s="2"/>
    </row>
    <row r="16" spans="1:9">
      <c r="A16" s="4" t="s">
        <v>0</v>
      </c>
      <c r="B16" s="5"/>
      <c r="C16" s="6">
        <f>'REC Revenue'!U12*0.6501</f>
        <v>650100</v>
      </c>
      <c r="D16" s="6">
        <f>'REC Revenue'!U19/2*0.6501</f>
        <v>22753.5</v>
      </c>
      <c r="E16" s="6">
        <v>0</v>
      </c>
      <c r="F16" s="6">
        <v>0</v>
      </c>
      <c r="G16" s="6">
        <f>(C16-D16)-(E16-F16)</f>
        <v>627346.5</v>
      </c>
      <c r="H16" s="6">
        <f>(I14+G16/2)*0.026</f>
        <v>181824.87019715083</v>
      </c>
      <c r="I16" s="6">
        <f>I14+G16+H16</f>
        <v>7488762.3585491059</v>
      </c>
    </row>
    <row r="18" spans="1:9">
      <c r="A18" s="1" t="s">
        <v>9</v>
      </c>
      <c r="I18" s="18">
        <f>-I16</f>
        <v>-7488762.3585491059</v>
      </c>
    </row>
    <row r="19" spans="1:9">
      <c r="A19" s="1"/>
      <c r="G19" t="s">
        <v>63</v>
      </c>
      <c r="I19" s="34">
        <f>1/(1-0.045011)</f>
        <v>1.0471324800599797</v>
      </c>
    </row>
    <row r="20" spans="1:9">
      <c r="A20" s="1"/>
    </row>
    <row r="21" spans="1:9">
      <c r="A21" s="1"/>
      <c r="G21" t="s">
        <v>64</v>
      </c>
      <c r="I21" s="18">
        <f>I18*I19</f>
        <v>-7841726.3010873487</v>
      </c>
    </row>
    <row r="22" spans="1:9">
      <c r="A22" s="1"/>
    </row>
    <row r="23" spans="1:9">
      <c r="H23" s="3" t="s">
        <v>11</v>
      </c>
      <c r="I23" s="19">
        <f>Sales!T12</f>
        <v>8347293890.2433319</v>
      </c>
    </row>
    <row r="24" spans="1:9">
      <c r="F24" s="3"/>
      <c r="G24" s="3"/>
      <c r="H24" s="3" t="s">
        <v>10</v>
      </c>
    </row>
    <row r="25" spans="1:9">
      <c r="F25" s="3"/>
      <c r="G25" s="3"/>
      <c r="H25" s="3"/>
    </row>
    <row r="26" spans="1:9">
      <c r="H26" s="3" t="s">
        <v>62</v>
      </c>
      <c r="I26" s="35">
        <f>ROUND(I21/I23*100,5)</f>
        <v>-9.3939999999999996E-2</v>
      </c>
    </row>
  </sheetData>
  <pageMargins left="0.7" right="0.7" top="0.75" bottom="0.75" header="0.3" footer="0.3"/>
  <pageSetup orientation="landscape" r:id="rId1"/>
  <headerFooter>
    <oddHeader>&amp;RExhibit No.__ (WGJ-6)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3:U35"/>
  <sheetViews>
    <sheetView workbookViewId="0">
      <selection activeCell="G33" sqref="G33"/>
    </sheetView>
  </sheetViews>
  <sheetFormatPr defaultRowHeight="12.75"/>
  <cols>
    <col min="1" max="1" width="2.5703125" customWidth="1"/>
    <col min="2" max="2" width="5.85546875" customWidth="1"/>
    <col min="3" max="4" width="13.140625" customWidth="1"/>
    <col min="7" max="7" width="12.7109375" bestFit="1" customWidth="1"/>
    <col min="9" max="9" width="5.5703125" customWidth="1"/>
    <col min="10" max="10" width="13.42578125" customWidth="1"/>
    <col min="11" max="11" width="10.5703125" customWidth="1"/>
    <col min="14" max="14" width="10.42578125" customWidth="1"/>
    <col min="16" max="16" width="5.28515625" customWidth="1"/>
    <col min="17" max="17" width="13.5703125" customWidth="1"/>
    <col min="18" max="18" width="10.5703125" customWidth="1"/>
    <col min="20" max="20" width="7.42578125" customWidth="1"/>
    <col min="21" max="21" width="11.140625" customWidth="1"/>
  </cols>
  <sheetData>
    <row r="3" spans="2:21">
      <c r="D3" s="1"/>
      <c r="E3" s="1" t="s">
        <v>20</v>
      </c>
      <c r="F3" s="1"/>
      <c r="G3" s="1"/>
      <c r="K3" s="1"/>
      <c r="L3" s="1" t="s">
        <v>20</v>
      </c>
      <c r="M3" s="1"/>
      <c r="N3" s="1"/>
      <c r="R3" s="1"/>
      <c r="S3" s="1" t="s">
        <v>20</v>
      </c>
      <c r="T3" s="1"/>
      <c r="U3" s="1"/>
    </row>
    <row r="4" spans="2:21">
      <c r="D4" s="14" t="s">
        <v>21</v>
      </c>
      <c r="E4" s="14" t="s">
        <v>22</v>
      </c>
      <c r="F4" s="14"/>
      <c r="G4" s="14" t="s">
        <v>2</v>
      </c>
      <c r="K4" s="14" t="s">
        <v>21</v>
      </c>
      <c r="L4" s="14" t="s">
        <v>22</v>
      </c>
      <c r="M4" s="14"/>
      <c r="N4" s="14" t="s">
        <v>2</v>
      </c>
      <c r="R4" s="14" t="s">
        <v>21</v>
      </c>
      <c r="S4" s="14" t="s">
        <v>22</v>
      </c>
      <c r="T4" s="14"/>
      <c r="U4" s="14" t="s">
        <v>2</v>
      </c>
    </row>
    <row r="5" spans="2:21">
      <c r="B5" s="15">
        <v>2014</v>
      </c>
      <c r="I5" s="15">
        <v>2015</v>
      </c>
      <c r="K5" s="16"/>
      <c r="L5" s="17"/>
      <c r="N5" s="18"/>
      <c r="P5" s="15" t="s">
        <v>23</v>
      </c>
      <c r="R5" s="16"/>
      <c r="S5" s="17"/>
      <c r="U5" s="18"/>
    </row>
    <row r="6" spans="2:21">
      <c r="B6" t="s">
        <v>24</v>
      </c>
      <c r="D6" s="19">
        <v>1275706</v>
      </c>
      <c r="E6" s="17">
        <f>G6/D6</f>
        <v>5.3467444693369792</v>
      </c>
      <c r="G6" s="18">
        <v>6820874</v>
      </c>
      <c r="I6" t="s">
        <v>24</v>
      </c>
      <c r="K6" s="19">
        <v>151219</v>
      </c>
      <c r="L6" s="17">
        <f>N6/K6</f>
        <v>6.0485520999345317</v>
      </c>
      <c r="N6" s="18">
        <v>914656</v>
      </c>
      <c r="P6" t="s">
        <v>24</v>
      </c>
      <c r="R6" s="19">
        <v>0</v>
      </c>
      <c r="S6" s="17">
        <v>0</v>
      </c>
      <c r="U6" s="18">
        <v>0</v>
      </c>
    </row>
    <row r="7" spans="2:21">
      <c r="B7" t="s">
        <v>25</v>
      </c>
      <c r="D7" s="16"/>
      <c r="E7" s="17"/>
      <c r="G7" s="18"/>
      <c r="I7" t="s">
        <v>25</v>
      </c>
      <c r="K7" s="16"/>
      <c r="L7" s="17"/>
      <c r="N7" s="18"/>
      <c r="P7" t="s">
        <v>25</v>
      </c>
      <c r="R7" s="16"/>
      <c r="S7" s="17"/>
      <c r="U7" s="18"/>
    </row>
    <row r="8" spans="2:21">
      <c r="C8" t="s">
        <v>26</v>
      </c>
      <c r="D8" s="19">
        <v>138000</v>
      </c>
      <c r="E8" s="17">
        <v>4</v>
      </c>
      <c r="G8" s="18">
        <f>D8*E8</f>
        <v>552000</v>
      </c>
      <c r="J8" t="s">
        <v>26</v>
      </c>
      <c r="K8" s="19">
        <f>921000-K9</f>
        <v>921000</v>
      </c>
      <c r="L8" s="17">
        <v>4</v>
      </c>
      <c r="N8" s="18">
        <f>K8*L8</f>
        <v>3684000</v>
      </c>
      <c r="Q8" t="s">
        <v>26</v>
      </c>
      <c r="R8" s="19">
        <f>200000-R9</f>
        <v>200000</v>
      </c>
      <c r="S8" s="17">
        <v>5</v>
      </c>
      <c r="U8" s="18">
        <f>R8*S8</f>
        <v>1000000</v>
      </c>
    </row>
    <row r="9" spans="2:21">
      <c r="C9" t="s">
        <v>27</v>
      </c>
      <c r="D9" s="19"/>
      <c r="E9" s="17"/>
      <c r="G9" s="18"/>
      <c r="J9" t="s">
        <v>27</v>
      </c>
      <c r="K9" s="19">
        <v>0</v>
      </c>
      <c r="L9" s="17">
        <v>25</v>
      </c>
      <c r="N9" s="18">
        <f>K9*L9</f>
        <v>0</v>
      </c>
      <c r="Q9" t="s">
        <v>27</v>
      </c>
      <c r="R9" s="19">
        <v>0</v>
      </c>
      <c r="S9" s="17">
        <v>25</v>
      </c>
      <c r="U9" s="18">
        <f>R9*S9</f>
        <v>0</v>
      </c>
    </row>
    <row r="10" spans="2:21">
      <c r="C10" t="s">
        <v>28</v>
      </c>
      <c r="D10" s="19">
        <v>1081000</v>
      </c>
      <c r="E10" s="17">
        <v>1</v>
      </c>
      <c r="G10" s="18">
        <f t="shared" ref="G10:G11" si="0">D10*E10</f>
        <v>1081000</v>
      </c>
      <c r="J10" t="s">
        <v>28</v>
      </c>
      <c r="K10" s="19">
        <v>0</v>
      </c>
      <c r="L10" s="17">
        <v>0</v>
      </c>
      <c r="N10" s="18">
        <f t="shared" ref="N10:N11" si="1">K10*L10</f>
        <v>0</v>
      </c>
      <c r="Q10" t="s">
        <v>28</v>
      </c>
      <c r="R10" s="19">
        <v>0</v>
      </c>
      <c r="S10" s="17">
        <v>0</v>
      </c>
      <c r="U10" s="18">
        <f t="shared" ref="U10:U11" si="2">R10*S10</f>
        <v>0</v>
      </c>
    </row>
    <row r="11" spans="2:21">
      <c r="C11" s="5" t="s">
        <v>29</v>
      </c>
      <c r="D11" s="20">
        <v>1521000</v>
      </c>
      <c r="E11" s="21">
        <v>0</v>
      </c>
      <c r="F11" s="5"/>
      <c r="G11" s="22">
        <f t="shared" si="0"/>
        <v>0</v>
      </c>
      <c r="J11" s="5" t="s">
        <v>29</v>
      </c>
      <c r="K11" s="20">
        <v>2721000</v>
      </c>
      <c r="L11" s="21">
        <v>0</v>
      </c>
      <c r="M11" s="5"/>
      <c r="N11" s="22">
        <f t="shared" si="1"/>
        <v>0</v>
      </c>
      <c r="Q11" s="5" t="s">
        <v>29</v>
      </c>
      <c r="R11" s="20">
        <v>2721000</v>
      </c>
      <c r="S11" s="21">
        <v>0</v>
      </c>
      <c r="T11" s="5"/>
      <c r="U11" s="22">
        <f t="shared" si="2"/>
        <v>0</v>
      </c>
    </row>
    <row r="12" spans="2:21">
      <c r="C12" s="23" t="s">
        <v>9</v>
      </c>
      <c r="D12" s="19"/>
      <c r="E12" s="17"/>
      <c r="G12" s="18">
        <f>SUM(G6:G11)</f>
        <v>8453874</v>
      </c>
      <c r="J12" s="23" t="s">
        <v>9</v>
      </c>
      <c r="K12" s="16"/>
      <c r="N12" s="18">
        <f>SUM(N6:N11)</f>
        <v>4598656</v>
      </c>
      <c r="Q12" s="23" t="s">
        <v>9</v>
      </c>
      <c r="R12" s="16"/>
      <c r="U12" s="18">
        <f>SUM(U6:U11)</f>
        <v>1000000</v>
      </c>
    </row>
    <row r="13" spans="2:21">
      <c r="D13" s="19"/>
      <c r="E13" s="17"/>
      <c r="G13" s="18"/>
    </row>
    <row r="14" spans="2:21">
      <c r="B14" t="s">
        <v>3</v>
      </c>
      <c r="D14" s="19"/>
      <c r="E14" s="17"/>
      <c r="G14" s="18"/>
      <c r="I14" t="s">
        <v>3</v>
      </c>
      <c r="K14" s="19"/>
      <c r="L14" s="17"/>
      <c r="N14" s="18"/>
      <c r="P14" t="s">
        <v>3</v>
      </c>
      <c r="R14" s="19"/>
      <c r="S14" s="17"/>
      <c r="U14" s="18"/>
    </row>
    <row r="15" spans="2:21">
      <c r="C15" t="s">
        <v>30</v>
      </c>
      <c r="D15" s="19"/>
      <c r="E15" s="17"/>
      <c r="G15" s="18">
        <v>25000</v>
      </c>
      <c r="J15" t="s">
        <v>30</v>
      </c>
      <c r="K15" s="19"/>
      <c r="L15" s="17"/>
      <c r="N15" s="18">
        <v>25000</v>
      </c>
      <c r="Q15" t="s">
        <v>30</v>
      </c>
      <c r="R15" s="19"/>
      <c r="S15" s="17"/>
      <c r="U15" s="18">
        <v>25000</v>
      </c>
    </row>
    <row r="16" spans="2:21">
      <c r="C16" t="s">
        <v>31</v>
      </c>
      <c r="D16" s="19"/>
      <c r="E16" s="17"/>
      <c r="G16" s="18">
        <v>10000</v>
      </c>
      <c r="J16" t="s">
        <v>31</v>
      </c>
      <c r="K16" s="19"/>
      <c r="L16" s="17"/>
      <c r="N16" s="18">
        <v>10000</v>
      </c>
      <c r="Q16" t="s">
        <v>31</v>
      </c>
      <c r="R16" s="19"/>
      <c r="S16" s="17"/>
      <c r="U16" s="18">
        <v>10000</v>
      </c>
    </row>
    <row r="17" spans="3:21">
      <c r="C17" t="s">
        <v>32</v>
      </c>
      <c r="D17" s="19"/>
      <c r="E17" s="17"/>
      <c r="G17" s="18">
        <v>10000</v>
      </c>
      <c r="J17" t="s">
        <v>32</v>
      </c>
      <c r="K17" s="19"/>
      <c r="L17" s="17"/>
      <c r="N17" s="18">
        <v>10000</v>
      </c>
      <c r="Q17" t="s">
        <v>32</v>
      </c>
      <c r="R17" s="19"/>
      <c r="S17" s="17"/>
      <c r="U17" s="18">
        <v>10000</v>
      </c>
    </row>
    <row r="18" spans="3:21">
      <c r="C18" s="5" t="s">
        <v>29</v>
      </c>
      <c r="D18" s="20"/>
      <c r="E18" s="21"/>
      <c r="F18" s="5"/>
      <c r="G18" s="22">
        <v>25000</v>
      </c>
      <c r="J18" s="5" t="s">
        <v>29</v>
      </c>
      <c r="K18" s="20"/>
      <c r="L18" s="21"/>
      <c r="M18" s="5"/>
      <c r="N18" s="22">
        <v>25000</v>
      </c>
      <c r="Q18" s="5" t="s">
        <v>29</v>
      </c>
      <c r="R18" s="20"/>
      <c r="S18" s="21"/>
      <c r="T18" s="5"/>
      <c r="U18" s="22">
        <v>25000</v>
      </c>
    </row>
    <row r="19" spans="3:21">
      <c r="C19" s="23" t="s">
        <v>9</v>
      </c>
      <c r="D19" s="19"/>
      <c r="E19" s="17"/>
      <c r="G19" s="18">
        <f>SUM(G15:G18)</f>
        <v>70000</v>
      </c>
      <c r="J19" s="23" t="s">
        <v>9</v>
      </c>
      <c r="K19" s="19"/>
      <c r="L19" s="17"/>
      <c r="N19" s="18">
        <f>SUM(N15:N18)</f>
        <v>70000</v>
      </c>
      <c r="Q19" s="23" t="s">
        <v>9</v>
      </c>
      <c r="R19" s="19"/>
      <c r="S19" s="17"/>
      <c r="U19" s="18">
        <f>SUM(U15:U18)</f>
        <v>70000</v>
      </c>
    </row>
    <row r="20" spans="3:21">
      <c r="D20" s="19"/>
      <c r="E20" s="17"/>
      <c r="G20" s="18"/>
      <c r="K20" s="19"/>
      <c r="L20" s="17"/>
      <c r="N20" s="18"/>
      <c r="R20" s="19"/>
      <c r="S20" s="17"/>
      <c r="U20" s="18"/>
    </row>
    <row r="21" spans="3:21">
      <c r="C21" t="s">
        <v>33</v>
      </c>
      <c r="D21" s="16"/>
      <c r="E21" s="17"/>
      <c r="G21" s="18">
        <f>G12-G19</f>
        <v>8383874</v>
      </c>
      <c r="J21" t="s">
        <v>33</v>
      </c>
      <c r="K21" s="16"/>
      <c r="L21" s="17"/>
      <c r="N21" s="18">
        <f>N12-N19</f>
        <v>4528656</v>
      </c>
      <c r="Q21" t="s">
        <v>33</v>
      </c>
      <c r="R21" s="16"/>
      <c r="S21" s="17"/>
      <c r="U21" s="18">
        <f>U12-U19/2</f>
        <v>965000</v>
      </c>
    </row>
    <row r="22" spans="3:21">
      <c r="C22" t="s">
        <v>34</v>
      </c>
      <c r="D22" s="16"/>
      <c r="E22" s="17"/>
      <c r="G22" s="18">
        <f>G21*0.6524</f>
        <v>5469639.3975999998</v>
      </c>
      <c r="J22" t="s">
        <v>34</v>
      </c>
      <c r="K22" s="16"/>
      <c r="L22" s="17"/>
      <c r="N22" s="18">
        <f>N21*0.6501</f>
        <v>2944079.2656</v>
      </c>
      <c r="Q22" t="s">
        <v>34</v>
      </c>
      <c r="R22" s="16"/>
      <c r="S22" s="17"/>
      <c r="U22" s="18">
        <f>U21*0.6501</f>
        <v>627346.5</v>
      </c>
    </row>
    <row r="23" spans="3:21">
      <c r="D23" s="16"/>
      <c r="E23" s="17"/>
      <c r="G23" s="18"/>
      <c r="K23" s="16"/>
      <c r="L23" s="17"/>
      <c r="N23" s="18"/>
      <c r="R23" s="16"/>
      <c r="S23" s="17"/>
      <c r="U23" s="18"/>
    </row>
    <row r="24" spans="3:21">
      <c r="C24" t="s">
        <v>35</v>
      </c>
      <c r="D24" s="16"/>
      <c r="E24" s="17"/>
      <c r="G24" s="18">
        <v>162500</v>
      </c>
      <c r="J24" t="s">
        <v>35</v>
      </c>
      <c r="K24" s="16"/>
      <c r="L24" s="17"/>
      <c r="N24" s="18">
        <f>50000*1.1</f>
        <v>55000.000000000007</v>
      </c>
      <c r="Q24" t="s">
        <v>35</v>
      </c>
      <c r="R24" s="16"/>
      <c r="S24" s="17"/>
      <c r="U24" s="18">
        <v>0</v>
      </c>
    </row>
    <row r="25" spans="3:21">
      <c r="C25" t="s">
        <v>36</v>
      </c>
      <c r="D25" s="16"/>
      <c r="E25" s="17"/>
      <c r="G25" s="18">
        <v>725000</v>
      </c>
      <c r="J25" t="s">
        <v>36</v>
      </c>
      <c r="K25" s="16"/>
      <c r="L25" s="17"/>
      <c r="N25" s="18">
        <v>725000</v>
      </c>
      <c r="Q25" t="s">
        <v>36</v>
      </c>
      <c r="R25" s="16"/>
      <c r="S25" s="17"/>
      <c r="U25" s="18">
        <v>0</v>
      </c>
    </row>
    <row r="26" spans="3:21" ht="13.5" thickBot="1">
      <c r="D26" s="16"/>
      <c r="E26" s="17"/>
      <c r="G26" s="18"/>
      <c r="K26" s="16"/>
      <c r="L26" s="17"/>
      <c r="N26" s="18"/>
      <c r="R26" s="16"/>
      <c r="S26" s="17"/>
      <c r="U26" s="18"/>
    </row>
    <row r="27" spans="3:21" ht="13.5" thickBot="1">
      <c r="C27" s="24" t="s">
        <v>37</v>
      </c>
      <c r="D27" s="25"/>
      <c r="E27" s="26"/>
      <c r="F27" s="27"/>
      <c r="G27" s="28">
        <f>G22+G24-G25</f>
        <v>4907139.3975999998</v>
      </c>
      <c r="J27" s="24" t="s">
        <v>37</v>
      </c>
      <c r="K27" s="25"/>
      <c r="L27" s="26"/>
      <c r="M27" s="27"/>
      <c r="N27" s="28">
        <f>N22+N24-N25</f>
        <v>2274079.2656</v>
      </c>
      <c r="Q27" s="24" t="s">
        <v>37</v>
      </c>
      <c r="R27" s="25"/>
      <c r="S27" s="26"/>
      <c r="T27" s="27"/>
      <c r="U27" s="28">
        <f>U22+U24-U25</f>
        <v>627346.5</v>
      </c>
    </row>
    <row r="28" spans="3:21">
      <c r="D28" s="16"/>
      <c r="E28" s="17"/>
      <c r="G28" s="18"/>
    </row>
    <row r="29" spans="3:21">
      <c r="C29" t="s">
        <v>38</v>
      </c>
      <c r="G29" s="29">
        <v>3410297</v>
      </c>
      <c r="J29" t="s">
        <v>38</v>
      </c>
      <c r="N29">
        <v>0</v>
      </c>
      <c r="Q29" t="s">
        <v>38</v>
      </c>
      <c r="U29">
        <v>0</v>
      </c>
    </row>
    <row r="30" spans="3:21">
      <c r="G30" s="29"/>
    </row>
    <row r="31" spans="3:21">
      <c r="C31" t="s">
        <v>39</v>
      </c>
      <c r="G31" s="29">
        <v>882335</v>
      </c>
      <c r="J31" t="s">
        <v>39</v>
      </c>
      <c r="N31">
        <v>0</v>
      </c>
      <c r="Q31" t="s">
        <v>39</v>
      </c>
      <c r="U31">
        <v>0</v>
      </c>
    </row>
    <row r="32" spans="3:21">
      <c r="G32" s="29"/>
    </row>
    <row r="33" spans="3:21">
      <c r="C33" t="s">
        <v>40</v>
      </c>
      <c r="G33" s="29">
        <f>G29-G31</f>
        <v>2527962</v>
      </c>
      <c r="J33" t="s">
        <v>40</v>
      </c>
      <c r="N33">
        <f>N29-N31</f>
        <v>0</v>
      </c>
      <c r="Q33" t="s">
        <v>40</v>
      </c>
      <c r="U33">
        <f>U29-U31</f>
        <v>0</v>
      </c>
    </row>
    <row r="34" spans="3:21" ht="13.5" thickBot="1"/>
    <row r="35" spans="3:21" ht="13.5" thickBot="1">
      <c r="C35" s="30" t="s">
        <v>41</v>
      </c>
      <c r="D35" s="31"/>
      <c r="E35" s="31"/>
      <c r="F35" s="31"/>
      <c r="G35" s="32">
        <f>G27-G33</f>
        <v>2379177.3975999998</v>
      </c>
      <c r="J35" s="30" t="s">
        <v>41</v>
      </c>
      <c r="K35" s="31"/>
      <c r="L35" s="31"/>
      <c r="M35" s="31"/>
      <c r="N35" s="32">
        <f>N27-N33</f>
        <v>2274079.2656</v>
      </c>
      <c r="Q35" s="30" t="s">
        <v>41</v>
      </c>
      <c r="R35" s="31"/>
      <c r="S35" s="31"/>
      <c r="T35" s="31"/>
      <c r="U35" s="32">
        <f>U27-U33</f>
        <v>627346.5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T12"/>
  <sheetViews>
    <sheetView topLeftCell="J1" workbookViewId="0">
      <selection activeCell="B19" sqref="B19"/>
    </sheetView>
  </sheetViews>
  <sheetFormatPr defaultRowHeight="12.75"/>
  <cols>
    <col min="1" max="1" width="29.42578125" bestFit="1" customWidth="1"/>
    <col min="2" max="19" width="12.5703125" bestFit="1" customWidth="1"/>
    <col min="20" max="20" width="14.28515625" bestFit="1" customWidth="1"/>
  </cols>
  <sheetData>
    <row r="4" spans="1:20"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42</v>
      </c>
      <c r="O4" s="1" t="s">
        <v>43</v>
      </c>
      <c r="P4" s="1" t="s">
        <v>44</v>
      </c>
      <c r="Q4" s="1" t="s">
        <v>45</v>
      </c>
      <c r="R4" s="1" t="s">
        <v>46</v>
      </c>
      <c r="S4" s="1" t="s">
        <v>47</v>
      </c>
      <c r="T4" s="1" t="s">
        <v>54</v>
      </c>
    </row>
    <row r="6" spans="1:20">
      <c r="A6" t="s">
        <v>55</v>
      </c>
      <c r="B6" s="19">
        <v>266049616.28799999</v>
      </c>
      <c r="C6" s="19">
        <v>252299267.336</v>
      </c>
      <c r="D6" s="19">
        <v>202170745.22600001</v>
      </c>
      <c r="E6" s="19">
        <v>178857090.625</v>
      </c>
      <c r="F6" s="19">
        <v>167275945</v>
      </c>
      <c r="G6" s="19">
        <v>144723860.62</v>
      </c>
      <c r="H6" s="19">
        <v>159491587.71599999</v>
      </c>
      <c r="I6" s="19">
        <v>189714069.759</v>
      </c>
      <c r="J6" s="19">
        <v>149692513.29699999</v>
      </c>
      <c r="K6" s="19">
        <v>160942302</v>
      </c>
      <c r="L6" s="19">
        <v>210458130.27500001</v>
      </c>
      <c r="M6" s="19">
        <v>270336810.44</v>
      </c>
      <c r="N6" s="19">
        <v>266049616.28799999</v>
      </c>
      <c r="O6" s="19">
        <v>252299267.336</v>
      </c>
      <c r="P6" s="19">
        <v>202170745.22600001</v>
      </c>
      <c r="Q6" s="19">
        <v>178857090.625</v>
      </c>
      <c r="R6" s="19">
        <v>167275945</v>
      </c>
      <c r="S6" s="19">
        <v>144723860.62</v>
      </c>
      <c r="T6" s="33">
        <f>SUM(B6:S6)</f>
        <v>3563388463.6769996</v>
      </c>
    </row>
    <row r="7" spans="1:20">
      <c r="A7" t="s">
        <v>56</v>
      </c>
      <c r="B7" s="19">
        <v>50283930.038000003</v>
      </c>
      <c r="C7" s="19">
        <v>51064010.263999999</v>
      </c>
      <c r="D7" s="19">
        <v>46311190.577</v>
      </c>
      <c r="E7" s="19">
        <v>44393125.975000001</v>
      </c>
      <c r="F7" s="19">
        <v>44200585.343999997</v>
      </c>
      <c r="G7" s="19">
        <v>43285702.633000001</v>
      </c>
      <c r="H7" s="19">
        <v>45158977.163999997</v>
      </c>
      <c r="I7" s="19">
        <v>47992105.505999997</v>
      </c>
      <c r="J7" s="19">
        <v>41511599.681000002</v>
      </c>
      <c r="K7" s="19">
        <v>45952256.159999996</v>
      </c>
      <c r="L7" s="19">
        <v>46086937.505999997</v>
      </c>
      <c r="M7" s="19">
        <v>51112932.772</v>
      </c>
      <c r="N7" s="19">
        <v>50283930.038000003</v>
      </c>
      <c r="O7" s="19">
        <v>51064010.263999999</v>
      </c>
      <c r="P7" s="19">
        <v>46311190.577</v>
      </c>
      <c r="Q7" s="19">
        <v>44393125.975000001</v>
      </c>
      <c r="R7" s="19">
        <v>44200585.343999997</v>
      </c>
      <c r="S7" s="19">
        <v>43285702.633000001</v>
      </c>
      <c r="T7" s="33">
        <f t="shared" ref="T7:T12" si="0">SUM(B7:S7)</f>
        <v>836891898.45099998</v>
      </c>
    </row>
    <row r="8" spans="1:20">
      <c r="A8" t="s">
        <v>57</v>
      </c>
      <c r="B8" s="19">
        <v>116241442.59999999</v>
      </c>
      <c r="C8" s="19">
        <v>108730581.2</v>
      </c>
      <c r="D8" s="19">
        <v>118261422.93000001</v>
      </c>
      <c r="E8" s="19">
        <v>106567265.36</v>
      </c>
      <c r="F8" s="19">
        <v>118121292.456</v>
      </c>
      <c r="G8" s="19">
        <v>117575066.48999999</v>
      </c>
      <c r="H8" s="19">
        <v>130185623.04000001</v>
      </c>
      <c r="I8" s="19">
        <v>129513336.55</v>
      </c>
      <c r="J8" s="19">
        <v>111555781.78</v>
      </c>
      <c r="K8" s="19">
        <v>133349147.08000001</v>
      </c>
      <c r="L8" s="19">
        <v>118495184.36</v>
      </c>
      <c r="M8" s="19">
        <v>115777086.90000001</v>
      </c>
      <c r="N8" s="19">
        <v>116241442.59999999</v>
      </c>
      <c r="O8" s="19">
        <v>108730581.2</v>
      </c>
      <c r="P8" s="19">
        <v>118261422.93000001</v>
      </c>
      <c r="Q8" s="19">
        <v>106567265.36</v>
      </c>
      <c r="R8" s="19">
        <v>118121292.456</v>
      </c>
      <c r="S8" s="19">
        <v>117575066.48999999</v>
      </c>
      <c r="T8" s="33">
        <f t="shared" si="0"/>
        <v>2109870301.7819998</v>
      </c>
    </row>
    <row r="9" spans="1:20">
      <c r="A9" t="s">
        <v>58</v>
      </c>
      <c r="B9" s="19">
        <v>93715023</v>
      </c>
      <c r="C9" s="19">
        <v>86037423</v>
      </c>
      <c r="D9" s="19">
        <v>90957221</v>
      </c>
      <c r="E9" s="19">
        <v>86670290</v>
      </c>
      <c r="F9" s="19">
        <v>89779844</v>
      </c>
      <c r="G9" s="19">
        <v>87627342</v>
      </c>
      <c r="H9" s="19">
        <v>93216150.777777776</v>
      </c>
      <c r="I9" s="19">
        <v>95225344.777777776</v>
      </c>
      <c r="J9" s="19">
        <v>90526779.777777776</v>
      </c>
      <c r="K9" s="19">
        <v>90883016</v>
      </c>
      <c r="L9" s="19">
        <v>86902732</v>
      </c>
      <c r="M9" s="19">
        <v>88907530</v>
      </c>
      <c r="N9" s="19">
        <v>93715023</v>
      </c>
      <c r="O9" s="19">
        <v>86037423</v>
      </c>
      <c r="P9" s="19">
        <v>90957221</v>
      </c>
      <c r="Q9" s="19">
        <v>86670290</v>
      </c>
      <c r="R9" s="19">
        <v>89779844</v>
      </c>
      <c r="S9" s="19">
        <v>87627342</v>
      </c>
      <c r="T9" s="33">
        <f t="shared" si="0"/>
        <v>1615235839.3333335</v>
      </c>
    </row>
    <row r="10" spans="1:20">
      <c r="A10" t="s">
        <v>59</v>
      </c>
      <c r="B10" s="19">
        <v>3816897</v>
      </c>
      <c r="C10" s="19">
        <v>3751125</v>
      </c>
      <c r="D10" s="19">
        <v>3836233</v>
      </c>
      <c r="E10" s="19">
        <v>5577159</v>
      </c>
      <c r="F10" s="19">
        <v>14879319</v>
      </c>
      <c r="G10" s="19">
        <v>19956732</v>
      </c>
      <c r="H10" s="19">
        <v>18601045</v>
      </c>
      <c r="I10" s="19">
        <v>24368286</v>
      </c>
      <c r="J10" s="19">
        <v>21830732</v>
      </c>
      <c r="K10" s="19">
        <v>12921209</v>
      </c>
      <c r="L10" s="19">
        <v>196570</v>
      </c>
      <c r="M10" s="19">
        <v>1903511</v>
      </c>
      <c r="N10" s="19">
        <v>3816897</v>
      </c>
      <c r="O10" s="19">
        <v>3751125</v>
      </c>
      <c r="P10" s="19">
        <v>3836233</v>
      </c>
      <c r="Q10" s="19">
        <v>5577159</v>
      </c>
      <c r="R10" s="19">
        <v>14879319</v>
      </c>
      <c r="S10" s="19">
        <v>19956732</v>
      </c>
      <c r="T10" s="33">
        <f t="shared" si="0"/>
        <v>183456283</v>
      </c>
    </row>
    <row r="11" spans="1:20">
      <c r="A11" t="s">
        <v>60</v>
      </c>
      <c r="B11" s="19">
        <v>2140636</v>
      </c>
      <c r="C11" s="19">
        <v>2142474</v>
      </c>
      <c r="D11" s="19">
        <v>2140908</v>
      </c>
      <c r="E11" s="19">
        <v>2141504</v>
      </c>
      <c r="F11" s="19">
        <v>2123078</v>
      </c>
      <c r="G11" s="19">
        <v>2116175</v>
      </c>
      <c r="H11" s="19">
        <v>2142522</v>
      </c>
      <c r="I11" s="19">
        <v>2143333</v>
      </c>
      <c r="J11" s="19">
        <v>2135698</v>
      </c>
      <c r="K11" s="19">
        <v>2142822</v>
      </c>
      <c r="L11" s="19">
        <v>2137455</v>
      </c>
      <c r="M11" s="19">
        <v>2139724</v>
      </c>
      <c r="N11" s="19">
        <v>2140636</v>
      </c>
      <c r="O11" s="19">
        <v>2142474</v>
      </c>
      <c r="P11" s="19">
        <v>2140908</v>
      </c>
      <c r="Q11" s="19">
        <v>2141504</v>
      </c>
      <c r="R11" s="19">
        <v>2123078</v>
      </c>
      <c r="S11" s="19">
        <v>2116175</v>
      </c>
      <c r="T11" s="33">
        <f t="shared" si="0"/>
        <v>38451104</v>
      </c>
    </row>
    <row r="12" spans="1:20">
      <c r="A12" t="s">
        <v>61</v>
      </c>
      <c r="B12" s="33">
        <f>SUM(B6:B11)</f>
        <v>532247544.926</v>
      </c>
      <c r="C12" s="33">
        <f t="shared" ref="C12:M12" si="1">SUM(C6:C11)</f>
        <v>504024880.80000001</v>
      </c>
      <c r="D12" s="33">
        <f t="shared" si="1"/>
        <v>463677720.73300004</v>
      </c>
      <c r="E12" s="33">
        <f t="shared" si="1"/>
        <v>424206434.95999998</v>
      </c>
      <c r="F12" s="33">
        <f t="shared" si="1"/>
        <v>436380063.79999995</v>
      </c>
      <c r="G12" s="33">
        <f t="shared" si="1"/>
        <v>415284878.74300003</v>
      </c>
      <c r="H12" s="33">
        <f t="shared" si="1"/>
        <v>448795905.69777781</v>
      </c>
      <c r="I12" s="33">
        <f t="shared" si="1"/>
        <v>488956475.59277779</v>
      </c>
      <c r="J12" s="33">
        <f t="shared" si="1"/>
        <v>417253104.53577781</v>
      </c>
      <c r="K12" s="33">
        <f t="shared" si="1"/>
        <v>446190752.24000001</v>
      </c>
      <c r="L12" s="33">
        <f t="shared" si="1"/>
        <v>464277009.14100003</v>
      </c>
      <c r="M12" s="33">
        <f t="shared" si="1"/>
        <v>530177595.11199999</v>
      </c>
      <c r="N12" s="33">
        <f>SUM(N6:N11)</f>
        <v>532247544.926</v>
      </c>
      <c r="O12" s="33">
        <f t="shared" ref="O12:S12" si="2">SUM(O6:O11)</f>
        <v>504024880.80000001</v>
      </c>
      <c r="P12" s="33">
        <f t="shared" si="2"/>
        <v>463677720.73300004</v>
      </c>
      <c r="Q12" s="33">
        <f t="shared" si="2"/>
        <v>424206434.95999998</v>
      </c>
      <c r="R12" s="33">
        <f t="shared" si="2"/>
        <v>436380063.79999995</v>
      </c>
      <c r="S12" s="33">
        <f t="shared" si="2"/>
        <v>415284878.74300003</v>
      </c>
      <c r="T12" s="33">
        <f t="shared" si="0"/>
        <v>8347293890.2433319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Date1 xmlns="dc463f71-b30c-4ab2-9473-d307f9d35888">2014-02-05T08:00:00+00:00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Props1.xml><?xml version="1.0" encoding="utf-8"?>
<ds:datastoreItem xmlns:ds="http://schemas.openxmlformats.org/officeDocument/2006/customXml" ds:itemID="{FC11548A-2994-4F0D-B3A8-5BB3E44A4469}"/>
</file>

<file path=customXml/itemProps2.xml><?xml version="1.0" encoding="utf-8"?>
<ds:datastoreItem xmlns:ds="http://schemas.openxmlformats.org/officeDocument/2006/customXml" ds:itemID="{D1291D59-B17C-41A6-8770-D27903BDE8A4}"/>
</file>

<file path=customXml/itemProps3.xml><?xml version="1.0" encoding="utf-8"?>
<ds:datastoreItem xmlns:ds="http://schemas.openxmlformats.org/officeDocument/2006/customXml" ds:itemID="{42B8BCAC-6206-41BF-A34B-B5C4E9E51C3D}"/>
</file>

<file path=customXml/itemProps4.xml><?xml version="1.0" encoding="utf-8"?>
<ds:datastoreItem xmlns:ds="http://schemas.openxmlformats.org/officeDocument/2006/customXml" ds:itemID="{48C5B505-DF30-4EC9-981B-5F617722A4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 6</vt:lpstr>
      <vt:lpstr>REC Revenue</vt:lpstr>
      <vt:lpstr>Sales</vt:lpstr>
    </vt:vector>
  </TitlesOfParts>
  <Company>Avista 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bj4046</dc:creator>
  <cp:lastModifiedBy>jzlfgj</cp:lastModifiedBy>
  <cp:lastPrinted>2014-01-21T22:17:38Z</cp:lastPrinted>
  <dcterms:created xsi:type="dcterms:W3CDTF">2014-01-09T00:01:19Z</dcterms:created>
  <dcterms:modified xsi:type="dcterms:W3CDTF">2014-01-21T22:18:32Z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