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17 CASES\1706 Puget Sound\GAW Work\CCOSS\Prob Dispatch\"/>
    </mc:Choice>
  </mc:AlternateContent>
  <bookViews>
    <workbookView xWindow="0" yWindow="0" windowWidth="15360" windowHeight="7455" activeTab="3"/>
  </bookViews>
  <sheets>
    <sheet name="Summary" sheetId="8" r:id="rId1"/>
    <sheet name="Rate Base" sheetId="2" r:id="rId2"/>
    <sheet name="Expenses" sheetId="3" r:id="rId3"/>
    <sheet name="Labor" sheetId="4" r:id="rId4"/>
    <sheet name="Revenue" sheetId="5" r:id="rId5"/>
    <sheet name="Alloc Amt" sheetId="6" r:id="rId6"/>
    <sheet name="Alloc Pct" sheetId="7" r:id="rId7"/>
  </sheets>
  <externalReferences>
    <externalReference r:id="rId8"/>
    <externalReference r:id="rId9"/>
  </externalReferences>
  <definedNames>
    <definedName name="Alloc">'Alloc Pct'!$B$7:$X$125</definedName>
    <definedName name="CASE">[1]INPUTS!$C$11</definedName>
    <definedName name="_xlnm.Print_Area" localSheetId="5">'Alloc Amt'!$B$1:$G$92</definedName>
    <definedName name="_xlnm.Print_Area" localSheetId="6">'Alloc Pct'!$B$1:$G$90</definedName>
    <definedName name="_xlnm.Print_Area" localSheetId="1">'Rate Base'!$A$36:$D$58</definedName>
    <definedName name="ROR">[2]INPUTS!$F$29</definedName>
  </definedNames>
  <calcPr calcId="152511" iterate="1" calcOnSave="0"/>
</workbook>
</file>

<file path=xl/calcChain.xml><?xml version="1.0" encoding="utf-8"?>
<calcChain xmlns="http://schemas.openxmlformats.org/spreadsheetml/2006/main">
  <c r="M61" i="8" l="1"/>
  <c r="L61" i="8"/>
  <c r="M47" i="8"/>
  <c r="L47" i="8"/>
  <c r="M8" i="8"/>
  <c r="L8" i="8"/>
  <c r="M49" i="5"/>
  <c r="L49" i="5"/>
  <c r="M45" i="5"/>
  <c r="L45" i="5"/>
  <c r="M43" i="5"/>
  <c r="L43" i="5"/>
  <c r="M42" i="5"/>
  <c r="L42" i="5"/>
  <c r="M40" i="5"/>
  <c r="L40" i="5"/>
  <c r="M34" i="5"/>
  <c r="L34" i="5"/>
  <c r="M29" i="5"/>
  <c r="L29" i="5"/>
  <c r="M28" i="5"/>
  <c r="L28" i="5"/>
  <c r="M27" i="5"/>
  <c r="L27" i="5"/>
  <c r="M26" i="5"/>
  <c r="L26" i="5"/>
  <c r="M25" i="5"/>
  <c r="L25" i="5"/>
  <c r="M24" i="5"/>
  <c r="L24" i="5"/>
  <c r="M23" i="5"/>
  <c r="L23" i="5"/>
  <c r="M22" i="5"/>
  <c r="L22" i="5"/>
  <c r="M21" i="5"/>
  <c r="L21" i="5"/>
  <c r="M20" i="5"/>
  <c r="L20" i="5"/>
  <c r="M13" i="5"/>
  <c r="L13" i="5"/>
  <c r="M28" i="4"/>
  <c r="M29" i="4" s="1"/>
  <c r="L28" i="4"/>
  <c r="L29" i="4" s="1"/>
  <c r="M145" i="3"/>
  <c r="L145" i="3"/>
  <c r="M144" i="3"/>
  <c r="L144" i="3"/>
  <c r="M101" i="3"/>
  <c r="L101" i="3"/>
  <c r="M73" i="3"/>
  <c r="L73" i="3"/>
  <c r="M71" i="3"/>
  <c r="L71" i="3"/>
  <c r="M70" i="3"/>
  <c r="L70" i="3"/>
  <c r="M64" i="3"/>
  <c r="L64" i="3"/>
  <c r="M63" i="3"/>
  <c r="L63" i="3"/>
  <c r="M62" i="3"/>
  <c r="L62" i="3"/>
  <c r="M61" i="3"/>
  <c r="L61" i="3"/>
  <c r="M53" i="3"/>
  <c r="L53" i="3"/>
  <c r="M52" i="3"/>
  <c r="L52" i="3"/>
  <c r="M38" i="3"/>
  <c r="L38" i="3"/>
  <c r="M33" i="3"/>
  <c r="L33" i="3"/>
  <c r="M24" i="3"/>
  <c r="L24" i="3"/>
  <c r="M18" i="3"/>
  <c r="L18" i="3"/>
  <c r="M15" i="3"/>
  <c r="L15" i="3"/>
  <c r="M143" i="2"/>
  <c r="L143" i="2"/>
  <c r="M141" i="2"/>
  <c r="L141" i="2"/>
  <c r="M116" i="2"/>
  <c r="L116" i="2"/>
  <c r="M115" i="2"/>
  <c r="L115" i="2"/>
  <c r="M114" i="2"/>
  <c r="L114" i="2"/>
  <c r="M113" i="2"/>
  <c r="L113" i="2"/>
  <c r="M112" i="2"/>
  <c r="L112" i="2"/>
  <c r="M111" i="2"/>
  <c r="L111" i="2"/>
  <c r="M109" i="2"/>
  <c r="L109" i="2"/>
  <c r="M108" i="2"/>
  <c r="L108" i="2"/>
  <c r="M106" i="2"/>
  <c r="L106" i="2"/>
  <c r="M104" i="2"/>
  <c r="L104" i="2"/>
  <c r="M103" i="2"/>
  <c r="L103" i="2"/>
  <c r="M102" i="2"/>
  <c r="L102" i="2"/>
  <c r="M100" i="2"/>
  <c r="L100" i="2"/>
  <c r="M98" i="2"/>
  <c r="L98" i="2"/>
  <c r="M56" i="2"/>
  <c r="L56" i="2"/>
  <c r="M55" i="2"/>
  <c r="L55" i="2"/>
  <c r="M54" i="2"/>
  <c r="L54" i="2"/>
  <c r="M53" i="2"/>
  <c r="L53" i="2"/>
  <c r="M52" i="2"/>
  <c r="L52" i="2"/>
  <c r="M51" i="2"/>
  <c r="L51" i="2"/>
  <c r="M50" i="2"/>
  <c r="L50" i="2"/>
  <c r="M49" i="2"/>
  <c r="L49" i="2"/>
  <c r="M48" i="2"/>
  <c r="L48" i="2"/>
  <c r="M46" i="2"/>
  <c r="L46" i="2"/>
  <c r="M44" i="2"/>
  <c r="L44" i="2"/>
  <c r="M43" i="2"/>
  <c r="L43" i="2"/>
  <c r="M42" i="2"/>
  <c r="L42" i="2"/>
  <c r="M41" i="2"/>
  <c r="L41" i="2"/>
  <c r="M40" i="2"/>
  <c r="L40" i="2"/>
  <c r="M39" i="2"/>
  <c r="L39" i="2"/>
  <c r="M38" i="2"/>
  <c r="L38" i="2"/>
  <c r="M37" i="2"/>
  <c r="L37" i="2"/>
  <c r="M33" i="2"/>
  <c r="L33" i="2"/>
  <c r="M32" i="2"/>
  <c r="L32" i="2"/>
  <c r="M29" i="2"/>
  <c r="L29" i="2"/>
  <c r="M26" i="2"/>
  <c r="L26" i="2"/>
  <c r="M20" i="2"/>
  <c r="L20" i="2"/>
  <c r="L125" i="7"/>
  <c r="K125" i="7"/>
  <c r="L124" i="7"/>
  <c r="K124" i="7"/>
  <c r="L121" i="7"/>
  <c r="K121" i="7"/>
  <c r="L120" i="7"/>
  <c r="K120" i="7"/>
  <c r="L119" i="7"/>
  <c r="K119" i="7"/>
  <c r="L118" i="7"/>
  <c r="K118" i="7"/>
  <c r="L117" i="7"/>
  <c r="K117" i="7"/>
  <c r="L116" i="7"/>
  <c r="K116" i="7"/>
  <c r="L115" i="7"/>
  <c r="K115" i="7"/>
  <c r="L114" i="7"/>
  <c r="K114" i="7"/>
  <c r="L113" i="7"/>
  <c r="K113" i="7"/>
  <c r="L112" i="7"/>
  <c r="K112" i="7"/>
  <c r="L111" i="7"/>
  <c r="K111" i="7"/>
  <c r="L108" i="7"/>
  <c r="K108" i="7"/>
  <c r="L107" i="7"/>
  <c r="K107" i="7"/>
  <c r="L106" i="7"/>
  <c r="K106" i="7"/>
  <c r="L105" i="7"/>
  <c r="K105" i="7"/>
  <c r="L104" i="7"/>
  <c r="K104" i="7"/>
  <c r="L103" i="7"/>
  <c r="K103" i="7"/>
  <c r="L102" i="7"/>
  <c r="K102" i="7"/>
  <c r="L101" i="7"/>
  <c r="K101" i="7"/>
  <c r="L100" i="7"/>
  <c r="K100" i="7"/>
  <c r="L99" i="7"/>
  <c r="K99" i="7"/>
  <c r="L98" i="7"/>
  <c r="K98" i="7"/>
  <c r="L92" i="7"/>
  <c r="K92" i="7"/>
  <c r="L91" i="7"/>
  <c r="K91" i="7"/>
  <c r="L87" i="7"/>
  <c r="K87" i="7"/>
  <c r="L78" i="7"/>
  <c r="K78" i="7"/>
  <c r="L72" i="7"/>
  <c r="K72" i="7"/>
  <c r="L67" i="7"/>
  <c r="K67" i="7"/>
  <c r="L66" i="7"/>
  <c r="K66" i="7"/>
  <c r="L60" i="7"/>
  <c r="K60" i="7"/>
  <c r="L59" i="7"/>
  <c r="K59" i="7"/>
  <c r="L58" i="7"/>
  <c r="K58" i="7"/>
  <c r="L57" i="7"/>
  <c r="K57" i="7"/>
  <c r="L56" i="7"/>
  <c r="K56" i="7"/>
  <c r="L55" i="7"/>
  <c r="K55" i="7"/>
  <c r="L54" i="7"/>
  <c r="K54" i="7"/>
  <c r="L53" i="7"/>
  <c r="K53" i="7"/>
  <c r="L52" i="7"/>
  <c r="K52" i="7"/>
  <c r="L51" i="7"/>
  <c r="K51" i="7"/>
  <c r="L50" i="7"/>
  <c r="K50" i="7"/>
  <c r="L49" i="7"/>
  <c r="K49" i="7"/>
  <c r="L48" i="7"/>
  <c r="K48" i="7"/>
  <c r="L47" i="7"/>
  <c r="K47" i="7"/>
  <c r="L46" i="7"/>
  <c r="K46" i="7"/>
  <c r="L45" i="7"/>
  <c r="K45" i="7"/>
  <c r="L44" i="7"/>
  <c r="K44" i="7"/>
  <c r="L43" i="7"/>
  <c r="K43" i="7"/>
  <c r="L42" i="7"/>
  <c r="K42" i="7"/>
  <c r="L41" i="7"/>
  <c r="K41" i="7"/>
  <c r="L40" i="7"/>
  <c r="K40" i="7"/>
  <c r="L39" i="7"/>
  <c r="K39" i="7"/>
  <c r="L38" i="7"/>
  <c r="K38" i="7"/>
  <c r="L37" i="7"/>
  <c r="K37" i="7"/>
  <c r="L36" i="7"/>
  <c r="K36" i="7"/>
  <c r="L35" i="7"/>
  <c r="K35" i="7"/>
  <c r="L34" i="7"/>
  <c r="K34" i="7"/>
  <c r="L33" i="7"/>
  <c r="K33" i="7"/>
  <c r="L32" i="7"/>
  <c r="K32" i="7"/>
  <c r="L31" i="7"/>
  <c r="K31" i="7"/>
  <c r="L30" i="7"/>
  <c r="K30" i="7"/>
  <c r="L29" i="7"/>
  <c r="K29" i="7"/>
  <c r="L28" i="7"/>
  <c r="K28" i="7"/>
  <c r="L27" i="7"/>
  <c r="K27" i="7"/>
  <c r="L26" i="7"/>
  <c r="K26" i="7"/>
  <c r="L25" i="7"/>
  <c r="K25" i="7"/>
  <c r="L24" i="7"/>
  <c r="K24" i="7"/>
  <c r="L23" i="7"/>
  <c r="K23" i="7"/>
  <c r="L22" i="7"/>
  <c r="K22" i="7"/>
  <c r="L21" i="7"/>
  <c r="K21" i="7"/>
  <c r="L20" i="7"/>
  <c r="K20" i="7"/>
  <c r="L19" i="7"/>
  <c r="K19" i="7"/>
  <c r="L18" i="7"/>
  <c r="K18" i="7"/>
  <c r="L17" i="7"/>
  <c r="K17" i="7"/>
  <c r="L16" i="7"/>
  <c r="K16" i="7"/>
  <c r="L15" i="7"/>
  <c r="K15" i="7"/>
  <c r="L14" i="7"/>
  <c r="K14" i="7"/>
  <c r="L13" i="7"/>
  <c r="K13" i="7"/>
  <c r="L12" i="7"/>
  <c r="K12" i="7"/>
  <c r="L11" i="7"/>
  <c r="K11" i="7"/>
  <c r="L10" i="7"/>
  <c r="K10" i="7"/>
  <c r="L9" i="7"/>
  <c r="K9" i="7"/>
  <c r="L8" i="7"/>
  <c r="K8" i="7"/>
  <c r="L7" i="7"/>
  <c r="K7" i="7"/>
  <c r="L122" i="6"/>
  <c r="L123" i="6" s="1"/>
  <c r="L97" i="6" s="1"/>
  <c r="K122" i="6"/>
  <c r="K123" i="6" s="1"/>
  <c r="K97" i="6" s="1"/>
  <c r="L109" i="6"/>
  <c r="K109" i="6"/>
  <c r="L1" i="5"/>
  <c r="M1" i="5" s="1"/>
  <c r="N1" i="5" s="1"/>
  <c r="O1" i="5" s="1"/>
  <c r="P1" i="5" s="1"/>
  <c r="Q1" i="5" s="1"/>
  <c r="R1" i="5" s="1"/>
  <c r="S1" i="5" s="1"/>
  <c r="T1" i="5" s="1"/>
  <c r="U1" i="5" s="1"/>
  <c r="V1" i="5" s="1"/>
  <c r="W1" i="5" s="1"/>
  <c r="X1" i="5" s="1"/>
  <c r="Y1" i="5" s="1"/>
  <c r="Z1" i="5" s="1"/>
  <c r="AA1" i="5" s="1"/>
  <c r="AB1" i="5" s="1"/>
  <c r="AC1" i="5" s="1"/>
  <c r="AD1" i="5" s="1"/>
  <c r="L1" i="4"/>
  <c r="M1" i="4" s="1"/>
  <c r="N1" i="4" s="1"/>
  <c r="O1" i="4" s="1"/>
  <c r="P1" i="4" s="1"/>
  <c r="Q1" i="4" s="1"/>
  <c r="R1" i="4" s="1"/>
  <c r="S1" i="4" s="1"/>
  <c r="T1" i="4" s="1"/>
  <c r="U1" i="4" s="1"/>
  <c r="V1" i="4" s="1"/>
  <c r="W1" i="4" s="1"/>
  <c r="X1" i="4" s="1"/>
  <c r="Y1" i="4" s="1"/>
  <c r="Z1" i="4" s="1"/>
  <c r="AA1" i="4" s="1"/>
  <c r="AB1" i="4" s="1"/>
  <c r="AC1" i="4" s="1"/>
  <c r="AD1" i="4" s="1"/>
  <c r="L1" i="3"/>
  <c r="M1" i="3" s="1"/>
  <c r="N1" i="3" s="1"/>
  <c r="O1" i="3" s="1"/>
  <c r="P1" i="3" s="1"/>
  <c r="Q1" i="3" s="1"/>
  <c r="R1" i="3" s="1"/>
  <c r="S1" i="3" s="1"/>
  <c r="T1" i="3" s="1"/>
  <c r="U1" i="3" s="1"/>
  <c r="V1" i="3" s="1"/>
  <c r="W1" i="3" s="1"/>
  <c r="X1" i="3" s="1"/>
  <c r="Y1" i="3" s="1"/>
  <c r="Z1" i="3" s="1"/>
  <c r="AA1" i="3" s="1"/>
  <c r="AB1" i="3" s="1"/>
  <c r="AC1" i="3" s="1"/>
  <c r="AD1" i="3" s="1"/>
  <c r="AE1" i="3" s="1"/>
  <c r="AF1" i="3" s="1"/>
  <c r="AG1" i="3" s="1"/>
  <c r="AH1" i="3" s="1"/>
  <c r="AI1" i="3" s="1"/>
  <c r="AJ1" i="3" s="1"/>
  <c r="AK1" i="3" s="1"/>
  <c r="L1" i="2"/>
  <c r="M1" i="2" s="1"/>
  <c r="N1" i="2" s="1"/>
  <c r="O1" i="2" s="1"/>
  <c r="P1" i="2" s="1"/>
  <c r="Q1" i="2" s="1"/>
  <c r="R1" i="2" s="1"/>
  <c r="S1" i="2" s="1"/>
  <c r="T1" i="2" s="1"/>
  <c r="U1" i="2" s="1"/>
  <c r="V1" i="2" s="1"/>
  <c r="W1" i="2" s="1"/>
  <c r="X1" i="2" s="1"/>
  <c r="Y1" i="2" s="1"/>
  <c r="Z1" i="2" s="1"/>
  <c r="AA1" i="2" s="1"/>
  <c r="AB1" i="2" s="1"/>
  <c r="AC1" i="2" s="1"/>
  <c r="AD1" i="2" s="1"/>
  <c r="AE1" i="2" s="1"/>
  <c r="AF1" i="2" s="1"/>
  <c r="AG1" i="2" s="1"/>
  <c r="AH1" i="2" s="1"/>
  <c r="AI1" i="2" s="1"/>
  <c r="AJ1" i="2" s="1"/>
  <c r="AK1" i="2" s="1"/>
  <c r="L1" i="8"/>
  <c r="M1" i="8" s="1"/>
  <c r="N1" i="8" s="1"/>
  <c r="O1" i="8" s="1"/>
  <c r="P1" i="8" s="1"/>
  <c r="Q1" i="8" s="1"/>
  <c r="R1" i="8" s="1"/>
  <c r="S1" i="8" s="1"/>
  <c r="T1" i="8" s="1"/>
  <c r="U1" i="8" s="1"/>
  <c r="V1" i="8" s="1"/>
  <c r="L70" i="6" l="1"/>
  <c r="K70" i="6"/>
  <c r="K61" i="6"/>
  <c r="K62" i="6"/>
  <c r="K77" i="6"/>
  <c r="K64" i="6"/>
  <c r="K65" i="6"/>
  <c r="L61" i="6"/>
  <c r="L62" i="6"/>
  <c r="L63" i="6"/>
  <c r="L64" i="6"/>
  <c r="L65" i="6"/>
  <c r="K63" i="6"/>
  <c r="L77" i="6"/>
  <c r="E117" i="6"/>
  <c r="Q109" i="6"/>
  <c r="P109" i="6"/>
  <c r="O109" i="6"/>
  <c r="N109" i="6"/>
  <c r="M109" i="6"/>
  <c r="J109" i="6"/>
  <c r="I109" i="6"/>
  <c r="H109" i="6"/>
  <c r="G109" i="6"/>
  <c r="F109" i="6"/>
  <c r="E109" i="6" l="1"/>
  <c r="L109" i="7" l="1"/>
  <c r="K109" i="7"/>
  <c r="N110" i="6"/>
  <c r="N96" i="6" s="1"/>
  <c r="K110" i="6"/>
  <c r="L110" i="6"/>
  <c r="H110" i="6"/>
  <c r="H96" i="6" s="1"/>
  <c r="Q110" i="6"/>
  <c r="Q96" i="6" s="1"/>
  <c r="M110" i="6"/>
  <c r="M96" i="6" s="1"/>
  <c r="G110" i="6"/>
  <c r="G96" i="6" s="1"/>
  <c r="P110" i="6"/>
  <c r="P96" i="6" s="1"/>
  <c r="J110" i="6"/>
  <c r="J96" i="6" s="1"/>
  <c r="F110" i="6"/>
  <c r="F96" i="6" s="1"/>
  <c r="O110" i="6"/>
  <c r="O96" i="6" s="1"/>
  <c r="I110" i="6"/>
  <c r="I96" i="6" s="1"/>
  <c r="E94" i="6"/>
  <c r="K96" i="6" l="1"/>
  <c r="L96" i="6"/>
  <c r="L94" i="7"/>
  <c r="K94" i="7"/>
  <c r="T69" i="8"/>
  <c r="T65" i="8"/>
  <c r="T59" i="8"/>
  <c r="T58" i="8"/>
  <c r="T53" i="8"/>
  <c r="T51" i="8"/>
  <c r="T46" i="8"/>
  <c r="T45" i="8"/>
  <c r="T42" i="8"/>
  <c r="T41" i="8"/>
  <c r="T40" i="8"/>
  <c r="T39" i="8"/>
  <c r="T36" i="8"/>
  <c r="T34" i="8"/>
  <c r="T31" i="8"/>
  <c r="T27" i="8"/>
  <c r="T26" i="8"/>
  <c r="T24" i="8"/>
  <c r="T22" i="8"/>
  <c r="T19" i="8"/>
  <c r="T17" i="8"/>
  <c r="T12" i="8"/>
  <c r="M27" i="2" l="1"/>
  <c r="M21" i="2"/>
  <c r="M22" i="2" s="1"/>
  <c r="L79" i="6" s="1"/>
  <c r="M39" i="3"/>
  <c r="M40" i="3" s="1"/>
  <c r="M34" i="3"/>
  <c r="M35" i="3" s="1"/>
  <c r="M25" i="3"/>
  <c r="M29" i="3" s="1"/>
  <c r="L27" i="2"/>
  <c r="L21" i="2"/>
  <c r="L22" i="2" s="1"/>
  <c r="K79" i="6" s="1"/>
  <c r="L39" i="3"/>
  <c r="L40" i="3" s="1"/>
  <c r="L34" i="3"/>
  <c r="L35" i="3" s="1"/>
  <c r="L25" i="3"/>
  <c r="L29" i="3" s="1"/>
  <c r="F60" i="8"/>
  <c r="T60" i="8" s="1"/>
  <c r="G1" i="8"/>
  <c r="H1" i="8" s="1"/>
  <c r="I1" i="8" s="1"/>
  <c r="J1" i="8" s="1"/>
  <c r="K1" i="8" s="1"/>
  <c r="R13" i="5" l="1"/>
  <c r="Q13" i="5"/>
  <c r="P13" i="5"/>
  <c r="O13" i="5"/>
  <c r="N13" i="5"/>
  <c r="M90" i="6" s="1"/>
  <c r="K13" i="5"/>
  <c r="J13" i="5"/>
  <c r="I13" i="5"/>
  <c r="H13" i="5"/>
  <c r="G13" i="5"/>
  <c r="T10" i="5"/>
  <c r="G1" i="5"/>
  <c r="H1" i="5" s="1"/>
  <c r="I1" i="5" s="1"/>
  <c r="J1" i="5" s="1"/>
  <c r="K1" i="5" s="1"/>
  <c r="T19" i="5"/>
  <c r="T18" i="5"/>
  <c r="T15" i="5"/>
  <c r="T14" i="5"/>
  <c r="T12" i="5"/>
  <c r="T11" i="5"/>
  <c r="F44" i="3"/>
  <c r="J8" i="8" l="1"/>
  <c r="J61" i="8" s="1"/>
  <c r="I90" i="6"/>
  <c r="G8" i="8"/>
  <c r="G61" i="8" s="1"/>
  <c r="F90" i="6"/>
  <c r="Q8" i="8"/>
  <c r="Q61" i="8" s="1"/>
  <c r="P90" i="6"/>
  <c r="H8" i="8"/>
  <c r="H61" i="8" s="1"/>
  <c r="G90" i="6"/>
  <c r="R8" i="8"/>
  <c r="R61" i="8" s="1"/>
  <c r="Q90" i="6"/>
  <c r="P8" i="8"/>
  <c r="P61" i="8" s="1"/>
  <c r="O90" i="6"/>
  <c r="K8" i="8"/>
  <c r="K61" i="8" s="1"/>
  <c r="J90" i="6"/>
  <c r="I8" i="8"/>
  <c r="I61" i="8" s="1"/>
  <c r="H90" i="6"/>
  <c r="O8" i="8"/>
  <c r="O61" i="8" s="1"/>
  <c r="N90" i="6"/>
  <c r="N8" i="8"/>
  <c r="N61" i="8" s="1"/>
  <c r="T36" i="4"/>
  <c r="T98" i="4"/>
  <c r="T97" i="4"/>
  <c r="T96" i="4"/>
  <c r="T95" i="4"/>
  <c r="T94" i="4"/>
  <c r="T93" i="4"/>
  <c r="T92" i="4"/>
  <c r="T91" i="4"/>
  <c r="T90" i="4"/>
  <c r="T89" i="4"/>
  <c r="T88" i="4"/>
  <c r="T87" i="4"/>
  <c r="T86" i="4"/>
  <c r="T85" i="4"/>
  <c r="T84" i="4"/>
  <c r="T83" i="4"/>
  <c r="T82" i="4"/>
  <c r="T81" i="4"/>
  <c r="T80" i="4"/>
  <c r="T79" i="4"/>
  <c r="T78" i="4"/>
  <c r="T77" i="4"/>
  <c r="T76" i="4"/>
  <c r="T75" i="4"/>
  <c r="T74" i="4"/>
  <c r="T73" i="4"/>
  <c r="T72" i="4"/>
  <c r="T71" i="4"/>
  <c r="T70" i="4"/>
  <c r="T69" i="4"/>
  <c r="T68" i="4"/>
  <c r="T67" i="4"/>
  <c r="T66" i="4"/>
  <c r="T65" i="4"/>
  <c r="T64" i="4"/>
  <c r="T63" i="4"/>
  <c r="T62" i="4"/>
  <c r="T61" i="4"/>
  <c r="T60" i="4"/>
  <c r="T59" i="4"/>
  <c r="T58" i="4"/>
  <c r="T57" i="4"/>
  <c r="T56" i="4"/>
  <c r="T55" i="4"/>
  <c r="T54" i="4"/>
  <c r="T53" i="4"/>
  <c r="T52" i="4"/>
  <c r="T51" i="4"/>
  <c r="T50" i="4"/>
  <c r="T49" i="4"/>
  <c r="T48" i="4"/>
  <c r="T47" i="4"/>
  <c r="T46" i="4"/>
  <c r="T45" i="4"/>
  <c r="T44" i="4"/>
  <c r="T43" i="4"/>
  <c r="T41" i="4"/>
  <c r="T40" i="4"/>
  <c r="T38" i="4"/>
  <c r="T34" i="4"/>
  <c r="T33" i="4"/>
  <c r="T32" i="4"/>
  <c r="T30" i="4"/>
  <c r="T27" i="4"/>
  <c r="T26" i="4"/>
  <c r="T23" i="4"/>
  <c r="T22" i="4"/>
  <c r="T19" i="4"/>
  <c r="T18" i="4"/>
  <c r="T15" i="4"/>
  <c r="T14" i="4"/>
  <c r="H1" i="4"/>
  <c r="I1" i="4" s="1"/>
  <c r="J1" i="4" s="1"/>
  <c r="K1" i="4" s="1"/>
  <c r="G1" i="4"/>
  <c r="T127" i="3"/>
  <c r="T68" i="3"/>
  <c r="F39" i="3"/>
  <c r="F38" i="3"/>
  <c r="T158" i="3"/>
  <c r="T157" i="3"/>
  <c r="T156" i="3"/>
  <c r="T155" i="3"/>
  <c r="T154" i="3"/>
  <c r="T152" i="3"/>
  <c r="T148" i="3"/>
  <c r="T147" i="3"/>
  <c r="T143" i="3"/>
  <c r="T140" i="3"/>
  <c r="T139" i="3"/>
  <c r="T138" i="3"/>
  <c r="T113" i="3"/>
  <c r="T112" i="3"/>
  <c r="T110" i="3"/>
  <c r="T109" i="3"/>
  <c r="T107" i="3"/>
  <c r="T104" i="3"/>
  <c r="T103" i="3"/>
  <c r="T95" i="3"/>
  <c r="T94" i="3"/>
  <c r="T93" i="3"/>
  <c r="T92" i="3"/>
  <c r="T90" i="3"/>
  <c r="T78" i="3"/>
  <c r="T77" i="3"/>
  <c r="T67" i="3"/>
  <c r="T66" i="3"/>
  <c r="T59" i="3"/>
  <c r="T58" i="3"/>
  <c r="T46" i="3"/>
  <c r="T45" i="3"/>
  <c r="T42" i="3"/>
  <c r="T41" i="3"/>
  <c r="T37" i="3"/>
  <c r="T36" i="3"/>
  <c r="T32" i="3"/>
  <c r="T31" i="3"/>
  <c r="T30" i="3"/>
  <c r="T28" i="3"/>
  <c r="T27" i="3"/>
  <c r="T26" i="3"/>
  <c r="T23" i="3"/>
  <c r="T22" i="3"/>
  <c r="T21" i="3"/>
  <c r="T17" i="3"/>
  <c r="F34" i="3"/>
  <c r="F33" i="3"/>
  <c r="F25" i="3"/>
  <c r="F24" i="3"/>
  <c r="F19" i="3"/>
  <c r="F18" i="3"/>
  <c r="F16" i="3"/>
  <c r="F15" i="3"/>
  <c r="G1" i="3"/>
  <c r="D1" i="3"/>
  <c r="U110" i="2"/>
  <c r="U105" i="2"/>
  <c r="U99" i="2"/>
  <c r="U186" i="2"/>
  <c r="U185" i="2"/>
  <c r="U184" i="2"/>
  <c r="U183" i="2"/>
  <c r="U182" i="2"/>
  <c r="U181" i="2"/>
  <c r="U180" i="2"/>
  <c r="U179" i="2"/>
  <c r="U178" i="2"/>
  <c r="U177" i="2"/>
  <c r="U176" i="2"/>
  <c r="U175" i="2"/>
  <c r="U174" i="2"/>
  <c r="U173" i="2"/>
  <c r="U172" i="2"/>
  <c r="U171" i="2"/>
  <c r="U170" i="2"/>
  <c r="U169" i="2"/>
  <c r="U168" i="2"/>
  <c r="U167" i="2"/>
  <c r="U166" i="2"/>
  <c r="U165" i="2"/>
  <c r="U164" i="2"/>
  <c r="U163" i="2"/>
  <c r="U162" i="2"/>
  <c r="U161" i="2"/>
  <c r="U160" i="2"/>
  <c r="U158" i="2"/>
  <c r="U156" i="2"/>
  <c r="U134" i="2"/>
  <c r="U133" i="2"/>
  <c r="U130" i="2"/>
  <c r="U129" i="2"/>
  <c r="U128" i="2"/>
  <c r="U127" i="2"/>
  <c r="U126" i="2"/>
  <c r="U124" i="2"/>
  <c r="U120" i="2"/>
  <c r="U119" i="2"/>
  <c r="U96" i="2"/>
  <c r="U95" i="2"/>
  <c r="U90" i="2"/>
  <c r="U89" i="2"/>
  <c r="U84" i="2"/>
  <c r="U83" i="2"/>
  <c r="U78" i="2"/>
  <c r="U77" i="2"/>
  <c r="U76" i="2"/>
  <c r="U75" i="2"/>
  <c r="U73" i="2"/>
  <c r="U60" i="2"/>
  <c r="U59" i="2"/>
  <c r="U45" i="2"/>
  <c r="U36" i="2"/>
  <c r="U35" i="2"/>
  <c r="U31" i="2"/>
  <c r="U28" i="2"/>
  <c r="U25" i="2"/>
  <c r="U24" i="2"/>
  <c r="U23" i="2"/>
  <c r="U19" i="2"/>
  <c r="U18" i="2"/>
  <c r="E152" i="6"/>
  <c r="E151" i="6"/>
  <c r="E150" i="6"/>
  <c r="E149" i="6"/>
  <c r="E148" i="6"/>
  <c r="E147" i="6"/>
  <c r="E146" i="6"/>
  <c r="E145" i="6"/>
  <c r="E144" i="6"/>
  <c r="E143" i="6"/>
  <c r="E142" i="6"/>
  <c r="E141" i="6"/>
  <c r="E140" i="6"/>
  <c r="E139" i="6"/>
  <c r="E138" i="6"/>
  <c r="E137" i="6"/>
  <c r="E136" i="6"/>
  <c r="E135" i="6"/>
  <c r="E134" i="6"/>
  <c r="E133" i="6"/>
  <c r="E132" i="6"/>
  <c r="E131" i="6"/>
  <c r="E130" i="6"/>
  <c r="E129" i="6"/>
  <c r="E128" i="6"/>
  <c r="E127" i="6"/>
  <c r="E126" i="6"/>
  <c r="E125" i="6"/>
  <c r="E124" i="6"/>
  <c r="E114" i="6"/>
  <c r="E112" i="6"/>
  <c r="E111" i="6"/>
  <c r="E110" i="6"/>
  <c r="E107" i="6"/>
  <c r="E106" i="6"/>
  <c r="E105" i="6"/>
  <c r="E104" i="6"/>
  <c r="E103" i="6"/>
  <c r="E102" i="6"/>
  <c r="E101" i="6"/>
  <c r="E100" i="6"/>
  <c r="E99" i="6"/>
  <c r="E98" i="6"/>
  <c r="E95" i="6"/>
  <c r="E91" i="6"/>
  <c r="E78" i="6"/>
  <c r="E72" i="6"/>
  <c r="E67" i="6"/>
  <c r="E66" i="6"/>
  <c r="E60" i="6"/>
  <c r="E59" i="6"/>
  <c r="F33" i="2"/>
  <c r="F32" i="2"/>
  <c r="F30" i="2"/>
  <c r="F29" i="2"/>
  <c r="F27" i="2"/>
  <c r="F26" i="2"/>
  <c r="E96" i="6" l="1"/>
  <c r="K110" i="7"/>
  <c r="L110" i="7"/>
  <c r="L95" i="7"/>
  <c r="K95" i="7"/>
  <c r="E90" i="6"/>
  <c r="F61" i="8"/>
  <c r="T61" i="8" s="1"/>
  <c r="F40" i="3"/>
  <c r="H1" i="3"/>
  <c r="T123" i="3"/>
  <c r="T136" i="3"/>
  <c r="T121" i="3"/>
  <c r="F20" i="3"/>
  <c r="F35" i="3"/>
  <c r="T51" i="3"/>
  <c r="U107" i="2"/>
  <c r="U101" i="2"/>
  <c r="U97" i="2"/>
  <c r="F34" i="2"/>
  <c r="F21" i="2"/>
  <c r="F20" i="2"/>
  <c r="S155" i="2"/>
  <c r="S132" i="2"/>
  <c r="S123" i="2"/>
  <c r="S118" i="2"/>
  <c r="S94" i="2"/>
  <c r="S88" i="2"/>
  <c r="S82" i="2"/>
  <c r="F58" i="2"/>
  <c r="L96" i="7" l="1"/>
  <c r="K96" i="7"/>
  <c r="L91" i="2"/>
  <c r="L86" i="2"/>
  <c r="L87" i="2"/>
  <c r="L85" i="2"/>
  <c r="M91" i="2"/>
  <c r="M86" i="2"/>
  <c r="M87" i="2"/>
  <c r="M85" i="2"/>
  <c r="L90" i="7"/>
  <c r="K90" i="7"/>
  <c r="I1" i="3"/>
  <c r="F22" i="2"/>
  <c r="D8" i="6"/>
  <c r="D9" i="6" s="1"/>
  <c r="D1" i="2"/>
  <c r="F1" i="2" s="1"/>
  <c r="Q125" i="7"/>
  <c r="P125" i="7"/>
  <c r="O125" i="7"/>
  <c r="N125" i="7"/>
  <c r="M125" i="7"/>
  <c r="J125" i="7"/>
  <c r="I125" i="7"/>
  <c r="H125" i="7"/>
  <c r="G125" i="7"/>
  <c r="F125" i="7"/>
  <c r="E125" i="7" s="1"/>
  <c r="Q124" i="7"/>
  <c r="P124" i="7"/>
  <c r="O124" i="7"/>
  <c r="N124" i="7"/>
  <c r="M124" i="7"/>
  <c r="J124" i="7"/>
  <c r="I124" i="7"/>
  <c r="H124" i="7"/>
  <c r="G124" i="7"/>
  <c r="F124" i="7"/>
  <c r="E124" i="7" s="1"/>
  <c r="Q117" i="7"/>
  <c r="P117" i="7"/>
  <c r="O117" i="7"/>
  <c r="N117" i="7"/>
  <c r="M117" i="7"/>
  <c r="J117" i="7"/>
  <c r="I117" i="7"/>
  <c r="H117" i="7"/>
  <c r="G117" i="7"/>
  <c r="F117" i="7"/>
  <c r="Q114" i="7"/>
  <c r="P114" i="7"/>
  <c r="O114" i="7"/>
  <c r="N114" i="7"/>
  <c r="M114" i="7"/>
  <c r="J114" i="7"/>
  <c r="I114" i="7"/>
  <c r="H114" i="7"/>
  <c r="G114" i="7"/>
  <c r="F114" i="7"/>
  <c r="E114" i="7" s="1"/>
  <c r="Q112" i="7"/>
  <c r="P112" i="7"/>
  <c r="O112" i="7"/>
  <c r="N112" i="7"/>
  <c r="M112" i="7"/>
  <c r="J112" i="7"/>
  <c r="I112" i="7"/>
  <c r="H112" i="7"/>
  <c r="G112" i="7"/>
  <c r="F112" i="7"/>
  <c r="E112" i="7" s="1"/>
  <c r="Q111" i="7"/>
  <c r="P111" i="7"/>
  <c r="O111" i="7"/>
  <c r="N111" i="7"/>
  <c r="M111" i="7"/>
  <c r="J111" i="7"/>
  <c r="I111" i="7"/>
  <c r="H111" i="7"/>
  <c r="G111" i="7"/>
  <c r="F111" i="7"/>
  <c r="E111" i="7" s="1"/>
  <c r="Q110" i="7"/>
  <c r="P110" i="7"/>
  <c r="O110" i="7"/>
  <c r="N110" i="7"/>
  <c r="M110" i="7"/>
  <c r="J110" i="7"/>
  <c r="I110" i="7"/>
  <c r="H110" i="7"/>
  <c r="G110" i="7"/>
  <c r="F110" i="7"/>
  <c r="Q109" i="7"/>
  <c r="P109" i="7"/>
  <c r="O109" i="7"/>
  <c r="N109" i="7"/>
  <c r="M109" i="7"/>
  <c r="J109" i="7"/>
  <c r="I109" i="7"/>
  <c r="H109" i="7"/>
  <c r="G109" i="7"/>
  <c r="F109" i="7"/>
  <c r="Q108" i="7"/>
  <c r="P108" i="7"/>
  <c r="O108" i="7"/>
  <c r="N108" i="7"/>
  <c r="M108" i="7"/>
  <c r="J108" i="7"/>
  <c r="I108" i="7"/>
  <c r="H108" i="7"/>
  <c r="G108" i="7"/>
  <c r="F108" i="7"/>
  <c r="E108" i="7" s="1"/>
  <c r="Q107" i="7"/>
  <c r="P107" i="7"/>
  <c r="O107" i="7"/>
  <c r="N107" i="7"/>
  <c r="M107" i="7"/>
  <c r="J107" i="7"/>
  <c r="I107" i="7"/>
  <c r="H107" i="7"/>
  <c r="G107" i="7"/>
  <c r="F107" i="7"/>
  <c r="Q106" i="7"/>
  <c r="P106" i="7"/>
  <c r="O106" i="7"/>
  <c r="N106" i="7"/>
  <c r="M106" i="7"/>
  <c r="J106" i="7"/>
  <c r="I106" i="7"/>
  <c r="H106" i="7"/>
  <c r="G106" i="7"/>
  <c r="F106" i="7"/>
  <c r="Q105" i="7"/>
  <c r="P105" i="7"/>
  <c r="O105" i="7"/>
  <c r="N105" i="7"/>
  <c r="M105" i="7"/>
  <c r="J105" i="7"/>
  <c r="I105" i="7"/>
  <c r="H105" i="7"/>
  <c r="G105" i="7"/>
  <c r="F105" i="7"/>
  <c r="E105" i="7" s="1"/>
  <c r="Q104" i="7"/>
  <c r="P104" i="7"/>
  <c r="O104" i="7"/>
  <c r="N104" i="7"/>
  <c r="M104" i="7"/>
  <c r="J104" i="7"/>
  <c r="I104" i="7"/>
  <c r="H104" i="7"/>
  <c r="G104" i="7"/>
  <c r="F104" i="7"/>
  <c r="E104" i="7" s="1"/>
  <c r="Q103" i="7"/>
  <c r="P103" i="7"/>
  <c r="O103" i="7"/>
  <c r="N103" i="7"/>
  <c r="M103" i="7"/>
  <c r="J103" i="7"/>
  <c r="I103" i="7"/>
  <c r="H103" i="7"/>
  <c r="G103" i="7"/>
  <c r="F103" i="7"/>
  <c r="E103" i="7" s="1"/>
  <c r="Q102" i="7"/>
  <c r="P102" i="7"/>
  <c r="O102" i="7"/>
  <c r="N102" i="7"/>
  <c r="M102" i="7"/>
  <c r="J102" i="7"/>
  <c r="I102" i="7"/>
  <c r="H102" i="7"/>
  <c r="G102" i="7"/>
  <c r="F102" i="7"/>
  <c r="E102" i="7" s="1"/>
  <c r="Q101" i="7"/>
  <c r="P101" i="7"/>
  <c r="O101" i="7"/>
  <c r="N101" i="7"/>
  <c r="M101" i="7"/>
  <c r="J101" i="7"/>
  <c r="I101" i="7"/>
  <c r="H101" i="7"/>
  <c r="G101" i="7"/>
  <c r="F101" i="7"/>
  <c r="E101" i="7" s="1"/>
  <c r="Q100" i="7"/>
  <c r="P100" i="7"/>
  <c r="O100" i="7"/>
  <c r="N100" i="7"/>
  <c r="M100" i="7"/>
  <c r="J100" i="7"/>
  <c r="I100" i="7"/>
  <c r="H100" i="7"/>
  <c r="G100" i="7"/>
  <c r="F100" i="7"/>
  <c r="E100" i="7" s="1"/>
  <c r="Q99" i="7"/>
  <c r="P99" i="7"/>
  <c r="O99" i="7"/>
  <c r="N99" i="7"/>
  <c r="M99" i="7"/>
  <c r="J99" i="7"/>
  <c r="I99" i="7"/>
  <c r="H99" i="7"/>
  <c r="G99" i="7"/>
  <c r="F99" i="7"/>
  <c r="E99" i="7" s="1"/>
  <c r="Q98" i="7"/>
  <c r="P98" i="7"/>
  <c r="O98" i="7"/>
  <c r="N98" i="7"/>
  <c r="M98" i="7"/>
  <c r="J98" i="7"/>
  <c r="I98" i="7"/>
  <c r="H98" i="7"/>
  <c r="G98" i="7"/>
  <c r="F98" i="7"/>
  <c r="E98" i="7" s="1"/>
  <c r="Q96" i="7"/>
  <c r="P96" i="7"/>
  <c r="O96" i="7"/>
  <c r="N96" i="7"/>
  <c r="M96" i="7"/>
  <c r="J96" i="7"/>
  <c r="I96" i="7"/>
  <c r="H96" i="7"/>
  <c r="G96" i="7"/>
  <c r="F96" i="7"/>
  <c r="Q95" i="7"/>
  <c r="P95" i="7"/>
  <c r="O95" i="7"/>
  <c r="N95" i="7"/>
  <c r="M95" i="7"/>
  <c r="J95" i="7"/>
  <c r="I95" i="7"/>
  <c r="H95" i="7"/>
  <c r="G95" i="7"/>
  <c r="F95" i="7"/>
  <c r="Q91" i="7"/>
  <c r="P91" i="7"/>
  <c r="O91" i="7"/>
  <c r="N91" i="7"/>
  <c r="M91" i="7"/>
  <c r="J91" i="7"/>
  <c r="I91" i="7"/>
  <c r="H91" i="7"/>
  <c r="G91" i="7"/>
  <c r="F91" i="7"/>
  <c r="E91" i="7" s="1"/>
  <c r="Q90" i="7"/>
  <c r="P90" i="7"/>
  <c r="O90" i="7"/>
  <c r="N90" i="7"/>
  <c r="M90" i="7"/>
  <c r="J90" i="7"/>
  <c r="I90" i="7"/>
  <c r="H90" i="7"/>
  <c r="G90" i="7"/>
  <c r="F90" i="7"/>
  <c r="Q78" i="7"/>
  <c r="P78" i="7"/>
  <c r="O78" i="7"/>
  <c r="N78" i="7"/>
  <c r="M78" i="7"/>
  <c r="J78" i="7"/>
  <c r="I78" i="7"/>
  <c r="H78" i="7"/>
  <c r="G78" i="7"/>
  <c r="F78" i="7"/>
  <c r="E78" i="7" s="1"/>
  <c r="Q72" i="7"/>
  <c r="P72" i="7"/>
  <c r="O72" i="7"/>
  <c r="N72" i="7"/>
  <c r="M72" i="7"/>
  <c r="J72" i="7"/>
  <c r="I72" i="7"/>
  <c r="H72" i="7"/>
  <c r="G72" i="7"/>
  <c r="F72" i="7"/>
  <c r="E72" i="7" s="1"/>
  <c r="Q67" i="7"/>
  <c r="P67" i="7"/>
  <c r="O67" i="7"/>
  <c r="N67" i="7"/>
  <c r="M67" i="7"/>
  <c r="J67" i="7"/>
  <c r="I67" i="7"/>
  <c r="H67" i="7"/>
  <c r="G67" i="7"/>
  <c r="F67" i="7"/>
  <c r="Q66" i="7"/>
  <c r="P66" i="7"/>
  <c r="O66" i="7"/>
  <c r="N66" i="7"/>
  <c r="M66" i="7"/>
  <c r="J66" i="7"/>
  <c r="I66" i="7"/>
  <c r="H66" i="7"/>
  <c r="G66" i="7"/>
  <c r="F66" i="7"/>
  <c r="Q60" i="7"/>
  <c r="P60" i="7"/>
  <c r="O60" i="7"/>
  <c r="N60" i="7"/>
  <c r="M60" i="7"/>
  <c r="J60" i="7"/>
  <c r="I60" i="7"/>
  <c r="H60" i="7"/>
  <c r="G60" i="7"/>
  <c r="F60" i="7"/>
  <c r="E60" i="7" s="1"/>
  <c r="Q59" i="7"/>
  <c r="P59" i="7"/>
  <c r="O59" i="7"/>
  <c r="N59" i="7"/>
  <c r="M59" i="7"/>
  <c r="J59" i="7"/>
  <c r="I59" i="7"/>
  <c r="H59" i="7"/>
  <c r="G59" i="7"/>
  <c r="F59" i="7"/>
  <c r="E59" i="7" s="1"/>
  <c r="C125" i="7"/>
  <c r="B125" i="7"/>
  <c r="C124" i="7"/>
  <c r="B124" i="7"/>
  <c r="C123" i="7"/>
  <c r="B123" i="7"/>
  <c r="C122" i="7"/>
  <c r="B122" i="7"/>
  <c r="C121" i="7"/>
  <c r="B121" i="7"/>
  <c r="C120" i="7"/>
  <c r="B120" i="7"/>
  <c r="C119" i="7"/>
  <c r="B119" i="7"/>
  <c r="C118" i="7"/>
  <c r="B118" i="7"/>
  <c r="C117" i="7"/>
  <c r="B117" i="7"/>
  <c r="C116" i="7"/>
  <c r="B116" i="7"/>
  <c r="C115" i="7"/>
  <c r="B115" i="7"/>
  <c r="C114" i="7"/>
  <c r="B114" i="7"/>
  <c r="C113" i="7"/>
  <c r="B113" i="7"/>
  <c r="C112" i="7"/>
  <c r="B112" i="7"/>
  <c r="C111" i="7"/>
  <c r="B111" i="7"/>
  <c r="C110" i="7"/>
  <c r="B110" i="7"/>
  <c r="C109" i="7"/>
  <c r="B109" i="7"/>
  <c r="C108" i="7"/>
  <c r="B108" i="7"/>
  <c r="C107" i="7"/>
  <c r="B107" i="7"/>
  <c r="C106" i="7"/>
  <c r="B106" i="7"/>
  <c r="C105" i="7"/>
  <c r="B105" i="7"/>
  <c r="C104" i="7"/>
  <c r="B104" i="7"/>
  <c r="C103" i="7"/>
  <c r="B103" i="7"/>
  <c r="C102" i="7"/>
  <c r="B102" i="7"/>
  <c r="C101" i="7"/>
  <c r="B101" i="7"/>
  <c r="C100" i="7"/>
  <c r="B100" i="7"/>
  <c r="C99" i="7"/>
  <c r="B99" i="7"/>
  <c r="C98" i="7"/>
  <c r="B98" i="7"/>
  <c r="C97" i="7"/>
  <c r="B97" i="7"/>
  <c r="C96" i="7"/>
  <c r="B96" i="7"/>
  <c r="C95" i="7"/>
  <c r="B95" i="7"/>
  <c r="C94" i="7"/>
  <c r="B94" i="7"/>
  <c r="C93" i="7"/>
  <c r="B93" i="7"/>
  <c r="C92" i="7"/>
  <c r="B92" i="7"/>
  <c r="C91" i="7"/>
  <c r="B91" i="7"/>
  <c r="C90" i="7"/>
  <c r="B90" i="7"/>
  <c r="C89" i="7"/>
  <c r="B89" i="7"/>
  <c r="C88" i="7"/>
  <c r="B88" i="7"/>
  <c r="C87" i="7"/>
  <c r="B87" i="7"/>
  <c r="C86" i="7"/>
  <c r="B86" i="7"/>
  <c r="C85" i="7"/>
  <c r="B85" i="7"/>
  <c r="C84" i="7"/>
  <c r="B84" i="7"/>
  <c r="C83" i="7"/>
  <c r="B83" i="7"/>
  <c r="C82" i="7"/>
  <c r="B82" i="7"/>
  <c r="C81" i="7"/>
  <c r="B81" i="7"/>
  <c r="C80" i="7"/>
  <c r="B80" i="7"/>
  <c r="C79" i="7"/>
  <c r="B79" i="7"/>
  <c r="C78" i="7"/>
  <c r="B78" i="7"/>
  <c r="C77" i="7"/>
  <c r="B77" i="7"/>
  <c r="C76" i="7"/>
  <c r="B76" i="7"/>
  <c r="C75" i="7"/>
  <c r="B75" i="7"/>
  <c r="C74" i="7"/>
  <c r="B74" i="7"/>
  <c r="C73" i="7"/>
  <c r="B73" i="7"/>
  <c r="C72" i="7"/>
  <c r="B72" i="7"/>
  <c r="C71" i="7"/>
  <c r="B71" i="7"/>
  <c r="C70" i="7"/>
  <c r="B70" i="7"/>
  <c r="C69" i="7"/>
  <c r="B69" i="7"/>
  <c r="C68" i="7"/>
  <c r="B68" i="7"/>
  <c r="C67" i="7"/>
  <c r="B67" i="7"/>
  <c r="C66" i="7"/>
  <c r="B66" i="7"/>
  <c r="C65" i="7"/>
  <c r="B65" i="7"/>
  <c r="C64" i="7"/>
  <c r="B64" i="7"/>
  <c r="C63" i="7"/>
  <c r="B63" i="7"/>
  <c r="C62" i="7"/>
  <c r="B62" i="7"/>
  <c r="C61" i="7"/>
  <c r="B61" i="7"/>
  <c r="C60" i="7"/>
  <c r="B60" i="7"/>
  <c r="C59" i="7"/>
  <c r="B59" i="7"/>
  <c r="C58" i="7"/>
  <c r="B58" i="7"/>
  <c r="C57" i="7"/>
  <c r="B57" i="7"/>
  <c r="C56" i="7"/>
  <c r="B56" i="7"/>
  <c r="C55" i="7"/>
  <c r="B55" i="7"/>
  <c r="C54" i="7"/>
  <c r="B54" i="7"/>
  <c r="C53" i="7"/>
  <c r="B53" i="7"/>
  <c r="C52" i="7"/>
  <c r="B52" i="7"/>
  <c r="C51" i="7"/>
  <c r="B51" i="7"/>
  <c r="C50" i="7"/>
  <c r="B50" i="7"/>
  <c r="C49" i="7"/>
  <c r="B49" i="7"/>
  <c r="C48" i="7"/>
  <c r="B48" i="7"/>
  <c r="C47" i="7"/>
  <c r="B47" i="7"/>
  <c r="C46" i="7"/>
  <c r="B46" i="7"/>
  <c r="C45" i="7"/>
  <c r="B45" i="7"/>
  <c r="C44" i="7"/>
  <c r="B44" i="7"/>
  <c r="C43" i="7"/>
  <c r="B43" i="7"/>
  <c r="C42" i="7"/>
  <c r="B42" i="7"/>
  <c r="C41" i="7"/>
  <c r="B41" i="7"/>
  <c r="C40" i="7"/>
  <c r="B40" i="7"/>
  <c r="C39" i="7"/>
  <c r="B39" i="7"/>
  <c r="C38" i="7"/>
  <c r="B38" i="7"/>
  <c r="C37" i="7"/>
  <c r="B37" i="7"/>
  <c r="C36" i="7"/>
  <c r="B36" i="7"/>
  <c r="C35" i="7"/>
  <c r="B35" i="7"/>
  <c r="C34" i="7"/>
  <c r="B34" i="7"/>
  <c r="C33" i="7"/>
  <c r="B33" i="7"/>
  <c r="C32" i="7"/>
  <c r="B32" i="7"/>
  <c r="C31" i="7"/>
  <c r="B31" i="7"/>
  <c r="C30" i="7"/>
  <c r="B30" i="7"/>
  <c r="C29" i="7"/>
  <c r="B29" i="7"/>
  <c r="C28" i="7"/>
  <c r="B28" i="7"/>
  <c r="C27" i="7"/>
  <c r="B27" i="7"/>
  <c r="C26" i="7"/>
  <c r="B26" i="7"/>
  <c r="C25" i="7"/>
  <c r="B25" i="7"/>
  <c r="C24" i="7"/>
  <c r="B24" i="7"/>
  <c r="C23" i="7"/>
  <c r="B23" i="7"/>
  <c r="C22" i="7"/>
  <c r="B22" i="7"/>
  <c r="C21" i="7"/>
  <c r="B21" i="7"/>
  <c r="C20" i="7"/>
  <c r="B20" i="7"/>
  <c r="C19" i="7"/>
  <c r="B19" i="7"/>
  <c r="C18" i="7"/>
  <c r="B18" i="7"/>
  <c r="C17" i="7"/>
  <c r="B17" i="7"/>
  <c r="C16" i="7"/>
  <c r="B16" i="7"/>
  <c r="C15" i="7"/>
  <c r="B15" i="7"/>
  <c r="C14" i="7"/>
  <c r="B14" i="7"/>
  <c r="C13" i="7"/>
  <c r="B13" i="7"/>
  <c r="C12" i="7"/>
  <c r="B12" i="7"/>
  <c r="C11" i="7"/>
  <c r="B11" i="7"/>
  <c r="C10" i="7"/>
  <c r="B10" i="7"/>
  <c r="C9" i="7"/>
  <c r="B9" i="7"/>
  <c r="C8" i="7"/>
  <c r="B8" i="7"/>
  <c r="D7" i="7"/>
  <c r="C7" i="7"/>
  <c r="B7" i="7"/>
  <c r="L19" i="3" l="1"/>
  <c r="L16" i="3"/>
  <c r="M19" i="3"/>
  <c r="M16" i="3"/>
  <c r="M20" i="3" s="1"/>
  <c r="M88" i="2"/>
  <c r="L88" i="2"/>
  <c r="L142" i="3"/>
  <c r="L86" i="3"/>
  <c r="M142" i="3"/>
  <c r="M86" i="3"/>
  <c r="E106" i="7"/>
  <c r="E96" i="7"/>
  <c r="E117" i="7"/>
  <c r="E110" i="7"/>
  <c r="E109" i="7"/>
  <c r="E107" i="7"/>
  <c r="E95" i="7"/>
  <c r="E90" i="7"/>
  <c r="D8" i="7"/>
  <c r="J1" i="3"/>
  <c r="E66" i="7"/>
  <c r="E67" i="7"/>
  <c r="D10" i="6"/>
  <c r="D9" i="7"/>
  <c r="G1" i="2"/>
  <c r="O58" i="6"/>
  <c r="O57" i="6"/>
  <c r="O56" i="6"/>
  <c r="O55" i="6"/>
  <c r="O54" i="6"/>
  <c r="O53" i="6"/>
  <c r="O52" i="6"/>
  <c r="O51" i="6"/>
  <c r="O50" i="6"/>
  <c r="O49" i="6"/>
  <c r="O48" i="6"/>
  <c r="O47" i="6"/>
  <c r="O46" i="6"/>
  <c r="O45" i="6"/>
  <c r="O44" i="6"/>
  <c r="O43" i="6"/>
  <c r="O42" i="6"/>
  <c r="O41" i="6"/>
  <c r="O40" i="6"/>
  <c r="O39" i="6"/>
  <c r="O38" i="6"/>
  <c r="O37" i="6"/>
  <c r="O36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O21" i="6"/>
  <c r="O20" i="6"/>
  <c r="O19" i="6"/>
  <c r="O18" i="6"/>
  <c r="O17" i="6"/>
  <c r="O16" i="6"/>
  <c r="O15" i="6"/>
  <c r="O14" i="6"/>
  <c r="O13" i="6"/>
  <c r="O12" i="6"/>
  <c r="O11" i="6"/>
  <c r="O10" i="6"/>
  <c r="O9" i="6"/>
  <c r="O8" i="6"/>
  <c r="O7" i="6"/>
  <c r="L20" i="3" l="1"/>
  <c r="E9" i="6"/>
  <c r="J9" i="7" s="1"/>
  <c r="E17" i="6"/>
  <c r="J17" i="7" s="1"/>
  <c r="E23" i="6"/>
  <c r="J23" i="7" s="1"/>
  <c r="K27" i="5" s="1"/>
  <c r="E29" i="6"/>
  <c r="J29" i="7" s="1"/>
  <c r="E35" i="6"/>
  <c r="E41" i="6"/>
  <c r="O41" i="7" s="1"/>
  <c r="E45" i="6"/>
  <c r="J45" i="7" s="1"/>
  <c r="K45" i="5" s="1"/>
  <c r="E49" i="6"/>
  <c r="J49" i="7" s="1"/>
  <c r="K49" i="5" s="1"/>
  <c r="E53" i="6"/>
  <c r="J53" i="7" s="1"/>
  <c r="E57" i="6"/>
  <c r="O23" i="7"/>
  <c r="O45" i="7"/>
  <c r="O49" i="7"/>
  <c r="E7" i="6"/>
  <c r="O7" i="7" s="1"/>
  <c r="E11" i="6"/>
  <c r="E15" i="6"/>
  <c r="O15" i="7" s="1"/>
  <c r="E19" i="6"/>
  <c r="E25" i="6"/>
  <c r="E31" i="6"/>
  <c r="E33" i="6"/>
  <c r="O33" i="7" s="1"/>
  <c r="E39" i="6"/>
  <c r="E43" i="6"/>
  <c r="E51" i="6"/>
  <c r="O25" i="7"/>
  <c r="E8" i="6"/>
  <c r="E10" i="6"/>
  <c r="O10" i="7" s="1"/>
  <c r="E12" i="6"/>
  <c r="E14" i="6"/>
  <c r="E16" i="6"/>
  <c r="O16" i="7" s="1"/>
  <c r="E18" i="6"/>
  <c r="O18" i="7" s="1"/>
  <c r="E20" i="6"/>
  <c r="E22" i="6"/>
  <c r="E24" i="6"/>
  <c r="O24" i="7" s="1"/>
  <c r="E26" i="6"/>
  <c r="E28" i="6"/>
  <c r="E30" i="6"/>
  <c r="O30" i="7" s="1"/>
  <c r="E32" i="6"/>
  <c r="O32" i="7" s="1"/>
  <c r="E34" i="6"/>
  <c r="E36" i="6"/>
  <c r="E38" i="6"/>
  <c r="O38" i="7" s="1"/>
  <c r="E40" i="6"/>
  <c r="O40" i="7" s="1"/>
  <c r="E42" i="6"/>
  <c r="E44" i="6"/>
  <c r="O44" i="7" s="1"/>
  <c r="E46" i="6"/>
  <c r="O46" i="7" s="1"/>
  <c r="E48" i="6"/>
  <c r="O48" i="7" s="1"/>
  <c r="E50" i="6"/>
  <c r="E52" i="6"/>
  <c r="E54" i="6"/>
  <c r="O54" i="7" s="1"/>
  <c r="E56" i="6"/>
  <c r="O56" i="7" s="1"/>
  <c r="E58" i="6"/>
  <c r="O52" i="7"/>
  <c r="E13" i="6"/>
  <c r="J13" i="7" s="1"/>
  <c r="E21" i="6"/>
  <c r="J21" i="7" s="1"/>
  <c r="K23" i="5" s="1"/>
  <c r="E27" i="6"/>
  <c r="J27" i="7" s="1"/>
  <c r="J37" i="7"/>
  <c r="E37" i="6"/>
  <c r="O37" i="7" s="1"/>
  <c r="E47" i="6"/>
  <c r="J47" i="7" s="1"/>
  <c r="E55" i="6"/>
  <c r="O55" i="7" s="1"/>
  <c r="K1" i="3"/>
  <c r="H1" i="2"/>
  <c r="D11" i="6"/>
  <c r="D10" i="7"/>
  <c r="F50" i="5"/>
  <c r="F10" i="8" s="1"/>
  <c r="F17" i="5"/>
  <c r="F9" i="8" s="1"/>
  <c r="F13" i="5"/>
  <c r="F151" i="3"/>
  <c r="F23" i="8" s="1"/>
  <c r="F146" i="3"/>
  <c r="F15" i="8" s="1"/>
  <c r="F137" i="3"/>
  <c r="F14" i="8" s="1"/>
  <c r="F37" i="4"/>
  <c r="F39" i="4" s="1"/>
  <c r="F29" i="4"/>
  <c r="F25" i="4"/>
  <c r="F21" i="4"/>
  <c r="F17" i="4"/>
  <c r="F13" i="4"/>
  <c r="F106" i="3"/>
  <c r="F102" i="3"/>
  <c r="F89" i="3"/>
  <c r="F76" i="3"/>
  <c r="F65" i="3"/>
  <c r="F57" i="3"/>
  <c r="F29" i="3"/>
  <c r="F155" i="2"/>
  <c r="F33" i="8" s="1"/>
  <c r="F132" i="2"/>
  <c r="F32" i="8" s="1"/>
  <c r="F123" i="2"/>
  <c r="F118" i="2"/>
  <c r="F94" i="2"/>
  <c r="F88" i="2"/>
  <c r="F82" i="2"/>
  <c r="F72" i="2"/>
  <c r="F17" i="2"/>
  <c r="J35" i="7" l="1"/>
  <c r="O57" i="7"/>
  <c r="E113" i="6"/>
  <c r="P49" i="5"/>
  <c r="O35" i="7"/>
  <c r="J55" i="7"/>
  <c r="K34" i="5" s="1"/>
  <c r="O17" i="7"/>
  <c r="O29" i="7"/>
  <c r="J57" i="7"/>
  <c r="J41" i="7"/>
  <c r="O53" i="7"/>
  <c r="O9" i="7"/>
  <c r="P58" i="7"/>
  <c r="H58" i="7"/>
  <c r="M58" i="7"/>
  <c r="F58" i="7"/>
  <c r="I58" i="7"/>
  <c r="N58" i="7"/>
  <c r="Q58" i="7"/>
  <c r="G58" i="7"/>
  <c r="P38" i="7"/>
  <c r="H38" i="7"/>
  <c r="N38" i="7"/>
  <c r="M38" i="7"/>
  <c r="F38" i="7"/>
  <c r="I38" i="7"/>
  <c r="G38" i="7"/>
  <c r="Q38" i="7"/>
  <c r="P22" i="7"/>
  <c r="Q26" i="5" s="1"/>
  <c r="H22" i="7"/>
  <c r="I26" i="5" s="1"/>
  <c r="N22" i="7"/>
  <c r="O26" i="5" s="1"/>
  <c r="M22" i="7"/>
  <c r="N26" i="5" s="1"/>
  <c r="F22" i="7"/>
  <c r="I22" i="7"/>
  <c r="J26" i="5" s="1"/>
  <c r="G22" i="7"/>
  <c r="H26" i="5" s="1"/>
  <c r="Q22" i="7"/>
  <c r="R26" i="5" s="1"/>
  <c r="P25" i="7"/>
  <c r="H25" i="7"/>
  <c r="N25" i="7"/>
  <c r="M25" i="7"/>
  <c r="F25" i="7"/>
  <c r="Q25" i="7"/>
  <c r="I25" i="7"/>
  <c r="G25" i="7"/>
  <c r="H55" i="2" s="1"/>
  <c r="P56" i="7"/>
  <c r="H56" i="7"/>
  <c r="N56" i="7"/>
  <c r="M56" i="7"/>
  <c r="F56" i="7"/>
  <c r="Q56" i="7"/>
  <c r="I56" i="7"/>
  <c r="G56" i="7"/>
  <c r="P52" i="7"/>
  <c r="H52" i="7"/>
  <c r="M52" i="7"/>
  <c r="F52" i="7"/>
  <c r="I52" i="7"/>
  <c r="N52" i="7"/>
  <c r="Q52" i="7"/>
  <c r="G52" i="7"/>
  <c r="P48" i="7"/>
  <c r="H48" i="7"/>
  <c r="G48" i="7"/>
  <c r="H98" i="2" s="1"/>
  <c r="N48" i="7"/>
  <c r="M48" i="7"/>
  <c r="F48" i="7"/>
  <c r="G98" i="2" s="1"/>
  <c r="Q48" i="7"/>
  <c r="I48" i="7"/>
  <c r="P44" i="7"/>
  <c r="H44" i="7"/>
  <c r="G44" i="7"/>
  <c r="H41" i="2" s="1"/>
  <c r="M44" i="7"/>
  <c r="F44" i="7"/>
  <c r="I44" i="7"/>
  <c r="N44" i="7"/>
  <c r="Q44" i="7"/>
  <c r="P40" i="7"/>
  <c r="Q40" i="5" s="1"/>
  <c r="H40" i="7"/>
  <c r="I40" i="5" s="1"/>
  <c r="G40" i="7"/>
  <c r="H40" i="5" s="1"/>
  <c r="M40" i="7"/>
  <c r="N40" i="5" s="1"/>
  <c r="F40" i="7"/>
  <c r="I40" i="7"/>
  <c r="J40" i="5" s="1"/>
  <c r="N40" i="7"/>
  <c r="O40" i="5" s="1"/>
  <c r="Q40" i="7"/>
  <c r="R40" i="5" s="1"/>
  <c r="P36" i="7"/>
  <c r="H36" i="7"/>
  <c r="N36" i="7"/>
  <c r="M36" i="7"/>
  <c r="F36" i="7"/>
  <c r="I36" i="7"/>
  <c r="G36" i="7"/>
  <c r="Q36" i="7"/>
  <c r="P32" i="7"/>
  <c r="H32" i="7"/>
  <c r="N32" i="7"/>
  <c r="M32" i="7"/>
  <c r="F32" i="7"/>
  <c r="Q32" i="7"/>
  <c r="G32" i="7"/>
  <c r="I32" i="7"/>
  <c r="P28" i="7"/>
  <c r="H28" i="7"/>
  <c r="N28" i="7"/>
  <c r="M28" i="7"/>
  <c r="F28" i="7"/>
  <c r="I28" i="7"/>
  <c r="G28" i="7"/>
  <c r="Q28" i="7"/>
  <c r="P24" i="7"/>
  <c r="H24" i="7"/>
  <c r="I63" i="3" s="1"/>
  <c r="N24" i="7"/>
  <c r="M24" i="7"/>
  <c r="F24" i="7"/>
  <c r="Q24" i="7"/>
  <c r="I24" i="7"/>
  <c r="J63" i="3" s="1"/>
  <c r="G24" i="7"/>
  <c r="H63" i="3" s="1"/>
  <c r="P20" i="7"/>
  <c r="Q21" i="5" s="1"/>
  <c r="H20" i="7"/>
  <c r="I21" i="5" s="1"/>
  <c r="G20" i="7"/>
  <c r="H21" i="5" s="1"/>
  <c r="M20" i="7"/>
  <c r="F20" i="7"/>
  <c r="I20" i="7"/>
  <c r="J21" i="5" s="1"/>
  <c r="N20" i="7"/>
  <c r="O21" i="5" s="1"/>
  <c r="Q20" i="7"/>
  <c r="R21" i="5" s="1"/>
  <c r="P16" i="7"/>
  <c r="Q28" i="5" s="1"/>
  <c r="H16" i="7"/>
  <c r="I28" i="5" s="1"/>
  <c r="G16" i="7"/>
  <c r="H28" i="5" s="1"/>
  <c r="M16" i="7"/>
  <c r="N28" i="5" s="1"/>
  <c r="F16" i="7"/>
  <c r="Q16" i="7"/>
  <c r="R28" i="5" s="1"/>
  <c r="I16" i="7"/>
  <c r="J28" i="5" s="1"/>
  <c r="N16" i="7"/>
  <c r="O28" i="5" s="1"/>
  <c r="P12" i="7"/>
  <c r="H12" i="7"/>
  <c r="G12" i="7"/>
  <c r="H32" i="2" s="1"/>
  <c r="M12" i="7"/>
  <c r="F12" i="7"/>
  <c r="Q12" i="7"/>
  <c r="N12" i="7"/>
  <c r="I12" i="7"/>
  <c r="P8" i="7"/>
  <c r="H8" i="7"/>
  <c r="M8" i="7"/>
  <c r="F8" i="7"/>
  <c r="Q8" i="7"/>
  <c r="G8" i="7"/>
  <c r="I8" i="7"/>
  <c r="N8" i="7"/>
  <c r="P51" i="7"/>
  <c r="H51" i="7"/>
  <c r="N51" i="7"/>
  <c r="G51" i="7"/>
  <c r="H44" i="2" s="1"/>
  <c r="M51" i="7"/>
  <c r="F51" i="7"/>
  <c r="I51" i="7"/>
  <c r="Q51" i="7"/>
  <c r="P39" i="7"/>
  <c r="H39" i="7"/>
  <c r="N39" i="7"/>
  <c r="M39" i="7"/>
  <c r="F39" i="7"/>
  <c r="I39" i="7"/>
  <c r="Q39" i="7"/>
  <c r="G39" i="7"/>
  <c r="P31" i="7"/>
  <c r="H31" i="7"/>
  <c r="N31" i="7"/>
  <c r="M31" i="7"/>
  <c r="F31" i="7"/>
  <c r="Q31" i="7"/>
  <c r="I31" i="7"/>
  <c r="G31" i="7"/>
  <c r="H112" i="2" s="1"/>
  <c r="P19" i="7"/>
  <c r="Q20" i="5" s="1"/>
  <c r="H19" i="7"/>
  <c r="I20" i="5" s="1"/>
  <c r="G19" i="7"/>
  <c r="H20" i="5" s="1"/>
  <c r="M19" i="7"/>
  <c r="F19" i="7"/>
  <c r="I19" i="7"/>
  <c r="J20" i="5" s="1"/>
  <c r="Q19" i="7"/>
  <c r="R20" i="5" s="1"/>
  <c r="N19" i="7"/>
  <c r="O20" i="5" s="1"/>
  <c r="P11" i="7"/>
  <c r="H11" i="7"/>
  <c r="N11" i="7"/>
  <c r="M11" i="7"/>
  <c r="F11" i="7"/>
  <c r="Q11" i="7"/>
  <c r="I11" i="7"/>
  <c r="G11" i="7"/>
  <c r="O28" i="7"/>
  <c r="O36" i="7"/>
  <c r="P50" i="7"/>
  <c r="H50" i="7"/>
  <c r="M50" i="7"/>
  <c r="F50" i="7"/>
  <c r="Q50" i="7"/>
  <c r="N50" i="7"/>
  <c r="I50" i="7"/>
  <c r="G50" i="7"/>
  <c r="H103" i="2" s="1"/>
  <c r="P34" i="7"/>
  <c r="H34" i="7"/>
  <c r="N34" i="7"/>
  <c r="M34" i="7"/>
  <c r="F34" i="7"/>
  <c r="I34" i="7"/>
  <c r="G34" i="7"/>
  <c r="Q34" i="7"/>
  <c r="P14" i="7"/>
  <c r="H14" i="7"/>
  <c r="G14" i="7"/>
  <c r="M14" i="7"/>
  <c r="F14" i="7"/>
  <c r="Q14" i="7"/>
  <c r="N14" i="7"/>
  <c r="I14" i="7"/>
  <c r="P43" i="7"/>
  <c r="Q43" i="5" s="1"/>
  <c r="H43" i="7"/>
  <c r="I43" i="5" s="1"/>
  <c r="G43" i="7"/>
  <c r="H43" i="5" s="1"/>
  <c r="M43" i="7"/>
  <c r="F43" i="7"/>
  <c r="Q43" i="7"/>
  <c r="R43" i="5" s="1"/>
  <c r="I43" i="7"/>
  <c r="J43" i="5" s="1"/>
  <c r="N43" i="7"/>
  <c r="O22" i="7"/>
  <c r="P47" i="7"/>
  <c r="H47" i="7"/>
  <c r="M47" i="7"/>
  <c r="F47" i="7"/>
  <c r="Q47" i="7"/>
  <c r="I47" i="7"/>
  <c r="G47" i="7"/>
  <c r="H52" i="2" s="1"/>
  <c r="N47" i="7"/>
  <c r="P27" i="7"/>
  <c r="H27" i="7"/>
  <c r="N27" i="7"/>
  <c r="M27" i="7"/>
  <c r="F27" i="7"/>
  <c r="I27" i="7"/>
  <c r="Q27" i="7"/>
  <c r="G27" i="7"/>
  <c r="H111" i="2" s="1"/>
  <c r="P13" i="7"/>
  <c r="H13" i="7"/>
  <c r="N13" i="7"/>
  <c r="M13" i="7"/>
  <c r="F13" i="7"/>
  <c r="Q13" i="7"/>
  <c r="I13" i="7"/>
  <c r="G13" i="7"/>
  <c r="J56" i="7"/>
  <c r="J52" i="7"/>
  <c r="J48" i="7"/>
  <c r="J44" i="7"/>
  <c r="J40" i="7"/>
  <c r="K40" i="5" s="1"/>
  <c r="J36" i="7"/>
  <c r="J32" i="7"/>
  <c r="J28" i="7"/>
  <c r="J24" i="7"/>
  <c r="K63" i="3" s="1"/>
  <c r="J20" i="7"/>
  <c r="K21" i="5" s="1"/>
  <c r="J16" i="7"/>
  <c r="K28" i="5" s="1"/>
  <c r="J12" i="7"/>
  <c r="J8" i="7"/>
  <c r="O13" i="7"/>
  <c r="J51" i="7"/>
  <c r="J39" i="7"/>
  <c r="J31" i="7"/>
  <c r="J19" i="7"/>
  <c r="K20" i="5" s="1"/>
  <c r="J11" i="7"/>
  <c r="O50" i="7"/>
  <c r="O20" i="7"/>
  <c r="P21" i="5" s="1"/>
  <c r="O47" i="7"/>
  <c r="O39" i="7"/>
  <c r="O31" i="7"/>
  <c r="O19" i="7"/>
  <c r="P20" i="5" s="1"/>
  <c r="P57" i="7"/>
  <c r="H57" i="7"/>
  <c r="N57" i="7"/>
  <c r="M57" i="7"/>
  <c r="F57" i="7"/>
  <c r="I57" i="7"/>
  <c r="G57" i="7"/>
  <c r="Q57" i="7"/>
  <c r="P49" i="7"/>
  <c r="Q49" i="5" s="1"/>
  <c r="H49" i="7"/>
  <c r="I49" i="5" s="1"/>
  <c r="N49" i="7"/>
  <c r="O49" i="5" s="1"/>
  <c r="M49" i="7"/>
  <c r="N49" i="5" s="1"/>
  <c r="F49" i="7"/>
  <c r="Q49" i="7"/>
  <c r="R49" i="5" s="1"/>
  <c r="G49" i="7"/>
  <c r="H49" i="5" s="1"/>
  <c r="I49" i="7"/>
  <c r="J49" i="5" s="1"/>
  <c r="P41" i="7"/>
  <c r="H41" i="7"/>
  <c r="N41" i="7"/>
  <c r="M41" i="7"/>
  <c r="F41" i="7"/>
  <c r="Q41" i="7"/>
  <c r="I41" i="7"/>
  <c r="G41" i="7"/>
  <c r="P29" i="7"/>
  <c r="H29" i="7"/>
  <c r="N29" i="7"/>
  <c r="M29" i="7"/>
  <c r="F29" i="7"/>
  <c r="I29" i="7"/>
  <c r="Q29" i="7"/>
  <c r="G29" i="7"/>
  <c r="P17" i="7"/>
  <c r="H17" i="7"/>
  <c r="N17" i="7"/>
  <c r="M17" i="7"/>
  <c r="F17" i="7"/>
  <c r="Q17" i="7"/>
  <c r="I17" i="7"/>
  <c r="G17" i="7"/>
  <c r="O58" i="7"/>
  <c r="P46" i="7"/>
  <c r="H46" i="7"/>
  <c r="N46" i="7"/>
  <c r="M46" i="7"/>
  <c r="F46" i="7"/>
  <c r="I46" i="7"/>
  <c r="Q46" i="7"/>
  <c r="G46" i="7"/>
  <c r="P26" i="7"/>
  <c r="H26" i="7"/>
  <c r="N26" i="7"/>
  <c r="M26" i="7"/>
  <c r="F26" i="7"/>
  <c r="I26" i="7"/>
  <c r="G26" i="7"/>
  <c r="H113" i="2" s="1"/>
  <c r="Q26" i="7"/>
  <c r="P10" i="7"/>
  <c r="H10" i="7"/>
  <c r="I61" i="3" s="1"/>
  <c r="N10" i="7"/>
  <c r="M10" i="7"/>
  <c r="F10" i="7"/>
  <c r="Q10" i="7"/>
  <c r="I10" i="7"/>
  <c r="J61" i="3" s="1"/>
  <c r="G10" i="7"/>
  <c r="H61" i="3" s="1"/>
  <c r="P15" i="7"/>
  <c r="H15" i="7"/>
  <c r="N15" i="7"/>
  <c r="M15" i="7"/>
  <c r="F15" i="7"/>
  <c r="I15" i="7"/>
  <c r="Q15" i="7"/>
  <c r="G15" i="7"/>
  <c r="H141" i="2" s="1"/>
  <c r="P7" i="7"/>
  <c r="Q28" i="4" s="1"/>
  <c r="Q29" i="4" s="1"/>
  <c r="H7" i="7"/>
  <c r="G7" i="7"/>
  <c r="N7" i="7"/>
  <c r="O28" i="4" s="1"/>
  <c r="O29" i="4" s="1"/>
  <c r="M7" i="7"/>
  <c r="N28" i="4" s="1"/>
  <c r="N29" i="4" s="1"/>
  <c r="F7" i="7"/>
  <c r="Q7" i="7"/>
  <c r="R28" i="4" s="1"/>
  <c r="R29" i="4" s="1"/>
  <c r="I7" i="7"/>
  <c r="P54" i="7"/>
  <c r="H54" i="7"/>
  <c r="N54" i="7"/>
  <c r="M54" i="7"/>
  <c r="F54" i="7"/>
  <c r="Q54" i="7"/>
  <c r="I54" i="7"/>
  <c r="G54" i="7"/>
  <c r="P42" i="7"/>
  <c r="H42" i="7"/>
  <c r="I42" i="5" s="1"/>
  <c r="G42" i="7"/>
  <c r="H42" i="5" s="1"/>
  <c r="M42" i="7"/>
  <c r="F42" i="7"/>
  <c r="Q42" i="7"/>
  <c r="R42" i="5" s="1"/>
  <c r="N42" i="7"/>
  <c r="I42" i="7"/>
  <c r="J42" i="5" s="1"/>
  <c r="P30" i="7"/>
  <c r="H30" i="7"/>
  <c r="G30" i="7"/>
  <c r="H114" i="2" s="1"/>
  <c r="M30" i="7"/>
  <c r="F30" i="7"/>
  <c r="I30" i="7"/>
  <c r="N30" i="7"/>
  <c r="Q30" i="7"/>
  <c r="P18" i="7"/>
  <c r="H18" i="7"/>
  <c r="G18" i="7"/>
  <c r="H116" i="2" s="1"/>
  <c r="M18" i="7"/>
  <c r="F18" i="7"/>
  <c r="Q18" i="7"/>
  <c r="N18" i="7"/>
  <c r="I18" i="7"/>
  <c r="P33" i="7"/>
  <c r="H33" i="7"/>
  <c r="N33" i="7"/>
  <c r="M33" i="7"/>
  <c r="F33" i="7"/>
  <c r="Q33" i="7"/>
  <c r="I33" i="7"/>
  <c r="G33" i="7"/>
  <c r="H33" i="2" s="1"/>
  <c r="O14" i="7"/>
  <c r="T13" i="5"/>
  <c r="F8" i="8"/>
  <c r="P55" i="7"/>
  <c r="Q34" i="5" s="1"/>
  <c r="H55" i="7"/>
  <c r="I34" i="5" s="1"/>
  <c r="N55" i="7"/>
  <c r="M55" i="7"/>
  <c r="N34" i="5" s="1"/>
  <c r="F55" i="7"/>
  <c r="Q55" i="7"/>
  <c r="R34" i="5" s="1"/>
  <c r="G55" i="7"/>
  <c r="H34" i="5" s="1"/>
  <c r="I55" i="7"/>
  <c r="J34" i="5" s="1"/>
  <c r="P37" i="7"/>
  <c r="H37" i="7"/>
  <c r="G37" i="7"/>
  <c r="M37" i="7"/>
  <c r="F37" i="7"/>
  <c r="I37" i="7"/>
  <c r="Q37" i="7"/>
  <c r="N37" i="7"/>
  <c r="P21" i="7"/>
  <c r="Q23" i="5" s="1"/>
  <c r="H21" i="7"/>
  <c r="I23" i="5" s="1"/>
  <c r="G21" i="7"/>
  <c r="H23" i="5" s="1"/>
  <c r="M21" i="7"/>
  <c r="F21" i="7"/>
  <c r="I21" i="7"/>
  <c r="J23" i="5" s="1"/>
  <c r="Q21" i="7"/>
  <c r="R23" i="5" s="1"/>
  <c r="N21" i="7"/>
  <c r="O26" i="7"/>
  <c r="J58" i="7"/>
  <c r="K144" i="3" s="1"/>
  <c r="J54" i="7"/>
  <c r="J50" i="7"/>
  <c r="J46" i="7"/>
  <c r="J42" i="7"/>
  <c r="K42" i="5" s="1"/>
  <c r="J38" i="7"/>
  <c r="J34" i="7"/>
  <c r="J30" i="7"/>
  <c r="J26" i="7"/>
  <c r="J22" i="7"/>
  <c r="K26" i="5" s="1"/>
  <c r="J18" i="7"/>
  <c r="J14" i="7"/>
  <c r="J10" i="7"/>
  <c r="K61" i="3" s="1"/>
  <c r="O21" i="7"/>
  <c r="P23" i="5" s="1"/>
  <c r="J43" i="7"/>
  <c r="K43" i="5" s="1"/>
  <c r="J33" i="7"/>
  <c r="J25" i="7"/>
  <c r="K101" i="3" s="1"/>
  <c r="J15" i="7"/>
  <c r="K15" i="3" s="1"/>
  <c r="J7" i="7"/>
  <c r="K28" i="4" s="1"/>
  <c r="K29" i="4" s="1"/>
  <c r="O34" i="7"/>
  <c r="O8" i="7"/>
  <c r="O51" i="7"/>
  <c r="O43" i="7"/>
  <c r="O27" i="7"/>
  <c r="O11" i="7"/>
  <c r="P53" i="7"/>
  <c r="H53" i="7"/>
  <c r="G53" i="7"/>
  <c r="H109" i="2" s="1"/>
  <c r="N53" i="7"/>
  <c r="M53" i="7"/>
  <c r="F53" i="7"/>
  <c r="Q53" i="7"/>
  <c r="I53" i="7"/>
  <c r="P45" i="7"/>
  <c r="Q45" i="5" s="1"/>
  <c r="H45" i="7"/>
  <c r="I45" i="5" s="1"/>
  <c r="G45" i="7"/>
  <c r="H45" i="5" s="1"/>
  <c r="N45" i="7"/>
  <c r="O45" i="5" s="1"/>
  <c r="M45" i="7"/>
  <c r="N45" i="5" s="1"/>
  <c r="F45" i="7"/>
  <c r="I45" i="7"/>
  <c r="J45" i="5" s="1"/>
  <c r="Q45" i="7"/>
  <c r="R45" i="5" s="1"/>
  <c r="P35" i="7"/>
  <c r="H35" i="7"/>
  <c r="N35" i="7"/>
  <c r="M35" i="7"/>
  <c r="F35" i="7"/>
  <c r="I35" i="7"/>
  <c r="Q35" i="7"/>
  <c r="G35" i="7"/>
  <c r="H29" i="2" s="1"/>
  <c r="P23" i="7"/>
  <c r="Q27" i="5" s="1"/>
  <c r="H23" i="7"/>
  <c r="I27" i="5" s="1"/>
  <c r="G23" i="7"/>
  <c r="H27" i="5" s="1"/>
  <c r="M23" i="7"/>
  <c r="N27" i="5" s="1"/>
  <c r="F23" i="7"/>
  <c r="I23" i="7"/>
  <c r="J27" i="5" s="1"/>
  <c r="Q23" i="7"/>
  <c r="R27" i="5" s="1"/>
  <c r="N23" i="7"/>
  <c r="O27" i="5" s="1"/>
  <c r="P9" i="7"/>
  <c r="H9" i="7"/>
  <c r="I62" i="3" s="1"/>
  <c r="G9" i="7"/>
  <c r="H62" i="3" s="1"/>
  <c r="N9" i="7"/>
  <c r="M9" i="7"/>
  <c r="F9" i="7"/>
  <c r="I9" i="7"/>
  <c r="J62" i="3" s="1"/>
  <c r="Q9" i="7"/>
  <c r="O42" i="7"/>
  <c r="O12" i="7"/>
  <c r="K64" i="3"/>
  <c r="K62" i="3"/>
  <c r="K71" i="3"/>
  <c r="K18" i="3"/>
  <c r="D12" i="6"/>
  <c r="D11" i="7"/>
  <c r="I1" i="2"/>
  <c r="H53" i="2"/>
  <c r="F125" i="2"/>
  <c r="F29" i="8" s="1"/>
  <c r="F51" i="5"/>
  <c r="F31" i="4"/>
  <c r="F42" i="4" s="1"/>
  <c r="F108" i="3"/>
  <c r="F91" i="3"/>
  <c r="F74" i="2"/>
  <c r="F28" i="8" s="1"/>
  <c r="F157" i="2"/>
  <c r="E115" i="6" l="1"/>
  <c r="P113" i="7"/>
  <c r="J113" i="7"/>
  <c r="F113" i="7"/>
  <c r="O113" i="7"/>
  <c r="I113" i="7"/>
  <c r="N113" i="7"/>
  <c r="H113" i="7"/>
  <c r="Q113" i="7"/>
  <c r="M113" i="7"/>
  <c r="G113" i="7"/>
  <c r="H43" i="2"/>
  <c r="H42" i="2"/>
  <c r="G62" i="6" s="1"/>
  <c r="P34" i="5"/>
  <c r="K145" i="3"/>
  <c r="P26" i="5"/>
  <c r="H26" i="2"/>
  <c r="P42" i="5"/>
  <c r="O34" i="5"/>
  <c r="H104" i="2"/>
  <c r="K38" i="3"/>
  <c r="P45" i="5"/>
  <c r="N20" i="5"/>
  <c r="N21" i="5"/>
  <c r="P28" i="4"/>
  <c r="P29" i="4" s="1"/>
  <c r="H37" i="2"/>
  <c r="H20" i="2"/>
  <c r="P27" i="5"/>
  <c r="H51" i="2"/>
  <c r="H46" i="2"/>
  <c r="G63" i="6" s="1"/>
  <c r="P43" i="5"/>
  <c r="O23" i="5"/>
  <c r="N23" i="5"/>
  <c r="H143" i="2"/>
  <c r="O43" i="5"/>
  <c r="N43" i="5"/>
  <c r="P28" i="5"/>
  <c r="P40" i="5"/>
  <c r="K19" i="3"/>
  <c r="K16" i="3"/>
  <c r="K33" i="3"/>
  <c r="K52" i="3"/>
  <c r="E37" i="7"/>
  <c r="F11" i="8"/>
  <c r="T8" i="8"/>
  <c r="H39" i="2"/>
  <c r="H54" i="2"/>
  <c r="H106" i="2"/>
  <c r="H56" i="2"/>
  <c r="K24" i="3"/>
  <c r="K53" i="3"/>
  <c r="K70" i="3"/>
  <c r="H40" i="2"/>
  <c r="H48" i="2"/>
  <c r="K73" i="3"/>
  <c r="H102" i="2"/>
  <c r="H38" i="2"/>
  <c r="H49" i="2"/>
  <c r="H50" i="2"/>
  <c r="H100" i="2"/>
  <c r="P29" i="5"/>
  <c r="P24" i="5"/>
  <c r="P25" i="5"/>
  <c r="P22" i="5"/>
  <c r="H28" i="4"/>
  <c r="H29" i="4" s="1"/>
  <c r="H70" i="3"/>
  <c r="H64" i="3"/>
  <c r="G70" i="6" s="1"/>
  <c r="H71" i="3"/>
  <c r="H73" i="3"/>
  <c r="G103" i="2"/>
  <c r="E50" i="7"/>
  <c r="G43" i="2"/>
  <c r="G102" i="2"/>
  <c r="G42" i="2"/>
  <c r="J22" i="5"/>
  <c r="J29" i="5"/>
  <c r="J25" i="5"/>
  <c r="J24" i="5"/>
  <c r="N24" i="5"/>
  <c r="N22" i="5"/>
  <c r="N29" i="5"/>
  <c r="N25" i="5"/>
  <c r="H15" i="3"/>
  <c r="H38" i="3"/>
  <c r="H24" i="3"/>
  <c r="H18" i="3"/>
  <c r="H33" i="3"/>
  <c r="J52" i="3"/>
  <c r="J101" i="3"/>
  <c r="J53" i="3"/>
  <c r="G23" i="5"/>
  <c r="E21" i="7"/>
  <c r="G34" i="5"/>
  <c r="E55" i="7"/>
  <c r="G64" i="3"/>
  <c r="G28" i="4"/>
  <c r="G70" i="3"/>
  <c r="G71" i="3"/>
  <c r="G73" i="3"/>
  <c r="E7" i="7"/>
  <c r="I28" i="4"/>
  <c r="I29" i="4" s="1"/>
  <c r="I70" i="3"/>
  <c r="I73" i="3"/>
  <c r="I64" i="3"/>
  <c r="H70" i="6" s="1"/>
  <c r="I71" i="3"/>
  <c r="I141" i="2"/>
  <c r="I113" i="2"/>
  <c r="E17" i="7"/>
  <c r="E29" i="7"/>
  <c r="E41" i="7"/>
  <c r="G49" i="5"/>
  <c r="T49" i="5" s="1"/>
  <c r="G100" i="2"/>
  <c r="G40" i="2"/>
  <c r="E49" i="7"/>
  <c r="E57" i="7"/>
  <c r="I111" i="2"/>
  <c r="I112" i="2"/>
  <c r="G44" i="2"/>
  <c r="G104" i="2"/>
  <c r="E51" i="7"/>
  <c r="G106" i="2"/>
  <c r="G46" i="2"/>
  <c r="F63" i="6" s="1"/>
  <c r="H22" i="5"/>
  <c r="H29" i="5"/>
  <c r="H25" i="5"/>
  <c r="H24" i="5"/>
  <c r="I24" i="5"/>
  <c r="I22" i="5"/>
  <c r="I29" i="5"/>
  <c r="I25" i="5"/>
  <c r="J33" i="3"/>
  <c r="J24" i="3"/>
  <c r="J18" i="3"/>
  <c r="J38" i="3"/>
  <c r="J15" i="3"/>
  <c r="I38" i="3"/>
  <c r="I33" i="3"/>
  <c r="I18" i="3"/>
  <c r="I24" i="3"/>
  <c r="I15" i="3"/>
  <c r="G38" i="2"/>
  <c r="E48" i="7"/>
  <c r="I98" i="2"/>
  <c r="I115" i="2"/>
  <c r="I53" i="3"/>
  <c r="I101" i="3"/>
  <c r="I52" i="3"/>
  <c r="I144" i="3"/>
  <c r="I145" i="3"/>
  <c r="I16" i="3"/>
  <c r="I19" i="3"/>
  <c r="F30" i="8"/>
  <c r="G62" i="3"/>
  <c r="E9" i="7"/>
  <c r="G45" i="5"/>
  <c r="E45" i="7"/>
  <c r="G109" i="2"/>
  <c r="G49" i="2"/>
  <c r="G108" i="2"/>
  <c r="G48" i="2"/>
  <c r="E53" i="7"/>
  <c r="H108" i="2"/>
  <c r="I116" i="2"/>
  <c r="I114" i="2"/>
  <c r="G141" i="2"/>
  <c r="E15" i="7"/>
  <c r="G61" i="3"/>
  <c r="E10" i="7"/>
  <c r="G113" i="2"/>
  <c r="E26" i="7"/>
  <c r="G53" i="2"/>
  <c r="E46" i="7"/>
  <c r="E13" i="7"/>
  <c r="G111" i="2"/>
  <c r="E27" i="7"/>
  <c r="G50" i="2"/>
  <c r="E11" i="7"/>
  <c r="G20" i="5"/>
  <c r="E19" i="7"/>
  <c r="G112" i="2"/>
  <c r="G51" i="2"/>
  <c r="E31" i="7"/>
  <c r="E39" i="7"/>
  <c r="R22" i="5"/>
  <c r="R29" i="5"/>
  <c r="R25" i="5"/>
  <c r="R24" i="5"/>
  <c r="Q24" i="5"/>
  <c r="Q22" i="5"/>
  <c r="Q29" i="5"/>
  <c r="Q25" i="5"/>
  <c r="E12" i="7"/>
  <c r="G32" i="2"/>
  <c r="G28" i="5"/>
  <c r="E16" i="7"/>
  <c r="G143" i="2"/>
  <c r="G21" i="5"/>
  <c r="E20" i="7"/>
  <c r="G63" i="3"/>
  <c r="E24" i="7"/>
  <c r="E28" i="7"/>
  <c r="E32" i="7"/>
  <c r="G15" i="3"/>
  <c r="G33" i="3"/>
  <c r="G38" i="3"/>
  <c r="G24" i="3"/>
  <c r="G18" i="3"/>
  <c r="E36" i="7"/>
  <c r="G20" i="2"/>
  <c r="G26" i="2"/>
  <c r="G40" i="5"/>
  <c r="E40" i="7"/>
  <c r="E44" i="7"/>
  <c r="G41" i="2"/>
  <c r="F62" i="6" s="1"/>
  <c r="E56" i="7"/>
  <c r="G52" i="3"/>
  <c r="G53" i="3"/>
  <c r="G101" i="3"/>
  <c r="G55" i="2"/>
  <c r="G115" i="2"/>
  <c r="E25" i="7"/>
  <c r="G26" i="5"/>
  <c r="E22" i="7"/>
  <c r="E38" i="7"/>
  <c r="J144" i="3"/>
  <c r="J16" i="3"/>
  <c r="J145" i="3"/>
  <c r="J19" i="3"/>
  <c r="I143" i="2"/>
  <c r="I103" i="2"/>
  <c r="I106" i="2"/>
  <c r="I109" i="2"/>
  <c r="I100" i="2"/>
  <c r="I102" i="2"/>
  <c r="I104" i="2"/>
  <c r="I108" i="2"/>
  <c r="G27" i="5"/>
  <c r="E23" i="7"/>
  <c r="G29" i="2"/>
  <c r="E35" i="7"/>
  <c r="G33" i="2"/>
  <c r="E33" i="7"/>
  <c r="G116" i="2"/>
  <c r="E18" i="7"/>
  <c r="G56" i="2"/>
  <c r="G114" i="2"/>
  <c r="G54" i="2"/>
  <c r="E30" i="7"/>
  <c r="G42" i="5"/>
  <c r="E42" i="7"/>
  <c r="G37" i="2"/>
  <c r="E54" i="7"/>
  <c r="J28" i="4"/>
  <c r="J29" i="4" s="1"/>
  <c r="J70" i="3"/>
  <c r="J64" i="3"/>
  <c r="I70" i="6" s="1"/>
  <c r="J71" i="3"/>
  <c r="J73" i="3"/>
  <c r="K24" i="5"/>
  <c r="K29" i="5"/>
  <c r="K25" i="5"/>
  <c r="K22" i="5"/>
  <c r="G52" i="2"/>
  <c r="E47" i="7"/>
  <c r="G43" i="5"/>
  <c r="E43" i="7"/>
  <c r="G39" i="2"/>
  <c r="E14" i="7"/>
  <c r="E34" i="7"/>
  <c r="O22" i="5"/>
  <c r="O29" i="5"/>
  <c r="O25" i="5"/>
  <c r="O24" i="5"/>
  <c r="G24" i="5"/>
  <c r="G22" i="5"/>
  <c r="G29" i="5"/>
  <c r="G25" i="5"/>
  <c r="E8" i="7"/>
  <c r="E52" i="7"/>
  <c r="H115" i="2"/>
  <c r="H52" i="3"/>
  <c r="H101" i="3"/>
  <c r="H53" i="3"/>
  <c r="H16" i="3"/>
  <c r="H144" i="3"/>
  <c r="H145" i="3"/>
  <c r="H19" i="3"/>
  <c r="G16" i="3"/>
  <c r="G19" i="3"/>
  <c r="G144" i="3"/>
  <c r="G145" i="3"/>
  <c r="E58" i="7"/>
  <c r="J70" i="6"/>
  <c r="N144" i="3"/>
  <c r="N145" i="3"/>
  <c r="N101" i="3"/>
  <c r="N73" i="3"/>
  <c r="N70" i="3"/>
  <c r="N64" i="3"/>
  <c r="N62" i="3"/>
  <c r="N71" i="3"/>
  <c r="N63" i="3"/>
  <c r="N61" i="3"/>
  <c r="N53" i="3"/>
  <c r="N52" i="3"/>
  <c r="N15" i="3"/>
  <c r="N19" i="3"/>
  <c r="N18" i="3"/>
  <c r="N16" i="3"/>
  <c r="N38" i="3"/>
  <c r="N33" i="3"/>
  <c r="N24" i="3"/>
  <c r="I32" i="2"/>
  <c r="I29" i="2"/>
  <c r="I33" i="2"/>
  <c r="I26" i="2"/>
  <c r="I55" i="2"/>
  <c r="I53" i="2"/>
  <c r="I51" i="2"/>
  <c r="I49" i="2"/>
  <c r="I43" i="2"/>
  <c r="I40" i="2"/>
  <c r="I38" i="2"/>
  <c r="I42" i="2"/>
  <c r="I56" i="2"/>
  <c r="I52" i="2"/>
  <c r="I48" i="2"/>
  <c r="I44" i="2"/>
  <c r="I39" i="2"/>
  <c r="I20" i="2"/>
  <c r="I50" i="2"/>
  <c r="I41" i="2"/>
  <c r="H62" i="6" s="1"/>
  <c r="I54" i="2"/>
  <c r="I46" i="2"/>
  <c r="I37" i="2"/>
  <c r="J1" i="2"/>
  <c r="J141" i="2" s="1"/>
  <c r="D13" i="6"/>
  <c r="D12" i="7"/>
  <c r="F111" i="3"/>
  <c r="F13" i="8" s="1"/>
  <c r="F159" i="2"/>
  <c r="T28" i="5" l="1"/>
  <c r="T42" i="5"/>
  <c r="T45" i="5"/>
  <c r="G65" i="6"/>
  <c r="E113" i="7"/>
  <c r="T23" i="5"/>
  <c r="T27" i="5"/>
  <c r="T21" i="5"/>
  <c r="T34" i="5"/>
  <c r="E116" i="6"/>
  <c r="P115" i="7"/>
  <c r="J115" i="7"/>
  <c r="F115" i="7"/>
  <c r="O115" i="7"/>
  <c r="I115" i="7"/>
  <c r="N115" i="7"/>
  <c r="H115" i="7"/>
  <c r="M115" i="7"/>
  <c r="G115" i="7"/>
  <c r="Q115" i="7"/>
  <c r="O119" i="6"/>
  <c r="T43" i="5"/>
  <c r="T40" i="5"/>
  <c r="T26" i="5"/>
  <c r="T20" i="5"/>
  <c r="K20" i="3"/>
  <c r="G61" i="6"/>
  <c r="F16" i="8"/>
  <c r="F35" i="8"/>
  <c r="F43" i="8" s="1"/>
  <c r="G64" i="6"/>
  <c r="G77" i="6"/>
  <c r="F61" i="6"/>
  <c r="T25" i="5"/>
  <c r="F64" i="6"/>
  <c r="T24" i="5"/>
  <c r="J98" i="2"/>
  <c r="T22" i="5"/>
  <c r="G29" i="4"/>
  <c r="T29" i="4" s="1"/>
  <c r="T28" i="4"/>
  <c r="J115" i="2"/>
  <c r="T29" i="5"/>
  <c r="G20" i="3"/>
  <c r="I20" i="3"/>
  <c r="F70" i="6"/>
  <c r="J112" i="2"/>
  <c r="J116" i="2"/>
  <c r="F65" i="6"/>
  <c r="J20" i="3"/>
  <c r="J111" i="2"/>
  <c r="J143" i="2"/>
  <c r="J100" i="2"/>
  <c r="J102" i="2"/>
  <c r="J106" i="2"/>
  <c r="J108" i="2"/>
  <c r="J103" i="2"/>
  <c r="J104" i="2"/>
  <c r="J109" i="2"/>
  <c r="J114" i="2"/>
  <c r="F77" i="6"/>
  <c r="J113" i="2"/>
  <c r="H20" i="3"/>
  <c r="M70" i="6"/>
  <c r="H65" i="6"/>
  <c r="N20" i="3"/>
  <c r="O145" i="3"/>
  <c r="O144" i="3"/>
  <c r="O64" i="3"/>
  <c r="O62" i="3"/>
  <c r="O61" i="3"/>
  <c r="O53" i="3"/>
  <c r="O71" i="3"/>
  <c r="O63" i="3"/>
  <c r="O52" i="3"/>
  <c r="O70" i="3"/>
  <c r="O101" i="3"/>
  <c r="O73" i="3"/>
  <c r="O24" i="3"/>
  <c r="O18" i="3"/>
  <c r="O16" i="3"/>
  <c r="O33" i="3"/>
  <c r="O15" i="3"/>
  <c r="O38" i="3"/>
  <c r="O19" i="3"/>
  <c r="H61" i="6"/>
  <c r="H64" i="6"/>
  <c r="H63" i="6"/>
  <c r="F153" i="3"/>
  <c r="J32" i="2"/>
  <c r="J29" i="2"/>
  <c r="J33" i="2"/>
  <c r="J26" i="2"/>
  <c r="E87" i="6"/>
  <c r="F87" i="7" s="1"/>
  <c r="H77" i="6"/>
  <c r="K1" i="2"/>
  <c r="J55" i="2"/>
  <c r="J53" i="2"/>
  <c r="J51" i="2"/>
  <c r="J49" i="2"/>
  <c r="J43" i="2"/>
  <c r="J40" i="2"/>
  <c r="J38" i="2"/>
  <c r="J42" i="2"/>
  <c r="J56" i="2"/>
  <c r="J52" i="2"/>
  <c r="J48" i="2"/>
  <c r="J44" i="2"/>
  <c r="J39" i="2"/>
  <c r="J20" i="2"/>
  <c r="J50" i="2"/>
  <c r="J41" i="2"/>
  <c r="I62" i="6" s="1"/>
  <c r="J54" i="2"/>
  <c r="J46" i="2"/>
  <c r="J37" i="2"/>
  <c r="D14" i="6"/>
  <c r="D13" i="7"/>
  <c r="E119" i="6" l="1"/>
  <c r="E115" i="7"/>
  <c r="N116" i="7"/>
  <c r="H116" i="7"/>
  <c r="Q116" i="7"/>
  <c r="M116" i="7"/>
  <c r="G116" i="7"/>
  <c r="P116" i="7"/>
  <c r="J116" i="7"/>
  <c r="F116" i="7"/>
  <c r="O116" i="7"/>
  <c r="I116" i="7"/>
  <c r="O118" i="6"/>
  <c r="F20" i="8"/>
  <c r="F18" i="8"/>
  <c r="K103" i="2"/>
  <c r="K109" i="2"/>
  <c r="K143" i="2"/>
  <c r="K108" i="2"/>
  <c r="K106" i="2"/>
  <c r="K100" i="2"/>
  <c r="K104" i="2"/>
  <c r="K102" i="2"/>
  <c r="K111" i="2"/>
  <c r="K115" i="2"/>
  <c r="K98" i="2"/>
  <c r="K113" i="2"/>
  <c r="K114" i="2"/>
  <c r="K141" i="2"/>
  <c r="K116" i="2"/>
  <c r="K112" i="2"/>
  <c r="N70" i="6"/>
  <c r="I65" i="6"/>
  <c r="P145" i="3"/>
  <c r="P101" i="3"/>
  <c r="P144" i="3"/>
  <c r="P71" i="3"/>
  <c r="P63" i="3"/>
  <c r="P73" i="3"/>
  <c r="P70" i="3"/>
  <c r="P61" i="3"/>
  <c r="P53" i="3"/>
  <c r="P64" i="3"/>
  <c r="P52" i="3"/>
  <c r="P62" i="3"/>
  <c r="P15" i="3"/>
  <c r="P16" i="3"/>
  <c r="P38" i="3"/>
  <c r="P33" i="3"/>
  <c r="P18" i="3"/>
  <c r="P24" i="3"/>
  <c r="P19" i="3"/>
  <c r="O20" i="3"/>
  <c r="I61" i="6"/>
  <c r="I64" i="6"/>
  <c r="I63" i="6"/>
  <c r="K33" i="2"/>
  <c r="K29" i="2"/>
  <c r="K32" i="2"/>
  <c r="K26" i="2"/>
  <c r="N87" i="7"/>
  <c r="H87" i="7"/>
  <c r="Q87" i="7"/>
  <c r="M87" i="7"/>
  <c r="G87" i="7"/>
  <c r="E87" i="7" s="1"/>
  <c r="P87" i="7"/>
  <c r="J87" i="7"/>
  <c r="O87" i="7"/>
  <c r="I87" i="7"/>
  <c r="I77" i="6"/>
  <c r="D15" i="6"/>
  <c r="D14" i="7"/>
  <c r="K20" i="2"/>
  <c r="K56" i="2"/>
  <c r="K54" i="2"/>
  <c r="K52" i="2"/>
  <c r="K50" i="2"/>
  <c r="K48" i="2"/>
  <c r="K46" i="2"/>
  <c r="K44" i="2"/>
  <c r="K41" i="2"/>
  <c r="K39" i="2"/>
  <c r="K37" i="2"/>
  <c r="K55" i="2"/>
  <c r="K51" i="2"/>
  <c r="K43" i="2"/>
  <c r="K38" i="2"/>
  <c r="K53" i="2"/>
  <c r="K49" i="2"/>
  <c r="K40" i="2"/>
  <c r="K42" i="2"/>
  <c r="P119" i="7" l="1"/>
  <c r="J119" i="7"/>
  <c r="F119" i="7"/>
  <c r="I119" i="7"/>
  <c r="N119" i="7"/>
  <c r="H119" i="7"/>
  <c r="Q119" i="7"/>
  <c r="G119" i="7"/>
  <c r="M119" i="7"/>
  <c r="E116" i="7"/>
  <c r="E118" i="6"/>
  <c r="O118" i="7"/>
  <c r="O119" i="7"/>
  <c r="O120" i="6"/>
  <c r="F21" i="8"/>
  <c r="F25" i="8"/>
  <c r="N100" i="2"/>
  <c r="N102" i="2"/>
  <c r="N106" i="2"/>
  <c r="N108" i="2"/>
  <c r="N143" i="2"/>
  <c r="N103" i="2"/>
  <c r="N104" i="2"/>
  <c r="N109" i="2"/>
  <c r="N113" i="2"/>
  <c r="N114" i="2"/>
  <c r="N98" i="2"/>
  <c r="N141" i="2"/>
  <c r="N111" i="2"/>
  <c r="N116" i="2"/>
  <c r="N115" i="2"/>
  <c r="N112" i="2"/>
  <c r="O70" i="6"/>
  <c r="P20" i="3"/>
  <c r="Q144" i="3"/>
  <c r="Q63" i="3"/>
  <c r="Q52" i="3"/>
  <c r="Q73" i="3"/>
  <c r="Q70" i="3"/>
  <c r="Q145" i="3"/>
  <c r="Q101" i="3"/>
  <c r="Q64" i="3"/>
  <c r="Q62" i="3"/>
  <c r="Q61" i="3"/>
  <c r="Q53" i="3"/>
  <c r="Q71" i="3"/>
  <c r="Q33" i="3"/>
  <c r="Q38" i="3"/>
  <c r="Q19" i="3"/>
  <c r="Q15" i="3"/>
  <c r="Q18" i="3"/>
  <c r="Q16" i="3"/>
  <c r="Q24" i="3"/>
  <c r="J65" i="6"/>
  <c r="J61" i="6"/>
  <c r="J64" i="6"/>
  <c r="J63" i="6"/>
  <c r="J62" i="6"/>
  <c r="N32" i="2"/>
  <c r="N29" i="2"/>
  <c r="N33" i="2"/>
  <c r="N26" i="2"/>
  <c r="J77" i="6"/>
  <c r="N20" i="2"/>
  <c r="N56" i="2"/>
  <c r="N54" i="2"/>
  <c r="N52" i="2"/>
  <c r="N50" i="2"/>
  <c r="N48" i="2"/>
  <c r="N46" i="2"/>
  <c r="N44" i="2"/>
  <c r="N41" i="2"/>
  <c r="N39" i="2"/>
  <c r="N37" i="2"/>
  <c r="N55" i="2"/>
  <c r="N51" i="2"/>
  <c r="N47" i="2"/>
  <c r="N43" i="2"/>
  <c r="N38" i="2"/>
  <c r="N53" i="2"/>
  <c r="N42" i="2"/>
  <c r="N49" i="2"/>
  <c r="N40" i="2"/>
  <c r="D16" i="6"/>
  <c r="D15" i="7"/>
  <c r="N118" i="7" l="1"/>
  <c r="H118" i="7"/>
  <c r="Q118" i="7"/>
  <c r="M118" i="7"/>
  <c r="G118" i="7"/>
  <c r="P118" i="7"/>
  <c r="J118" i="7"/>
  <c r="F118" i="7"/>
  <c r="I118" i="7"/>
  <c r="E119" i="7"/>
  <c r="E120" i="6"/>
  <c r="F37" i="8"/>
  <c r="F44" i="8"/>
  <c r="O103" i="2"/>
  <c r="O106" i="2"/>
  <c r="O109" i="2"/>
  <c r="O143" i="2"/>
  <c r="O100" i="2"/>
  <c r="O102" i="2"/>
  <c r="O104" i="2"/>
  <c r="O108" i="2"/>
  <c r="O114" i="2"/>
  <c r="O141" i="2"/>
  <c r="O111" i="2"/>
  <c r="O113" i="2"/>
  <c r="O112" i="2"/>
  <c r="O115" i="2"/>
  <c r="O116" i="2"/>
  <c r="O98" i="2"/>
  <c r="P70" i="6"/>
  <c r="M65" i="6"/>
  <c r="Q20" i="3"/>
  <c r="R144" i="3"/>
  <c r="R145" i="3"/>
  <c r="T145" i="3" s="1"/>
  <c r="R73" i="3"/>
  <c r="T73" i="3" s="1"/>
  <c r="R70" i="3"/>
  <c r="T70" i="3" s="1"/>
  <c r="R101" i="3"/>
  <c r="T101" i="3" s="1"/>
  <c r="R64" i="3"/>
  <c r="T64" i="3" s="1"/>
  <c r="R62" i="3"/>
  <c r="T62" i="3" s="1"/>
  <c r="R71" i="3"/>
  <c r="T71" i="3" s="1"/>
  <c r="R52" i="3"/>
  <c r="T52" i="3" s="1"/>
  <c r="T100" i="3"/>
  <c r="R63" i="3"/>
  <c r="R61" i="3"/>
  <c r="R53" i="3"/>
  <c r="T53" i="3" s="1"/>
  <c r="R16" i="3"/>
  <c r="T16" i="3" s="1"/>
  <c r="R19" i="3"/>
  <c r="T19" i="3" s="1"/>
  <c r="R18" i="3"/>
  <c r="T18" i="3" s="1"/>
  <c r="R15" i="3"/>
  <c r="R33" i="3"/>
  <c r="T33" i="3" s="1"/>
  <c r="R38" i="3"/>
  <c r="T38" i="3" s="1"/>
  <c r="R24" i="3"/>
  <c r="M61" i="6"/>
  <c r="M64" i="6"/>
  <c r="M63" i="6"/>
  <c r="M62" i="6"/>
  <c r="O33" i="2"/>
  <c r="O26" i="2"/>
  <c r="O32" i="2"/>
  <c r="O29" i="2"/>
  <c r="M77" i="6"/>
  <c r="O55" i="2"/>
  <c r="O53" i="2"/>
  <c r="O51" i="2"/>
  <c r="O49" i="2"/>
  <c r="O47" i="2"/>
  <c r="O43" i="2"/>
  <c r="O40" i="2"/>
  <c r="O38" i="2"/>
  <c r="O42" i="2"/>
  <c r="O20" i="2"/>
  <c r="O54" i="2"/>
  <c r="O50" i="2"/>
  <c r="O46" i="2"/>
  <c r="O41" i="2"/>
  <c r="O37" i="2"/>
  <c r="O56" i="2"/>
  <c r="O48" i="2"/>
  <c r="O39" i="2"/>
  <c r="O52" i="2"/>
  <c r="O44" i="2"/>
  <c r="D17" i="6"/>
  <c r="D16" i="7"/>
  <c r="E121" i="6" l="1"/>
  <c r="N120" i="7"/>
  <c r="H120" i="7"/>
  <c r="Q120" i="7"/>
  <c r="M120" i="7"/>
  <c r="G120" i="7"/>
  <c r="P120" i="7"/>
  <c r="J120" i="7"/>
  <c r="F120" i="7"/>
  <c r="I120" i="7"/>
  <c r="O120" i="7"/>
  <c r="E118" i="7"/>
  <c r="F52" i="8"/>
  <c r="F38" i="8"/>
  <c r="T63" i="3"/>
  <c r="P102" i="2"/>
  <c r="P108" i="2"/>
  <c r="P141" i="2"/>
  <c r="P106" i="2"/>
  <c r="P143" i="2"/>
  <c r="P103" i="2"/>
  <c r="P100" i="2"/>
  <c r="P104" i="2"/>
  <c r="P115" i="2"/>
  <c r="P109" i="2"/>
  <c r="P116" i="2"/>
  <c r="P111" i="2"/>
  <c r="P114" i="2"/>
  <c r="P98" i="2"/>
  <c r="P113" i="2"/>
  <c r="P112" i="2"/>
  <c r="T61" i="3"/>
  <c r="Q70" i="6"/>
  <c r="E70" i="6" s="1"/>
  <c r="N65" i="6"/>
  <c r="R20" i="3"/>
  <c r="T24" i="3"/>
  <c r="T15" i="3"/>
  <c r="T144" i="3"/>
  <c r="N61" i="6"/>
  <c r="N63" i="6"/>
  <c r="N64" i="6"/>
  <c r="N62" i="6"/>
  <c r="P33" i="2"/>
  <c r="P32" i="2"/>
  <c r="P26" i="2"/>
  <c r="P29" i="2"/>
  <c r="N77" i="6"/>
  <c r="D18" i="6"/>
  <c r="D17" i="7"/>
  <c r="P55" i="2"/>
  <c r="P53" i="2"/>
  <c r="P51" i="2"/>
  <c r="P49" i="2"/>
  <c r="P47" i="2"/>
  <c r="P43" i="2"/>
  <c r="P40" i="2"/>
  <c r="P38" i="2"/>
  <c r="P42" i="2"/>
  <c r="P20" i="2"/>
  <c r="P54" i="2"/>
  <c r="P50" i="2"/>
  <c r="P46" i="2"/>
  <c r="P41" i="2"/>
  <c r="P37" i="2"/>
  <c r="P56" i="2"/>
  <c r="P48" i="2"/>
  <c r="P39" i="2"/>
  <c r="P52" i="2"/>
  <c r="P44" i="2"/>
  <c r="P70" i="7" l="1"/>
  <c r="Q60" i="3" s="1"/>
  <c r="Q65" i="3" s="1"/>
  <c r="P69" i="6" s="1"/>
  <c r="L70" i="7"/>
  <c r="M60" i="3" s="1"/>
  <c r="M65" i="3" s="1"/>
  <c r="L69" i="6" s="1"/>
  <c r="K70" i="7"/>
  <c r="L60" i="3" s="1"/>
  <c r="L65" i="3" s="1"/>
  <c r="K69" i="6" s="1"/>
  <c r="E120" i="7"/>
  <c r="H122" i="6"/>
  <c r="P122" i="6"/>
  <c r="I122" i="6"/>
  <c r="Q122" i="6"/>
  <c r="J122" i="6"/>
  <c r="M122" i="6"/>
  <c r="F122" i="6"/>
  <c r="N122" i="6"/>
  <c r="G122" i="6"/>
  <c r="O122" i="6"/>
  <c r="P121" i="7"/>
  <c r="J121" i="7"/>
  <c r="F121" i="7"/>
  <c r="O121" i="7"/>
  <c r="I121" i="7"/>
  <c r="N121" i="7"/>
  <c r="H121" i="7"/>
  <c r="Q121" i="7"/>
  <c r="M121" i="7"/>
  <c r="G121" i="7"/>
  <c r="Q143" i="2"/>
  <c r="Q103" i="2"/>
  <c r="Q106" i="2"/>
  <c r="Q109" i="2"/>
  <c r="Q100" i="2"/>
  <c r="Q102" i="2"/>
  <c r="Q104" i="2"/>
  <c r="Q108" i="2"/>
  <c r="Q115" i="2"/>
  <c r="Q116" i="2"/>
  <c r="Q114" i="2"/>
  <c r="Q141" i="2"/>
  <c r="Q112" i="2"/>
  <c r="Q111" i="2"/>
  <c r="Q113" i="2"/>
  <c r="Q98" i="2"/>
  <c r="O61" i="6"/>
  <c r="T20" i="3"/>
  <c r="Q70" i="7"/>
  <c r="R60" i="3" s="1"/>
  <c r="R65" i="3" s="1"/>
  <c r="Q69" i="6" s="1"/>
  <c r="F70" i="7"/>
  <c r="G70" i="7"/>
  <c r="I70" i="7"/>
  <c r="H70" i="7"/>
  <c r="J70" i="7"/>
  <c r="N70" i="7"/>
  <c r="M70" i="7"/>
  <c r="O70" i="7"/>
  <c r="O65" i="6"/>
  <c r="O64" i="6"/>
  <c r="O63" i="6"/>
  <c r="O62" i="6"/>
  <c r="Q33" i="2"/>
  <c r="Q26" i="2"/>
  <c r="Q32" i="2"/>
  <c r="Q29" i="2"/>
  <c r="O77" i="6"/>
  <c r="Q20" i="2"/>
  <c r="Q56" i="2"/>
  <c r="Q54" i="2"/>
  <c r="Q52" i="2"/>
  <c r="Q50" i="2"/>
  <c r="Q48" i="2"/>
  <c r="Q46" i="2"/>
  <c r="Q44" i="2"/>
  <c r="Q41" i="2"/>
  <c r="Q39" i="2"/>
  <c r="Q37" i="2"/>
  <c r="Q53" i="2"/>
  <c r="Q49" i="2"/>
  <c r="Q40" i="2"/>
  <c r="Q42" i="2"/>
  <c r="Q51" i="2"/>
  <c r="Q43" i="2"/>
  <c r="Q55" i="2"/>
  <c r="Q47" i="2"/>
  <c r="Q38" i="2"/>
  <c r="D19" i="6"/>
  <c r="D18" i="7"/>
  <c r="F123" i="6" l="1"/>
  <c r="E122" i="6"/>
  <c r="M123" i="6"/>
  <c r="E121" i="7"/>
  <c r="G123" i="6"/>
  <c r="J123" i="6"/>
  <c r="H123" i="6"/>
  <c r="I123" i="6"/>
  <c r="O123" i="6"/>
  <c r="P123" i="6"/>
  <c r="N123" i="6"/>
  <c r="Q123" i="6"/>
  <c r="R143" i="2"/>
  <c r="U143" i="2" s="1"/>
  <c r="R100" i="2"/>
  <c r="U100" i="2" s="1"/>
  <c r="R102" i="2"/>
  <c r="U102" i="2" s="1"/>
  <c r="R106" i="2"/>
  <c r="U106" i="2" s="1"/>
  <c r="R108" i="2"/>
  <c r="U108" i="2" s="1"/>
  <c r="R103" i="2"/>
  <c r="U103" i="2" s="1"/>
  <c r="R104" i="2"/>
  <c r="U104" i="2" s="1"/>
  <c r="R109" i="2"/>
  <c r="U109" i="2" s="1"/>
  <c r="R114" i="2"/>
  <c r="U114" i="2" s="1"/>
  <c r="R141" i="2"/>
  <c r="U141" i="2" s="1"/>
  <c r="R111" i="2"/>
  <c r="U111" i="2" s="1"/>
  <c r="R98" i="2"/>
  <c r="U98" i="2" s="1"/>
  <c r="R115" i="2"/>
  <c r="U115" i="2" s="1"/>
  <c r="R112" i="2"/>
  <c r="U112" i="2" s="1"/>
  <c r="R116" i="2"/>
  <c r="U116" i="2" s="1"/>
  <c r="R113" i="2"/>
  <c r="U113" i="2" s="1"/>
  <c r="N60" i="3"/>
  <c r="N65" i="3" s="1"/>
  <c r="M69" i="6" s="1"/>
  <c r="J60" i="3"/>
  <c r="J65" i="3" s="1"/>
  <c r="I69" i="6" s="1"/>
  <c r="O60" i="3"/>
  <c r="O65" i="3" s="1"/>
  <c r="N69" i="6" s="1"/>
  <c r="H60" i="3"/>
  <c r="H65" i="3" s="1"/>
  <c r="G69" i="6" s="1"/>
  <c r="K60" i="3"/>
  <c r="K65" i="3" s="1"/>
  <c r="J69" i="6" s="1"/>
  <c r="G60" i="3"/>
  <c r="E70" i="7"/>
  <c r="P60" i="3"/>
  <c r="P65" i="3" s="1"/>
  <c r="O69" i="6" s="1"/>
  <c r="I60" i="3"/>
  <c r="I65" i="3" s="1"/>
  <c r="H69" i="6" s="1"/>
  <c r="P65" i="6"/>
  <c r="P61" i="6"/>
  <c r="P64" i="6"/>
  <c r="P63" i="6"/>
  <c r="P62" i="6"/>
  <c r="R32" i="2"/>
  <c r="R29" i="2"/>
  <c r="R33" i="2"/>
  <c r="U33" i="2" s="1"/>
  <c r="R26" i="2"/>
  <c r="P77" i="6"/>
  <c r="D20" i="6"/>
  <c r="D19" i="7"/>
  <c r="R20" i="2"/>
  <c r="U20" i="2" s="1"/>
  <c r="R56" i="2"/>
  <c r="U56" i="2" s="1"/>
  <c r="R54" i="2"/>
  <c r="U54" i="2" s="1"/>
  <c r="R52" i="2"/>
  <c r="U52" i="2" s="1"/>
  <c r="R50" i="2"/>
  <c r="R48" i="2"/>
  <c r="U48" i="2" s="1"/>
  <c r="R46" i="2"/>
  <c r="R44" i="2"/>
  <c r="U44" i="2" s="1"/>
  <c r="R41" i="2"/>
  <c r="R39" i="2"/>
  <c r="R37" i="2"/>
  <c r="U37" i="2" s="1"/>
  <c r="R53" i="2"/>
  <c r="U53" i="2" s="1"/>
  <c r="R49" i="2"/>
  <c r="U49" i="2" s="1"/>
  <c r="R40" i="2"/>
  <c r="U40" i="2" s="1"/>
  <c r="R42" i="2"/>
  <c r="U42" i="2" s="1"/>
  <c r="R51" i="2"/>
  <c r="U51" i="2" s="1"/>
  <c r="R43" i="2"/>
  <c r="U43" i="2" s="1"/>
  <c r="R55" i="2"/>
  <c r="U55" i="2" s="1"/>
  <c r="R47" i="2"/>
  <c r="R38" i="2"/>
  <c r="U38" i="2" s="1"/>
  <c r="M122" i="7" l="1"/>
  <c r="L122" i="7"/>
  <c r="K122" i="7"/>
  <c r="Q122" i="7"/>
  <c r="P122" i="7"/>
  <c r="I122" i="7"/>
  <c r="J122" i="7"/>
  <c r="N122" i="7"/>
  <c r="O122" i="7"/>
  <c r="H122" i="7"/>
  <c r="G122" i="7"/>
  <c r="F122" i="7"/>
  <c r="M97" i="6"/>
  <c r="O97" i="6"/>
  <c r="G97" i="6"/>
  <c r="N97" i="6"/>
  <c r="H97" i="6"/>
  <c r="Q97" i="6"/>
  <c r="P97" i="6"/>
  <c r="I97" i="6"/>
  <c r="J97" i="6"/>
  <c r="F97" i="6"/>
  <c r="E123" i="6"/>
  <c r="T60" i="3"/>
  <c r="G65" i="3"/>
  <c r="U50" i="2"/>
  <c r="Q65" i="6"/>
  <c r="U39" i="2"/>
  <c r="Q61" i="6"/>
  <c r="U47" i="2"/>
  <c r="Q64" i="6"/>
  <c r="Q63" i="6"/>
  <c r="U46" i="2"/>
  <c r="U41" i="2"/>
  <c r="Q62" i="6"/>
  <c r="U29" i="2"/>
  <c r="U26" i="2"/>
  <c r="U32" i="2"/>
  <c r="Q77" i="6"/>
  <c r="E77" i="6" s="1"/>
  <c r="D21" i="6"/>
  <c r="D20" i="7"/>
  <c r="E122" i="7" l="1"/>
  <c r="E97" i="6"/>
  <c r="J97" i="7" s="1"/>
  <c r="K30" i="2" s="1"/>
  <c r="J93" i="6" s="1"/>
  <c r="L123" i="7"/>
  <c r="K123" i="7"/>
  <c r="J123" i="7"/>
  <c r="L77" i="7"/>
  <c r="M36" i="5" s="1"/>
  <c r="K77" i="7"/>
  <c r="L36" i="5" s="1"/>
  <c r="F123" i="7"/>
  <c r="N123" i="7"/>
  <c r="O123" i="7"/>
  <c r="I97" i="7"/>
  <c r="J30" i="2" s="1"/>
  <c r="I93" i="6" s="1"/>
  <c r="P123" i="7"/>
  <c r="H123" i="7"/>
  <c r="G123" i="7"/>
  <c r="M123" i="7"/>
  <c r="I123" i="7"/>
  <c r="Q123" i="7"/>
  <c r="G97" i="7"/>
  <c r="H30" i="2" s="1"/>
  <c r="G93" i="6" s="1"/>
  <c r="T65" i="3"/>
  <c r="F69" i="6"/>
  <c r="E65" i="6"/>
  <c r="E61" i="6"/>
  <c r="E64" i="6"/>
  <c r="E63" i="6"/>
  <c r="E62" i="6"/>
  <c r="F94" i="7"/>
  <c r="G94" i="7"/>
  <c r="H94" i="7"/>
  <c r="J94" i="7"/>
  <c r="I94" i="7"/>
  <c r="M94" i="7"/>
  <c r="O94" i="7"/>
  <c r="N94" i="7"/>
  <c r="P94" i="7"/>
  <c r="Q94" i="7"/>
  <c r="Q77" i="7"/>
  <c r="R36" i="5" s="1"/>
  <c r="D22" i="6"/>
  <c r="D21" i="7"/>
  <c r="L97" i="7" l="1"/>
  <c r="K97" i="7"/>
  <c r="H97" i="7"/>
  <c r="I30" i="2" s="1"/>
  <c r="H93" i="6" s="1"/>
  <c r="F97" i="7"/>
  <c r="G30" i="2" s="1"/>
  <c r="F93" i="6" s="1"/>
  <c r="P97" i="7"/>
  <c r="Q30" i="2" s="1"/>
  <c r="P93" i="6" s="1"/>
  <c r="O97" i="7"/>
  <c r="P30" i="2" s="1"/>
  <c r="O93" i="6" s="1"/>
  <c r="M97" i="7"/>
  <c r="N30" i="2" s="1"/>
  <c r="M93" i="6" s="1"/>
  <c r="N97" i="7"/>
  <c r="O30" i="2" s="1"/>
  <c r="N93" i="6" s="1"/>
  <c r="Q97" i="7"/>
  <c r="R30" i="2" s="1"/>
  <c r="Q93" i="6" s="1"/>
  <c r="L117" i="2"/>
  <c r="L118" i="2" s="1"/>
  <c r="L57" i="2"/>
  <c r="L58" i="2" s="1"/>
  <c r="M117" i="2"/>
  <c r="M118" i="2" s="1"/>
  <c r="M57" i="2"/>
  <c r="M58" i="2" s="1"/>
  <c r="L61" i="7"/>
  <c r="K61" i="7"/>
  <c r="L62" i="7"/>
  <c r="K62" i="7"/>
  <c r="L65" i="7"/>
  <c r="M99" i="3" s="1"/>
  <c r="K65" i="7"/>
  <c r="L99" i="3" s="1"/>
  <c r="L63" i="7"/>
  <c r="K63" i="7"/>
  <c r="L64" i="7"/>
  <c r="K64" i="7"/>
  <c r="E123" i="7"/>
  <c r="Q34" i="3"/>
  <c r="Q35" i="3" s="1"/>
  <c r="Q39" i="3"/>
  <c r="Q40" i="3" s="1"/>
  <c r="Q25" i="3"/>
  <c r="Q29" i="3" s="1"/>
  <c r="Q21" i="2"/>
  <c r="Q22" i="2" s="1"/>
  <c r="P79" i="6" s="1"/>
  <c r="Q27" i="2"/>
  <c r="R34" i="3"/>
  <c r="R35" i="3" s="1"/>
  <c r="R39" i="3"/>
  <c r="R40" i="3" s="1"/>
  <c r="R25" i="3"/>
  <c r="R29" i="3" s="1"/>
  <c r="R21" i="2"/>
  <c r="R22" i="2" s="1"/>
  <c r="Q79" i="6" s="1"/>
  <c r="R27" i="2"/>
  <c r="O25" i="3"/>
  <c r="O29" i="3" s="1"/>
  <c r="O39" i="3"/>
  <c r="O40" i="3" s="1"/>
  <c r="O34" i="3"/>
  <c r="O35" i="3" s="1"/>
  <c r="O21" i="2"/>
  <c r="O22" i="2" s="1"/>
  <c r="N79" i="6" s="1"/>
  <c r="O27" i="2"/>
  <c r="G25" i="3"/>
  <c r="G27" i="2"/>
  <c r="G34" i="3"/>
  <c r="G21" i="2"/>
  <c r="G39" i="3"/>
  <c r="N25" i="3"/>
  <c r="N29" i="3" s="1"/>
  <c r="N34" i="3"/>
  <c r="N35" i="3" s="1"/>
  <c r="N39" i="3"/>
  <c r="N40" i="3" s="1"/>
  <c r="N27" i="2"/>
  <c r="N21" i="2"/>
  <c r="N22" i="2" s="1"/>
  <c r="M79" i="6" s="1"/>
  <c r="I34" i="3"/>
  <c r="I35" i="3" s="1"/>
  <c r="I21" i="2"/>
  <c r="I22" i="2" s="1"/>
  <c r="H79" i="6" s="1"/>
  <c r="I27" i="2"/>
  <c r="I39" i="3"/>
  <c r="I40" i="3" s="1"/>
  <c r="I25" i="3"/>
  <c r="I29" i="3" s="1"/>
  <c r="J34" i="3"/>
  <c r="J35" i="3" s="1"/>
  <c r="J39" i="3"/>
  <c r="J40" i="3" s="1"/>
  <c r="J25" i="3"/>
  <c r="J29" i="3" s="1"/>
  <c r="J27" i="2"/>
  <c r="J34" i="2" s="1"/>
  <c r="I88" i="6" s="1"/>
  <c r="J21" i="2"/>
  <c r="J22" i="2" s="1"/>
  <c r="I79" i="6" s="1"/>
  <c r="K34" i="3"/>
  <c r="K35" i="3" s="1"/>
  <c r="K25" i="3"/>
  <c r="K29" i="3" s="1"/>
  <c r="K39" i="3"/>
  <c r="K40" i="3" s="1"/>
  <c r="K27" i="2"/>
  <c r="K34" i="2" s="1"/>
  <c r="J88" i="6" s="1"/>
  <c r="K21" i="2"/>
  <c r="K22" i="2" s="1"/>
  <c r="J79" i="6" s="1"/>
  <c r="P34" i="3"/>
  <c r="P35" i="3" s="1"/>
  <c r="P39" i="3"/>
  <c r="P40" i="3" s="1"/>
  <c r="P25" i="3"/>
  <c r="P29" i="3" s="1"/>
  <c r="P21" i="2"/>
  <c r="P22" i="2" s="1"/>
  <c r="O79" i="6" s="1"/>
  <c r="P27" i="2"/>
  <c r="H21" i="2"/>
  <c r="H22" i="2" s="1"/>
  <c r="G79" i="6" s="1"/>
  <c r="H27" i="2"/>
  <c r="H34" i="2" s="1"/>
  <c r="G88" i="6" s="1"/>
  <c r="H39" i="3"/>
  <c r="H40" i="3" s="1"/>
  <c r="H25" i="3"/>
  <c r="H29" i="3" s="1"/>
  <c r="H34" i="3"/>
  <c r="H35" i="3" s="1"/>
  <c r="E69" i="6"/>
  <c r="G65" i="7"/>
  <c r="F65" i="7"/>
  <c r="H65" i="7"/>
  <c r="I65" i="7"/>
  <c r="M65" i="7"/>
  <c r="J65" i="7"/>
  <c r="N65" i="7"/>
  <c r="O65" i="7"/>
  <c r="P65" i="7"/>
  <c r="Q65" i="7"/>
  <c r="F61" i="7"/>
  <c r="G61" i="7"/>
  <c r="H61" i="7"/>
  <c r="I61" i="7"/>
  <c r="M61" i="7"/>
  <c r="J61" i="7"/>
  <c r="O61" i="7"/>
  <c r="N61" i="7"/>
  <c r="P61" i="7"/>
  <c r="Q61" i="7"/>
  <c r="R117" i="2"/>
  <c r="R118" i="2" s="1"/>
  <c r="G64" i="7"/>
  <c r="H98" i="3" s="1"/>
  <c r="H64" i="7"/>
  <c r="I98" i="3" s="1"/>
  <c r="F64" i="7"/>
  <c r="I64" i="7"/>
  <c r="J98" i="3" s="1"/>
  <c r="J64" i="7"/>
  <c r="K98" i="3" s="1"/>
  <c r="M64" i="7"/>
  <c r="N64" i="7"/>
  <c r="O64" i="7"/>
  <c r="P64" i="7"/>
  <c r="Q98" i="3" s="1"/>
  <c r="Q64" i="7"/>
  <c r="R98" i="3" s="1"/>
  <c r="F63" i="7"/>
  <c r="G63" i="7"/>
  <c r="H63" i="7"/>
  <c r="I63" i="7"/>
  <c r="J63" i="7"/>
  <c r="M63" i="7"/>
  <c r="N63" i="7"/>
  <c r="O63" i="7"/>
  <c r="P63" i="7"/>
  <c r="Q63" i="7"/>
  <c r="G62" i="7"/>
  <c r="H96" i="3" s="1"/>
  <c r="H62" i="7"/>
  <c r="I96" i="3" s="1"/>
  <c r="F62" i="7"/>
  <c r="G96" i="3" s="1"/>
  <c r="I62" i="7"/>
  <c r="J96" i="3" s="1"/>
  <c r="M62" i="7"/>
  <c r="J62" i="7"/>
  <c r="K96" i="3" s="1"/>
  <c r="N62" i="7"/>
  <c r="O62" i="7"/>
  <c r="P62" i="7"/>
  <c r="Q96" i="3" s="1"/>
  <c r="Q62" i="7"/>
  <c r="R96" i="3" s="1"/>
  <c r="E94" i="7"/>
  <c r="F77" i="7"/>
  <c r="G36" i="5" s="1"/>
  <c r="G77" i="7"/>
  <c r="H36" i="5" s="1"/>
  <c r="H77" i="7"/>
  <c r="I36" i="5" s="1"/>
  <c r="I77" i="7"/>
  <c r="J36" i="5" s="1"/>
  <c r="J77" i="7"/>
  <c r="K36" i="5" s="1"/>
  <c r="N77" i="7"/>
  <c r="M77" i="7"/>
  <c r="O77" i="7"/>
  <c r="P36" i="5" s="1"/>
  <c r="P77" i="7"/>
  <c r="Q36" i="5" s="1"/>
  <c r="F92" i="7"/>
  <c r="H92" i="7"/>
  <c r="G92" i="7"/>
  <c r="I92" i="7"/>
  <c r="J92" i="7"/>
  <c r="M92" i="7"/>
  <c r="N92" i="7"/>
  <c r="O92" i="7"/>
  <c r="P92" i="7"/>
  <c r="Q92" i="7"/>
  <c r="D23" i="6"/>
  <c r="D22" i="7"/>
  <c r="I34" i="2" l="1"/>
  <c r="H88" i="6" s="1"/>
  <c r="N34" i="2"/>
  <c r="M88" i="6" s="1"/>
  <c r="P34" i="2"/>
  <c r="O88" i="6" s="1"/>
  <c r="R34" i="2"/>
  <c r="Q88" i="6" s="1"/>
  <c r="M30" i="2"/>
  <c r="M92" i="2"/>
  <c r="M94" i="2" s="1"/>
  <c r="Q34" i="2"/>
  <c r="P88" i="6" s="1"/>
  <c r="O34" i="2"/>
  <c r="N88" i="6" s="1"/>
  <c r="E97" i="7"/>
  <c r="L30" i="2"/>
  <c r="L92" i="2"/>
  <c r="L94" i="2" s="1"/>
  <c r="L38" i="5"/>
  <c r="L32" i="5"/>
  <c r="L31" i="5"/>
  <c r="M31" i="5"/>
  <c r="M38" i="5"/>
  <c r="M32" i="5"/>
  <c r="M97" i="3"/>
  <c r="M49" i="3"/>
  <c r="M48" i="3"/>
  <c r="M96" i="3"/>
  <c r="L98" i="3"/>
  <c r="L50" i="3"/>
  <c r="L97" i="3"/>
  <c r="L49" i="3"/>
  <c r="L48" i="3"/>
  <c r="L96" i="3"/>
  <c r="M50" i="3"/>
  <c r="M98" i="3"/>
  <c r="L74" i="6"/>
  <c r="K74" i="6"/>
  <c r="F69" i="7"/>
  <c r="G24" i="4" s="1"/>
  <c r="L69" i="7"/>
  <c r="M24" i="4" s="1"/>
  <c r="M25" i="4" s="1"/>
  <c r="K69" i="7"/>
  <c r="L24" i="4" s="1"/>
  <c r="L25" i="4" s="1"/>
  <c r="G34" i="2"/>
  <c r="U27" i="2"/>
  <c r="G40" i="3"/>
  <c r="T40" i="3" s="1"/>
  <c r="T39" i="3"/>
  <c r="G29" i="3"/>
  <c r="T29" i="3" s="1"/>
  <c r="T25" i="3"/>
  <c r="N36" i="5"/>
  <c r="G22" i="2"/>
  <c r="U21" i="2"/>
  <c r="O36" i="5"/>
  <c r="N96" i="3"/>
  <c r="G35" i="3"/>
  <c r="T35" i="3" s="1"/>
  <c r="T34" i="3"/>
  <c r="N98" i="3"/>
  <c r="O96" i="3"/>
  <c r="O98" i="3"/>
  <c r="P96" i="3"/>
  <c r="P98" i="3"/>
  <c r="Q97" i="3"/>
  <c r="Q38" i="5"/>
  <c r="Q32" i="5"/>
  <c r="Q31" i="5"/>
  <c r="O97" i="3"/>
  <c r="O38" i="5"/>
  <c r="O32" i="5"/>
  <c r="O31" i="5"/>
  <c r="K97" i="3"/>
  <c r="K38" i="5"/>
  <c r="K32" i="5"/>
  <c r="K31" i="5"/>
  <c r="I97" i="3"/>
  <c r="I38" i="5"/>
  <c r="I32" i="5"/>
  <c r="I31" i="5"/>
  <c r="G38" i="5"/>
  <c r="G32" i="5"/>
  <c r="G31" i="5"/>
  <c r="R97" i="3"/>
  <c r="R38" i="5"/>
  <c r="R32" i="5"/>
  <c r="R31" i="5"/>
  <c r="P97" i="3"/>
  <c r="P38" i="5"/>
  <c r="P32" i="5"/>
  <c r="P31" i="5"/>
  <c r="N97" i="3"/>
  <c r="N38" i="5"/>
  <c r="N32" i="5"/>
  <c r="N31" i="5"/>
  <c r="J97" i="3"/>
  <c r="J38" i="5"/>
  <c r="J32" i="5"/>
  <c r="J31" i="5"/>
  <c r="H97" i="3"/>
  <c r="H38" i="5"/>
  <c r="H32" i="5"/>
  <c r="H31" i="5"/>
  <c r="N69" i="7"/>
  <c r="H69" i="7"/>
  <c r="Q69" i="7"/>
  <c r="M69" i="7"/>
  <c r="G69" i="7"/>
  <c r="P69" i="7"/>
  <c r="J69" i="7"/>
  <c r="O69" i="7"/>
  <c r="I69" i="7"/>
  <c r="R99" i="3"/>
  <c r="K99" i="3"/>
  <c r="G99" i="3"/>
  <c r="E65" i="7"/>
  <c r="Q99" i="3"/>
  <c r="N99" i="3"/>
  <c r="H99" i="3"/>
  <c r="P99" i="3"/>
  <c r="J99" i="3"/>
  <c r="O99" i="3"/>
  <c r="I99" i="3"/>
  <c r="G49" i="3"/>
  <c r="G97" i="3"/>
  <c r="G50" i="3"/>
  <c r="G98" i="3"/>
  <c r="E61" i="7"/>
  <c r="N117" i="2"/>
  <c r="N118" i="2" s="1"/>
  <c r="I117" i="2"/>
  <c r="I118" i="2" s="1"/>
  <c r="R50" i="3"/>
  <c r="N50" i="3"/>
  <c r="I50" i="3"/>
  <c r="O117" i="2"/>
  <c r="O118" i="2" s="1"/>
  <c r="H117" i="2"/>
  <c r="H118" i="2" s="1"/>
  <c r="Q50" i="3"/>
  <c r="K50" i="3"/>
  <c r="H50" i="3"/>
  <c r="Q117" i="2"/>
  <c r="Q118" i="2" s="1"/>
  <c r="K117" i="2"/>
  <c r="K118" i="2" s="1"/>
  <c r="G117" i="2"/>
  <c r="P50" i="3"/>
  <c r="J50" i="3"/>
  <c r="P117" i="2"/>
  <c r="P118" i="2" s="1"/>
  <c r="J117" i="2"/>
  <c r="J118" i="2" s="1"/>
  <c r="O50" i="3"/>
  <c r="E64" i="7"/>
  <c r="J49" i="3"/>
  <c r="O49" i="3"/>
  <c r="R49" i="3"/>
  <c r="N49" i="3"/>
  <c r="H49" i="3"/>
  <c r="P49" i="3"/>
  <c r="I49" i="3"/>
  <c r="Q49" i="3"/>
  <c r="K49" i="3"/>
  <c r="E63" i="7"/>
  <c r="P48" i="3"/>
  <c r="J48" i="3"/>
  <c r="O48" i="3"/>
  <c r="G48" i="3"/>
  <c r="E62" i="7"/>
  <c r="R48" i="3"/>
  <c r="K48" i="3"/>
  <c r="I48" i="3"/>
  <c r="Q48" i="3"/>
  <c r="N48" i="3"/>
  <c r="H48" i="3"/>
  <c r="P91" i="2"/>
  <c r="J91" i="2"/>
  <c r="O91" i="2"/>
  <c r="H91" i="2"/>
  <c r="R57" i="2"/>
  <c r="R58" i="2" s="1"/>
  <c r="R91" i="2"/>
  <c r="N57" i="2"/>
  <c r="N58" i="2" s="1"/>
  <c r="N91" i="2"/>
  <c r="I57" i="2"/>
  <c r="I58" i="2" s="1"/>
  <c r="I91" i="2"/>
  <c r="Q91" i="2"/>
  <c r="K91" i="2"/>
  <c r="G91" i="2"/>
  <c r="Q57" i="2"/>
  <c r="Q58" i="2" s="1"/>
  <c r="K57" i="2"/>
  <c r="K58" i="2" s="1"/>
  <c r="G57" i="2"/>
  <c r="G58" i="2" s="1"/>
  <c r="R86" i="2"/>
  <c r="R87" i="2"/>
  <c r="R85" i="2"/>
  <c r="N86" i="2"/>
  <c r="N87" i="2"/>
  <c r="N85" i="2"/>
  <c r="H86" i="2"/>
  <c r="H87" i="2"/>
  <c r="H85" i="2"/>
  <c r="Q86" i="2"/>
  <c r="Q87" i="2"/>
  <c r="Q85" i="2"/>
  <c r="K86" i="2"/>
  <c r="K87" i="2"/>
  <c r="K85" i="2"/>
  <c r="G86" i="2"/>
  <c r="G87" i="2"/>
  <c r="G85" i="2"/>
  <c r="P87" i="2"/>
  <c r="P85" i="2"/>
  <c r="P86" i="2"/>
  <c r="J87" i="2"/>
  <c r="J85" i="2"/>
  <c r="J86" i="2"/>
  <c r="O87" i="2"/>
  <c r="O85" i="2"/>
  <c r="O86" i="2"/>
  <c r="I87" i="2"/>
  <c r="I85" i="2"/>
  <c r="I86" i="2"/>
  <c r="O57" i="2"/>
  <c r="O58" i="2" s="1"/>
  <c r="H57" i="2"/>
  <c r="H58" i="2" s="1"/>
  <c r="P57" i="2"/>
  <c r="P58" i="2" s="1"/>
  <c r="J57" i="2"/>
  <c r="J58" i="2" s="1"/>
  <c r="E77" i="7"/>
  <c r="E92" i="7"/>
  <c r="D24" i="6"/>
  <c r="D23" i="7"/>
  <c r="L93" i="6" l="1"/>
  <c r="M34" i="2"/>
  <c r="U30" i="2"/>
  <c r="K93" i="6"/>
  <c r="L34" i="2"/>
  <c r="L73" i="6"/>
  <c r="M102" i="3"/>
  <c r="L102" i="3"/>
  <c r="K73" i="6"/>
  <c r="T36" i="5"/>
  <c r="T96" i="3"/>
  <c r="F88" i="6"/>
  <c r="F79" i="6"/>
  <c r="U22" i="2"/>
  <c r="T98" i="3"/>
  <c r="P102" i="3"/>
  <c r="Q102" i="3"/>
  <c r="J102" i="3"/>
  <c r="R102" i="3"/>
  <c r="H102" i="3"/>
  <c r="I102" i="3"/>
  <c r="N102" i="3"/>
  <c r="T97" i="3"/>
  <c r="O102" i="3"/>
  <c r="K102" i="3"/>
  <c r="T32" i="5"/>
  <c r="T31" i="5"/>
  <c r="T38" i="5"/>
  <c r="N81" i="6"/>
  <c r="N86" i="6"/>
  <c r="I81" i="6"/>
  <c r="I86" i="6"/>
  <c r="J81" i="6"/>
  <c r="J86" i="6"/>
  <c r="M81" i="6"/>
  <c r="M86" i="6"/>
  <c r="O81" i="6"/>
  <c r="O86" i="6"/>
  <c r="P81" i="6"/>
  <c r="P86" i="6"/>
  <c r="G81" i="6"/>
  <c r="G86" i="6"/>
  <c r="H81" i="6"/>
  <c r="H86" i="6"/>
  <c r="Q81" i="6"/>
  <c r="Q86" i="6"/>
  <c r="F81" i="6"/>
  <c r="F86" i="6"/>
  <c r="J24" i="4"/>
  <c r="J25" i="4" s="1"/>
  <c r="H24" i="4"/>
  <c r="H25" i="4" s="1"/>
  <c r="O24" i="4"/>
  <c r="O25" i="4" s="1"/>
  <c r="P24" i="4"/>
  <c r="P25" i="4" s="1"/>
  <c r="N24" i="4"/>
  <c r="N25" i="4" s="1"/>
  <c r="K24" i="4"/>
  <c r="K25" i="4" s="1"/>
  <c r="R24" i="4"/>
  <c r="R25" i="4" s="1"/>
  <c r="E69" i="7"/>
  <c r="Q24" i="4"/>
  <c r="Q25" i="4" s="1"/>
  <c r="I24" i="4"/>
  <c r="I25" i="4" s="1"/>
  <c r="G25" i="4"/>
  <c r="I74" i="6"/>
  <c r="O74" i="6"/>
  <c r="J74" i="6"/>
  <c r="M74" i="6"/>
  <c r="P74" i="6"/>
  <c r="G74" i="6"/>
  <c r="H74" i="6"/>
  <c r="Q74" i="6"/>
  <c r="N74" i="6"/>
  <c r="F74" i="6"/>
  <c r="N73" i="6"/>
  <c r="O73" i="6"/>
  <c r="G73" i="6"/>
  <c r="P73" i="6"/>
  <c r="J73" i="6"/>
  <c r="H73" i="6"/>
  <c r="I73" i="6"/>
  <c r="M73" i="6"/>
  <c r="Q73" i="6"/>
  <c r="F73" i="6"/>
  <c r="T99" i="3"/>
  <c r="G102" i="3"/>
  <c r="U117" i="2"/>
  <c r="G118" i="2"/>
  <c r="U118" i="2" s="1"/>
  <c r="T50" i="3"/>
  <c r="T75" i="3"/>
  <c r="T49" i="3"/>
  <c r="T48" i="3"/>
  <c r="U91" i="2"/>
  <c r="P88" i="2"/>
  <c r="Q88" i="2"/>
  <c r="K88" i="2"/>
  <c r="R88" i="2"/>
  <c r="U86" i="2"/>
  <c r="J88" i="2"/>
  <c r="O88" i="2"/>
  <c r="U85" i="2"/>
  <c r="G88" i="2"/>
  <c r="N88" i="2"/>
  <c r="I88" i="2"/>
  <c r="U87" i="2"/>
  <c r="H88" i="2"/>
  <c r="U57" i="2"/>
  <c r="U58" i="2"/>
  <c r="D25" i="6"/>
  <c r="D24" i="7"/>
  <c r="U34" i="2" l="1"/>
  <c r="K88" i="6"/>
  <c r="K81" i="6"/>
  <c r="K86" i="6"/>
  <c r="E93" i="6"/>
  <c r="I93" i="7" s="1"/>
  <c r="J92" i="2" s="1"/>
  <c r="J94" i="2" s="1"/>
  <c r="L88" i="6"/>
  <c r="L86" i="6"/>
  <c r="L81" i="6"/>
  <c r="E79" i="6"/>
  <c r="E74" i="6"/>
  <c r="T24" i="4"/>
  <c r="T25" i="4"/>
  <c r="E73" i="6"/>
  <c r="T102" i="3"/>
  <c r="U88" i="2"/>
  <c r="D26" i="6"/>
  <c r="D25" i="7"/>
  <c r="H93" i="7" l="1"/>
  <c r="I92" i="2" s="1"/>
  <c r="I94" i="2" s="1"/>
  <c r="O93" i="7"/>
  <c r="P92" i="2" s="1"/>
  <c r="P94" i="2" s="1"/>
  <c r="E86" i="6"/>
  <c r="Q86" i="7" s="1"/>
  <c r="R131" i="3" s="1"/>
  <c r="G93" i="7"/>
  <c r="H92" i="2" s="1"/>
  <c r="H94" i="2" s="1"/>
  <c r="E88" i="6"/>
  <c r="L88" i="7" s="1"/>
  <c r="M16" i="4" s="1"/>
  <c r="M17" i="4" s="1"/>
  <c r="E81" i="6"/>
  <c r="F81" i="7" s="1"/>
  <c r="G35" i="4" s="1"/>
  <c r="G37" i="4" s="1"/>
  <c r="J93" i="7"/>
  <c r="K92" i="2" s="1"/>
  <c r="F93" i="7"/>
  <c r="G92" i="2" s="1"/>
  <c r="L93" i="7"/>
  <c r="Q93" i="7"/>
  <c r="R92" i="2" s="1"/>
  <c r="R94" i="2" s="1"/>
  <c r="M93" i="7"/>
  <c r="N92" i="2" s="1"/>
  <c r="N94" i="2" s="1"/>
  <c r="P93" i="7"/>
  <c r="Q92" i="2" s="1"/>
  <c r="Q94" i="2" s="1"/>
  <c r="N93" i="7"/>
  <c r="O92" i="2" s="1"/>
  <c r="O94" i="2" s="1"/>
  <c r="K93" i="7"/>
  <c r="F73" i="7"/>
  <c r="G54" i="3" s="1"/>
  <c r="L73" i="7"/>
  <c r="K73" i="7"/>
  <c r="L81" i="7"/>
  <c r="F79" i="7"/>
  <c r="G116" i="3" s="1"/>
  <c r="L79" i="7"/>
  <c r="K79" i="7"/>
  <c r="F74" i="7"/>
  <c r="G48" i="5" s="1"/>
  <c r="L74" i="7"/>
  <c r="K74" i="7"/>
  <c r="I79" i="7"/>
  <c r="N79" i="7"/>
  <c r="P79" i="7"/>
  <c r="G79" i="7"/>
  <c r="Q79" i="7"/>
  <c r="H79" i="7"/>
  <c r="M79" i="7"/>
  <c r="O79" i="7"/>
  <c r="J79" i="7"/>
  <c r="G81" i="7"/>
  <c r="H33" i="5" s="1"/>
  <c r="O74" i="7"/>
  <c r="J74" i="7"/>
  <c r="M74" i="7"/>
  <c r="Q74" i="7"/>
  <c r="I74" i="7"/>
  <c r="P74" i="7"/>
  <c r="H74" i="7"/>
  <c r="G74" i="7"/>
  <c r="N74" i="7"/>
  <c r="Q73" i="7"/>
  <c r="M73" i="7"/>
  <c r="G73" i="7"/>
  <c r="P73" i="7"/>
  <c r="J73" i="7"/>
  <c r="O73" i="7"/>
  <c r="I73" i="7"/>
  <c r="N73" i="7"/>
  <c r="H73" i="7"/>
  <c r="T72" i="3"/>
  <c r="D27" i="6"/>
  <c r="D26" i="7"/>
  <c r="N81" i="7" l="1"/>
  <c r="O135" i="3" s="1"/>
  <c r="Q81" i="7"/>
  <c r="R35" i="4" s="1"/>
  <c r="R37" i="4" s="1"/>
  <c r="R39" i="4" s="1"/>
  <c r="O81" i="7"/>
  <c r="P125" i="3" s="1"/>
  <c r="N86" i="7"/>
  <c r="O131" i="3" s="1"/>
  <c r="K86" i="7"/>
  <c r="L131" i="3" s="1"/>
  <c r="J81" i="7"/>
  <c r="K33" i="5" s="1"/>
  <c r="H81" i="7"/>
  <c r="I65" i="2" s="1"/>
  <c r="G86" i="7"/>
  <c r="H131" i="3" s="1"/>
  <c r="M81" i="7"/>
  <c r="N135" i="3" s="1"/>
  <c r="I88" i="7"/>
  <c r="J142" i="2" s="1"/>
  <c r="K81" i="7"/>
  <c r="L33" i="5" s="1"/>
  <c r="I86" i="7"/>
  <c r="J131" i="3" s="1"/>
  <c r="P86" i="7"/>
  <c r="Q131" i="3" s="1"/>
  <c r="L86" i="7"/>
  <c r="M131" i="3" s="1"/>
  <c r="O86" i="7"/>
  <c r="P131" i="3" s="1"/>
  <c r="M86" i="7"/>
  <c r="N131" i="3" s="1"/>
  <c r="F86" i="7"/>
  <c r="G131" i="3" s="1"/>
  <c r="H86" i="7"/>
  <c r="I131" i="3" s="1"/>
  <c r="J86" i="7"/>
  <c r="K131" i="3" s="1"/>
  <c r="I81" i="7"/>
  <c r="J65" i="2" s="1"/>
  <c r="P81" i="7"/>
  <c r="Q33" i="5" s="1"/>
  <c r="G79" i="2"/>
  <c r="P88" i="7"/>
  <c r="Q149" i="2" s="1"/>
  <c r="G12" i="4"/>
  <c r="G13" i="4" s="1"/>
  <c r="F88" i="7"/>
  <c r="G126" i="3" s="1"/>
  <c r="J88" i="7"/>
  <c r="K149" i="2" s="1"/>
  <c r="N88" i="7"/>
  <c r="O149" i="2" s="1"/>
  <c r="M88" i="7"/>
  <c r="N152" i="2" s="1"/>
  <c r="G88" i="7"/>
  <c r="H117" i="3" s="1"/>
  <c r="Q88" i="7"/>
  <c r="R142" i="2" s="1"/>
  <c r="K88" i="7"/>
  <c r="L16" i="4" s="1"/>
  <c r="L17" i="4" s="1"/>
  <c r="U92" i="2"/>
  <c r="H88" i="7"/>
  <c r="I15" i="2" s="1"/>
  <c r="O88" i="7"/>
  <c r="P117" i="3" s="1"/>
  <c r="E93" i="7"/>
  <c r="G153" i="2"/>
  <c r="G74" i="3"/>
  <c r="K94" i="2"/>
  <c r="L20" i="4"/>
  <c r="L21" i="4" s="1"/>
  <c r="L48" i="5"/>
  <c r="L47" i="5"/>
  <c r="M12" i="4"/>
  <c r="M13" i="4" s="1"/>
  <c r="M41" i="5"/>
  <c r="M39" i="5"/>
  <c r="M35" i="5"/>
  <c r="M16" i="5"/>
  <c r="M17" i="5" s="1"/>
  <c r="M9" i="8" s="1"/>
  <c r="M46" i="5"/>
  <c r="M44" i="5"/>
  <c r="M30" i="5"/>
  <c r="M20" i="4"/>
  <c r="M21" i="4" s="1"/>
  <c r="M47" i="5"/>
  <c r="M48" i="5"/>
  <c r="L12" i="4"/>
  <c r="L13" i="4" s="1"/>
  <c r="L46" i="5"/>
  <c r="L44" i="5"/>
  <c r="L30" i="5"/>
  <c r="L41" i="5"/>
  <c r="L39" i="5"/>
  <c r="L35" i="5"/>
  <c r="L16" i="5"/>
  <c r="L17" i="5" s="1"/>
  <c r="L9" i="8" s="1"/>
  <c r="M35" i="4"/>
  <c r="M37" i="4" s="1"/>
  <c r="M39" i="4" s="1"/>
  <c r="M33" i="5"/>
  <c r="M54" i="3"/>
  <c r="M47" i="3"/>
  <c r="M117" i="3"/>
  <c r="M126" i="3"/>
  <c r="M43" i="3"/>
  <c r="M44" i="3" s="1"/>
  <c r="L132" i="3"/>
  <c r="L130" i="3"/>
  <c r="L128" i="3"/>
  <c r="L122" i="3"/>
  <c r="L115" i="3"/>
  <c r="L133" i="3"/>
  <c r="L129" i="3"/>
  <c r="L120" i="3"/>
  <c r="L116" i="3"/>
  <c r="L114" i="3"/>
  <c r="L69" i="3"/>
  <c r="M134" i="3"/>
  <c r="M125" i="3"/>
  <c r="M135" i="3"/>
  <c r="L118" i="3"/>
  <c r="L74" i="3"/>
  <c r="M132" i="3"/>
  <c r="M130" i="3"/>
  <c r="M128" i="3"/>
  <c r="M122" i="3"/>
  <c r="M115" i="3"/>
  <c r="M133" i="3"/>
  <c r="M129" i="3"/>
  <c r="M120" i="3"/>
  <c r="M116" i="3"/>
  <c r="M114" i="3"/>
  <c r="M69" i="3"/>
  <c r="L54" i="3"/>
  <c r="L47" i="3"/>
  <c r="M74" i="3"/>
  <c r="M118" i="3"/>
  <c r="L125" i="3"/>
  <c r="G137" i="2"/>
  <c r="G135" i="3"/>
  <c r="G115" i="3"/>
  <c r="G39" i="5"/>
  <c r="G46" i="5"/>
  <c r="G41" i="5"/>
  <c r="G128" i="3"/>
  <c r="G30" i="5"/>
  <c r="G118" i="3"/>
  <c r="G150" i="2"/>
  <c r="G47" i="5"/>
  <c r="G47" i="3"/>
  <c r="F71" i="6" s="1"/>
  <c r="G147" i="2"/>
  <c r="G20" i="4"/>
  <c r="G21" i="4" s="1"/>
  <c r="G151" i="2"/>
  <c r="G16" i="5"/>
  <c r="G17" i="5" s="1"/>
  <c r="G65" i="2"/>
  <c r="G134" i="3"/>
  <c r="G33" i="5"/>
  <c r="G44" i="5"/>
  <c r="G35" i="5"/>
  <c r="G130" i="3"/>
  <c r="G129" i="3"/>
  <c r="G120" i="3"/>
  <c r="G114" i="3"/>
  <c r="G148" i="2"/>
  <c r="G14" i="2"/>
  <c r="G145" i="2"/>
  <c r="G138" i="2"/>
  <c r="M149" i="2"/>
  <c r="M139" i="2"/>
  <c r="M152" i="2"/>
  <c r="M146" i="2"/>
  <c r="M142" i="2"/>
  <c r="M136" i="2"/>
  <c r="M80" i="2"/>
  <c r="M15" i="2"/>
  <c r="L151" i="2"/>
  <c r="L145" i="2"/>
  <c r="L135" i="2"/>
  <c r="L79" i="2"/>
  <c r="L148" i="2"/>
  <c r="L138" i="2"/>
  <c r="L14" i="2"/>
  <c r="L153" i="2"/>
  <c r="L147" i="2"/>
  <c r="L137" i="2"/>
  <c r="L150" i="2"/>
  <c r="M151" i="2"/>
  <c r="M145" i="2"/>
  <c r="M135" i="2"/>
  <c r="M148" i="2"/>
  <c r="M138" i="2"/>
  <c r="M14" i="2"/>
  <c r="M79" i="2"/>
  <c r="M153" i="2"/>
  <c r="M147" i="2"/>
  <c r="M137" i="2"/>
  <c r="M150" i="2"/>
  <c r="M140" i="2"/>
  <c r="M65" i="2"/>
  <c r="G125" i="3"/>
  <c r="G135" i="2"/>
  <c r="G132" i="3"/>
  <c r="G69" i="3"/>
  <c r="G122" i="3"/>
  <c r="G133" i="3"/>
  <c r="R41" i="5"/>
  <c r="R16" i="5"/>
  <c r="R17" i="5" s="1"/>
  <c r="R9" i="8" s="1"/>
  <c r="R133" i="3"/>
  <c r="R115" i="3"/>
  <c r="R122" i="3"/>
  <c r="R145" i="2"/>
  <c r="R79" i="2"/>
  <c r="R39" i="5"/>
  <c r="R128" i="3"/>
  <c r="R120" i="3"/>
  <c r="R138" i="2"/>
  <c r="R46" i="5"/>
  <c r="R114" i="3"/>
  <c r="R151" i="2"/>
  <c r="R44" i="5"/>
  <c r="R30" i="5"/>
  <c r="R69" i="3"/>
  <c r="R12" i="4"/>
  <c r="R13" i="4" s="1"/>
  <c r="R116" i="3"/>
  <c r="R130" i="3"/>
  <c r="R148" i="2"/>
  <c r="R14" i="2"/>
  <c r="R132" i="3"/>
  <c r="R35" i="5"/>
  <c r="R129" i="3"/>
  <c r="R135" i="2"/>
  <c r="Q41" i="5"/>
  <c r="Q16" i="5"/>
  <c r="Q17" i="5" s="1"/>
  <c r="Q9" i="8" s="1"/>
  <c r="Q133" i="3"/>
  <c r="Q122" i="3"/>
  <c r="Q116" i="3"/>
  <c r="Q39" i="5"/>
  <c r="Q120" i="3"/>
  <c r="Q135" i="2"/>
  <c r="Q44" i="5"/>
  <c r="Q12" i="4"/>
  <c r="Q13" i="4" s="1"/>
  <c r="Q114" i="3"/>
  <c r="Q138" i="2"/>
  <c r="Q79" i="2"/>
  <c r="Q30" i="5"/>
  <c r="Q130" i="3"/>
  <c r="Q132" i="3"/>
  <c r="Q128" i="3"/>
  <c r="Q151" i="2"/>
  <c r="Q148" i="2"/>
  <c r="Q46" i="5"/>
  <c r="Q69" i="3"/>
  <c r="Q129" i="3"/>
  <c r="Q145" i="2"/>
  <c r="Q14" i="2"/>
  <c r="Q35" i="5"/>
  <c r="Q115" i="3"/>
  <c r="K35" i="5"/>
  <c r="K44" i="5"/>
  <c r="K128" i="3"/>
  <c r="K114" i="3"/>
  <c r="K122" i="3"/>
  <c r="K148" i="2"/>
  <c r="K30" i="5"/>
  <c r="K69" i="3"/>
  <c r="K115" i="3"/>
  <c r="K120" i="3"/>
  <c r="K133" i="3"/>
  <c r="K145" i="2"/>
  <c r="K135" i="2"/>
  <c r="K14" i="2"/>
  <c r="K41" i="5"/>
  <c r="K116" i="3"/>
  <c r="K79" i="2"/>
  <c r="K39" i="5"/>
  <c r="K12" i="4"/>
  <c r="K13" i="4" s="1"/>
  <c r="K129" i="3"/>
  <c r="K16" i="5"/>
  <c r="K17" i="5" s="1"/>
  <c r="K9" i="8" s="1"/>
  <c r="K132" i="3"/>
  <c r="K46" i="5"/>
  <c r="K130" i="3"/>
  <c r="K151" i="2"/>
  <c r="K138" i="2"/>
  <c r="P39" i="5"/>
  <c r="P12" i="4"/>
  <c r="P13" i="4" s="1"/>
  <c r="P132" i="3"/>
  <c r="P114" i="3"/>
  <c r="P145" i="2"/>
  <c r="P46" i="5"/>
  <c r="P35" i="5"/>
  <c r="P69" i="3"/>
  <c r="P128" i="3"/>
  <c r="P116" i="3"/>
  <c r="P133" i="3"/>
  <c r="P135" i="2"/>
  <c r="P79" i="2"/>
  <c r="P44" i="5"/>
  <c r="P30" i="5"/>
  <c r="P16" i="5"/>
  <c r="P17" i="5" s="1"/>
  <c r="P9" i="8" s="1"/>
  <c r="P130" i="3"/>
  <c r="P151" i="2"/>
  <c r="P129" i="3"/>
  <c r="P122" i="3"/>
  <c r="P138" i="2"/>
  <c r="P14" i="2"/>
  <c r="P120" i="3"/>
  <c r="P41" i="5"/>
  <c r="P115" i="3"/>
  <c r="P148" i="2"/>
  <c r="N46" i="5"/>
  <c r="N35" i="5"/>
  <c r="N132" i="3"/>
  <c r="N122" i="3"/>
  <c r="N114" i="3"/>
  <c r="N44" i="5"/>
  <c r="N30" i="5"/>
  <c r="N130" i="3"/>
  <c r="N116" i="3"/>
  <c r="N151" i="2"/>
  <c r="N148" i="2"/>
  <c r="N138" i="2"/>
  <c r="N41" i="5"/>
  <c r="N16" i="5"/>
  <c r="N17" i="5" s="1"/>
  <c r="N9" i="8" s="1"/>
  <c r="N12" i="4"/>
  <c r="N13" i="4" s="1"/>
  <c r="N128" i="3"/>
  <c r="N145" i="2"/>
  <c r="N135" i="2"/>
  <c r="N133" i="3"/>
  <c r="N39" i="5"/>
  <c r="N129" i="3"/>
  <c r="N115" i="3"/>
  <c r="N69" i="3"/>
  <c r="N120" i="3"/>
  <c r="N14" i="2"/>
  <c r="N79" i="2"/>
  <c r="H41" i="5"/>
  <c r="H16" i="5"/>
  <c r="H17" i="5" s="1"/>
  <c r="H9" i="8" s="1"/>
  <c r="H122" i="3"/>
  <c r="H116" i="3"/>
  <c r="H151" i="2"/>
  <c r="H135" i="2"/>
  <c r="H39" i="5"/>
  <c r="H69" i="3"/>
  <c r="H12" i="4"/>
  <c r="H13" i="4" s="1"/>
  <c r="H128" i="3"/>
  <c r="H129" i="3"/>
  <c r="H148" i="2"/>
  <c r="H14" i="2"/>
  <c r="H46" i="5"/>
  <c r="H44" i="5"/>
  <c r="H133" i="3"/>
  <c r="H79" i="2"/>
  <c r="H130" i="3"/>
  <c r="H120" i="3"/>
  <c r="H35" i="5"/>
  <c r="H115" i="3"/>
  <c r="H138" i="2"/>
  <c r="H30" i="5"/>
  <c r="H132" i="3"/>
  <c r="H114" i="3"/>
  <c r="H145" i="2"/>
  <c r="E79" i="7"/>
  <c r="O39" i="5"/>
  <c r="O46" i="5"/>
  <c r="O122" i="3"/>
  <c r="O120" i="3"/>
  <c r="O115" i="3"/>
  <c r="O135" i="2"/>
  <c r="O35" i="5"/>
  <c r="O44" i="5"/>
  <c r="O69" i="3"/>
  <c r="O129" i="3"/>
  <c r="O132" i="3"/>
  <c r="O130" i="3"/>
  <c r="O148" i="2"/>
  <c r="O145" i="2"/>
  <c r="O79" i="2"/>
  <c r="O114" i="3"/>
  <c r="O151" i="2"/>
  <c r="O14" i="2"/>
  <c r="O133" i="3"/>
  <c r="O138" i="2"/>
  <c r="O41" i="5"/>
  <c r="O116" i="3"/>
  <c r="O30" i="5"/>
  <c r="O12" i="4"/>
  <c r="O13" i="4" s="1"/>
  <c r="O16" i="5"/>
  <c r="O17" i="5" s="1"/>
  <c r="O9" i="8" s="1"/>
  <c r="O128" i="3"/>
  <c r="J44" i="5"/>
  <c r="J30" i="5"/>
  <c r="J128" i="3"/>
  <c r="J116" i="3"/>
  <c r="J114" i="3"/>
  <c r="J138" i="2"/>
  <c r="J41" i="5"/>
  <c r="J16" i="5"/>
  <c r="J17" i="5" s="1"/>
  <c r="J9" i="8" s="1"/>
  <c r="J120" i="3"/>
  <c r="J129" i="3"/>
  <c r="J115" i="3"/>
  <c r="J39" i="5"/>
  <c r="J133" i="3"/>
  <c r="J145" i="2"/>
  <c r="J135" i="2"/>
  <c r="J14" i="2"/>
  <c r="J122" i="3"/>
  <c r="J69" i="3"/>
  <c r="J132" i="3"/>
  <c r="J151" i="2"/>
  <c r="J46" i="5"/>
  <c r="J130" i="3"/>
  <c r="J148" i="2"/>
  <c r="J35" i="5"/>
  <c r="J12" i="4"/>
  <c r="J13" i="4" s="1"/>
  <c r="J79" i="2"/>
  <c r="I30" i="5"/>
  <c r="I116" i="3"/>
  <c r="I129" i="3"/>
  <c r="I114" i="3"/>
  <c r="I148" i="2"/>
  <c r="I41" i="5"/>
  <c r="I16" i="5"/>
  <c r="I17" i="5" s="1"/>
  <c r="I9" i="8" s="1"/>
  <c r="I130" i="3"/>
  <c r="I128" i="3"/>
  <c r="I145" i="2"/>
  <c r="I138" i="2"/>
  <c r="I39" i="5"/>
  <c r="I120" i="3"/>
  <c r="I133" i="3"/>
  <c r="I12" i="4"/>
  <c r="I13" i="4" s="1"/>
  <c r="I135" i="2"/>
  <c r="I35" i="5"/>
  <c r="I115" i="3"/>
  <c r="I14" i="2"/>
  <c r="I46" i="5"/>
  <c r="I122" i="3"/>
  <c r="I79" i="2"/>
  <c r="I44" i="5"/>
  <c r="I69" i="3"/>
  <c r="I132" i="3"/>
  <c r="I151" i="2"/>
  <c r="H20" i="4"/>
  <c r="H21" i="4" s="1"/>
  <c r="H48" i="5"/>
  <c r="H47" i="5"/>
  <c r="I74" i="3"/>
  <c r="I48" i="5"/>
  <c r="I47" i="5"/>
  <c r="J74" i="3"/>
  <c r="J48" i="5"/>
  <c r="J47" i="5"/>
  <c r="R74" i="3"/>
  <c r="R48" i="5"/>
  <c r="R47" i="5"/>
  <c r="K74" i="3"/>
  <c r="K48" i="5"/>
  <c r="K47" i="5"/>
  <c r="O153" i="2"/>
  <c r="O48" i="5"/>
  <c r="O47" i="5"/>
  <c r="Q20" i="4"/>
  <c r="Q21" i="4" s="1"/>
  <c r="Q48" i="5"/>
  <c r="Q47" i="5"/>
  <c r="N150" i="2"/>
  <c r="N48" i="5"/>
  <c r="N47" i="5"/>
  <c r="P118" i="3"/>
  <c r="P48" i="5"/>
  <c r="P47" i="5"/>
  <c r="H135" i="3"/>
  <c r="H134" i="3"/>
  <c r="H35" i="4"/>
  <c r="H37" i="4" s="1"/>
  <c r="H39" i="4" s="1"/>
  <c r="H125" i="3"/>
  <c r="H65" i="2"/>
  <c r="R134" i="3"/>
  <c r="P150" i="2"/>
  <c r="K147" i="2"/>
  <c r="P74" i="3"/>
  <c r="K118" i="3"/>
  <c r="P137" i="2"/>
  <c r="P20" i="4"/>
  <c r="P21" i="4" s="1"/>
  <c r="P147" i="2"/>
  <c r="P153" i="2"/>
  <c r="O150" i="2"/>
  <c r="N20" i="4"/>
  <c r="N21" i="4" s="1"/>
  <c r="K153" i="2"/>
  <c r="J20" i="4"/>
  <c r="J21" i="4" s="1"/>
  <c r="K150" i="2"/>
  <c r="J137" i="2"/>
  <c r="K20" i="4"/>
  <c r="K21" i="4" s="1"/>
  <c r="R118" i="3"/>
  <c r="R147" i="2"/>
  <c r="N153" i="2"/>
  <c r="O118" i="3"/>
  <c r="R137" i="2"/>
  <c r="K137" i="2"/>
  <c r="N74" i="3"/>
  <c r="O20" i="4"/>
  <c r="O21" i="4" s="1"/>
  <c r="O137" i="2"/>
  <c r="N137" i="2"/>
  <c r="O147" i="2"/>
  <c r="N147" i="2"/>
  <c r="N118" i="3"/>
  <c r="O74" i="3"/>
  <c r="Q153" i="2"/>
  <c r="R20" i="4"/>
  <c r="R21" i="4" s="1"/>
  <c r="R150" i="2"/>
  <c r="J147" i="2"/>
  <c r="H147" i="2"/>
  <c r="I20" i="4"/>
  <c r="I21" i="4" s="1"/>
  <c r="I147" i="2"/>
  <c r="J153" i="2"/>
  <c r="Q74" i="3"/>
  <c r="J118" i="3"/>
  <c r="Q147" i="2"/>
  <c r="R153" i="2"/>
  <c r="J150" i="2"/>
  <c r="E74" i="7"/>
  <c r="I150" i="2"/>
  <c r="H153" i="2"/>
  <c r="H118" i="3"/>
  <c r="I137" i="2"/>
  <c r="Q137" i="2"/>
  <c r="H137" i="2"/>
  <c r="I118" i="3"/>
  <c r="Q118" i="3"/>
  <c r="H74" i="3"/>
  <c r="I153" i="2"/>
  <c r="Q150" i="2"/>
  <c r="H150" i="2"/>
  <c r="G39" i="4"/>
  <c r="I47" i="3"/>
  <c r="I54" i="3"/>
  <c r="K47" i="3"/>
  <c r="K54" i="3"/>
  <c r="R47" i="3"/>
  <c r="R54" i="3"/>
  <c r="O47" i="3"/>
  <c r="O54" i="3"/>
  <c r="Q47" i="3"/>
  <c r="Q54" i="3"/>
  <c r="J47" i="3"/>
  <c r="J54" i="3"/>
  <c r="H47" i="3"/>
  <c r="H54" i="3"/>
  <c r="P47" i="3"/>
  <c r="P54" i="3"/>
  <c r="N47" i="3"/>
  <c r="N54" i="3"/>
  <c r="E73" i="7"/>
  <c r="U93" i="2"/>
  <c r="G94" i="2"/>
  <c r="D28" i="6"/>
  <c r="D27" i="7"/>
  <c r="R33" i="5" l="1"/>
  <c r="O65" i="2"/>
  <c r="O134" i="3"/>
  <c r="N125" i="3"/>
  <c r="O125" i="3"/>
  <c r="K35" i="4"/>
  <c r="K37" i="4" s="1"/>
  <c r="K39" i="4" s="1"/>
  <c r="J117" i="3"/>
  <c r="L135" i="3"/>
  <c r="J43" i="3"/>
  <c r="J44" i="3" s="1"/>
  <c r="O33" i="5"/>
  <c r="O35" i="4"/>
  <c r="O37" i="4" s="1"/>
  <c r="O39" i="4" s="1"/>
  <c r="Q152" i="2"/>
  <c r="P126" i="3"/>
  <c r="O139" i="2"/>
  <c r="R65" i="2"/>
  <c r="R125" i="3"/>
  <c r="J149" i="2"/>
  <c r="R135" i="3"/>
  <c r="K134" i="3"/>
  <c r="I35" i="4"/>
  <c r="I37" i="4" s="1"/>
  <c r="I39" i="4" s="1"/>
  <c r="O16" i="4"/>
  <c r="O17" i="4" s="1"/>
  <c r="N85" i="6" s="1"/>
  <c r="L65" i="2"/>
  <c r="I134" i="3"/>
  <c r="L140" i="2"/>
  <c r="Q125" i="3"/>
  <c r="I135" i="3"/>
  <c r="P35" i="4"/>
  <c r="P37" i="4" s="1"/>
  <c r="P39" i="4" s="1"/>
  <c r="Q126" i="3"/>
  <c r="K85" i="6"/>
  <c r="Q117" i="3"/>
  <c r="Q43" i="3"/>
  <c r="Q44" i="3" s="1"/>
  <c r="L152" i="2"/>
  <c r="Q134" i="3"/>
  <c r="N134" i="3"/>
  <c r="N65" i="2"/>
  <c r="N33" i="5"/>
  <c r="O80" i="2"/>
  <c r="Q80" i="2"/>
  <c r="L15" i="2"/>
  <c r="J135" i="3"/>
  <c r="P135" i="3"/>
  <c r="I125" i="3"/>
  <c r="I33" i="5"/>
  <c r="P33" i="5"/>
  <c r="N16" i="4"/>
  <c r="N17" i="4" s="1"/>
  <c r="M85" i="6" s="1"/>
  <c r="O142" i="2"/>
  <c r="O152" i="2"/>
  <c r="Q15" i="2"/>
  <c r="Q142" i="2"/>
  <c r="L136" i="2"/>
  <c r="L126" i="3"/>
  <c r="L35" i="4"/>
  <c r="L37" i="4" s="1"/>
  <c r="L39" i="4" s="1"/>
  <c r="P65" i="2"/>
  <c r="P134" i="3"/>
  <c r="O15" i="2"/>
  <c r="O43" i="3"/>
  <c r="O44" i="3" s="1"/>
  <c r="Q136" i="2"/>
  <c r="Q139" i="2"/>
  <c r="L80" i="2"/>
  <c r="L149" i="2"/>
  <c r="L134" i="3"/>
  <c r="K65" i="2"/>
  <c r="K125" i="3"/>
  <c r="K135" i="3"/>
  <c r="P139" i="2"/>
  <c r="K152" i="2"/>
  <c r="J16" i="4"/>
  <c r="J17" i="4" s="1"/>
  <c r="I85" i="6" s="1"/>
  <c r="R139" i="2"/>
  <c r="E86" i="7"/>
  <c r="E81" i="7"/>
  <c r="N35" i="4"/>
  <c r="N37" i="4" s="1"/>
  <c r="N39" i="4" s="1"/>
  <c r="Q65" i="2"/>
  <c r="P136" i="2"/>
  <c r="H146" i="2"/>
  <c r="K43" i="3"/>
  <c r="K44" i="3" s="1"/>
  <c r="J80" i="2"/>
  <c r="J15" i="2"/>
  <c r="J126" i="3"/>
  <c r="R126" i="3"/>
  <c r="J139" i="2"/>
  <c r="J152" i="2"/>
  <c r="Q35" i="4"/>
  <c r="Q37" i="4" s="1"/>
  <c r="Q39" i="4" s="1"/>
  <c r="R117" i="3"/>
  <c r="K142" i="2"/>
  <c r="J146" i="2"/>
  <c r="J136" i="2"/>
  <c r="R136" i="2"/>
  <c r="J35" i="4"/>
  <c r="J37" i="4" s="1"/>
  <c r="J39" i="4" s="1"/>
  <c r="N126" i="3"/>
  <c r="J134" i="3"/>
  <c r="J33" i="5"/>
  <c r="Q135" i="3"/>
  <c r="N142" i="2"/>
  <c r="O146" i="2"/>
  <c r="O136" i="2"/>
  <c r="Q16" i="4"/>
  <c r="Q17" i="4" s="1"/>
  <c r="Q31" i="4" s="1"/>
  <c r="Q146" i="2"/>
  <c r="L146" i="2"/>
  <c r="L43" i="3"/>
  <c r="L44" i="3" s="1"/>
  <c r="M31" i="4"/>
  <c r="J125" i="3"/>
  <c r="N117" i="3"/>
  <c r="P152" i="2"/>
  <c r="P142" i="2"/>
  <c r="P146" i="2"/>
  <c r="K15" i="2"/>
  <c r="K80" i="2"/>
  <c r="R146" i="2"/>
  <c r="R16" i="4"/>
  <c r="R17" i="4" s="1"/>
  <c r="Q85" i="6" s="1"/>
  <c r="P149" i="2"/>
  <c r="P43" i="3"/>
  <c r="P44" i="3" s="1"/>
  <c r="P16" i="4"/>
  <c r="P17" i="4" s="1"/>
  <c r="P31" i="4" s="1"/>
  <c r="K16" i="4"/>
  <c r="K17" i="4" s="1"/>
  <c r="J85" i="6" s="1"/>
  <c r="K136" i="2"/>
  <c r="K139" i="2"/>
  <c r="G43" i="3"/>
  <c r="G44" i="3" s="1"/>
  <c r="I16" i="4"/>
  <c r="I17" i="4" s="1"/>
  <c r="H85" i="6" s="1"/>
  <c r="R152" i="2"/>
  <c r="R80" i="2"/>
  <c r="R15" i="2"/>
  <c r="K117" i="3"/>
  <c r="P15" i="2"/>
  <c r="P80" i="2"/>
  <c r="K126" i="3"/>
  <c r="K146" i="2"/>
  <c r="R43" i="3"/>
  <c r="R44" i="3" s="1"/>
  <c r="R149" i="2"/>
  <c r="H16" i="4"/>
  <c r="H17" i="4" s="1"/>
  <c r="H31" i="4" s="1"/>
  <c r="H42" i="4" s="1"/>
  <c r="G84" i="6" s="1"/>
  <c r="G80" i="2"/>
  <c r="I149" i="2"/>
  <c r="N139" i="2"/>
  <c r="G146" i="2"/>
  <c r="H126" i="3"/>
  <c r="N43" i="3"/>
  <c r="N44" i="3" s="1"/>
  <c r="G117" i="3"/>
  <c r="I142" i="2"/>
  <c r="H15" i="2"/>
  <c r="H43" i="3"/>
  <c r="H44" i="3" s="1"/>
  <c r="H136" i="2"/>
  <c r="G16" i="4"/>
  <c r="G17" i="4" s="1"/>
  <c r="G152" i="2"/>
  <c r="G142" i="2"/>
  <c r="I136" i="2"/>
  <c r="I139" i="2"/>
  <c r="I126" i="3"/>
  <c r="H142" i="2"/>
  <c r="H80" i="2"/>
  <c r="H152" i="2"/>
  <c r="N80" i="2"/>
  <c r="N149" i="2"/>
  <c r="N15" i="2"/>
  <c r="G139" i="2"/>
  <c r="G136" i="2"/>
  <c r="G149" i="2"/>
  <c r="I152" i="2"/>
  <c r="I146" i="2"/>
  <c r="I117" i="3"/>
  <c r="H139" i="2"/>
  <c r="H149" i="2"/>
  <c r="N146" i="2"/>
  <c r="N136" i="2"/>
  <c r="E88" i="7"/>
  <c r="G15" i="2"/>
  <c r="O126" i="3"/>
  <c r="O117" i="3"/>
  <c r="I80" i="2"/>
  <c r="I43" i="3"/>
  <c r="I44" i="3" s="1"/>
  <c r="G76" i="3"/>
  <c r="L142" i="2"/>
  <c r="L139" i="2"/>
  <c r="L117" i="3"/>
  <c r="M42" i="4"/>
  <c r="L84" i="6" s="1"/>
  <c r="U94" i="2"/>
  <c r="L31" i="4"/>
  <c r="L85" i="6"/>
  <c r="M76" i="3"/>
  <c r="L76" i="3"/>
  <c r="K71" i="6"/>
  <c r="L71" i="6"/>
  <c r="Q76" i="3"/>
  <c r="H76" i="3"/>
  <c r="P76" i="3"/>
  <c r="R76" i="3"/>
  <c r="U145" i="2"/>
  <c r="T129" i="3"/>
  <c r="T128" i="3"/>
  <c r="U135" i="2"/>
  <c r="J76" i="3"/>
  <c r="T116" i="3"/>
  <c r="T122" i="3"/>
  <c r="T120" i="3"/>
  <c r="T30" i="5"/>
  <c r="T114" i="3"/>
  <c r="U79" i="2"/>
  <c r="T130" i="3"/>
  <c r="U151" i="2"/>
  <c r="T39" i="5"/>
  <c r="T115" i="3"/>
  <c r="U14" i="2"/>
  <c r="T41" i="5"/>
  <c r="T133" i="3"/>
  <c r="T46" i="5"/>
  <c r="T44" i="5"/>
  <c r="U138" i="2"/>
  <c r="U148" i="2"/>
  <c r="T132" i="3"/>
  <c r="T35" i="5"/>
  <c r="T69" i="3"/>
  <c r="N76" i="3"/>
  <c r="K76" i="3"/>
  <c r="T12" i="4"/>
  <c r="G9" i="8"/>
  <c r="T9" i="8" s="1"/>
  <c r="T17" i="5"/>
  <c r="O76" i="3"/>
  <c r="I76" i="3"/>
  <c r="T131" i="3"/>
  <c r="T13" i="4"/>
  <c r="T16" i="5"/>
  <c r="T48" i="5"/>
  <c r="T47" i="5"/>
  <c r="U147" i="2"/>
  <c r="T20" i="4"/>
  <c r="T118" i="3"/>
  <c r="U153" i="2"/>
  <c r="T21" i="4"/>
  <c r="U150" i="2"/>
  <c r="U137" i="2"/>
  <c r="T74" i="3"/>
  <c r="T47" i="3"/>
  <c r="M71" i="6"/>
  <c r="G71" i="6"/>
  <c r="N71" i="6"/>
  <c r="J71" i="6"/>
  <c r="O71" i="6"/>
  <c r="I71" i="6"/>
  <c r="P71" i="6"/>
  <c r="Q71" i="6"/>
  <c r="H71" i="6"/>
  <c r="T54" i="3"/>
  <c r="D29" i="6"/>
  <c r="D28" i="7"/>
  <c r="O31" i="4" l="1"/>
  <c r="O42" i="4" s="1"/>
  <c r="N84" i="6" s="1"/>
  <c r="N31" i="4"/>
  <c r="N42" i="4" s="1"/>
  <c r="M84" i="6" s="1"/>
  <c r="P42" i="4"/>
  <c r="O84" i="6" s="1"/>
  <c r="P85" i="6"/>
  <c r="I31" i="4"/>
  <c r="I42" i="4" s="1"/>
  <c r="H84" i="6" s="1"/>
  <c r="T134" i="3"/>
  <c r="O85" i="6"/>
  <c r="T33" i="5"/>
  <c r="L42" i="4"/>
  <c r="K84" i="6" s="1"/>
  <c r="U146" i="2"/>
  <c r="R31" i="4"/>
  <c r="R42" i="4" s="1"/>
  <c r="Q84" i="6" s="1"/>
  <c r="T35" i="4"/>
  <c r="G85" i="6"/>
  <c r="Q42" i="4"/>
  <c r="P84" i="6" s="1"/>
  <c r="T39" i="4"/>
  <c r="U65" i="2"/>
  <c r="T135" i="3"/>
  <c r="T117" i="3"/>
  <c r="J31" i="4"/>
  <c r="J42" i="4" s="1"/>
  <c r="I84" i="6" s="1"/>
  <c r="T125" i="3"/>
  <c r="T37" i="4"/>
  <c r="T16" i="4"/>
  <c r="U142" i="2"/>
  <c r="U149" i="2"/>
  <c r="U136" i="2"/>
  <c r="K31" i="4"/>
  <c r="K42" i="4" s="1"/>
  <c r="J84" i="6" s="1"/>
  <c r="T126" i="3"/>
  <c r="U15" i="2"/>
  <c r="U80" i="2"/>
  <c r="T44" i="3"/>
  <c r="U139" i="2"/>
  <c r="U152" i="2"/>
  <c r="T43" i="3"/>
  <c r="T76" i="3"/>
  <c r="T17" i="4"/>
  <c r="G31" i="4"/>
  <c r="G42" i="4" s="1"/>
  <c r="F85" i="6"/>
  <c r="E71" i="6"/>
  <c r="D30" i="6"/>
  <c r="D29" i="7"/>
  <c r="E85" i="6" l="1"/>
  <c r="H85" i="7" s="1"/>
  <c r="T42" i="4"/>
  <c r="H71" i="7"/>
  <c r="I56" i="3" s="1"/>
  <c r="L71" i="7"/>
  <c r="K71" i="7"/>
  <c r="F84" i="6"/>
  <c r="E84" i="6" s="1"/>
  <c r="T31" i="4"/>
  <c r="O71" i="7"/>
  <c r="F71" i="7"/>
  <c r="G56" i="3" s="1"/>
  <c r="I71" i="7"/>
  <c r="J56" i="3" s="1"/>
  <c r="N71" i="7"/>
  <c r="G71" i="7"/>
  <c r="H56" i="3" s="1"/>
  <c r="P71" i="7"/>
  <c r="Q56" i="3" s="1"/>
  <c r="Q71" i="7"/>
  <c r="R56" i="3" s="1"/>
  <c r="J71" i="7"/>
  <c r="K56" i="3" s="1"/>
  <c r="M71" i="7"/>
  <c r="N56" i="3" s="1"/>
  <c r="D31" i="6"/>
  <c r="D30" i="7"/>
  <c r="O85" i="7" l="1"/>
  <c r="P67" i="2" s="1"/>
  <c r="K85" i="7"/>
  <c r="L66" i="2" s="1"/>
  <c r="I85" i="7"/>
  <c r="J67" i="2" s="1"/>
  <c r="P85" i="7"/>
  <c r="Q66" i="2" s="1"/>
  <c r="Q85" i="7"/>
  <c r="R67" i="2" s="1"/>
  <c r="L85" i="7"/>
  <c r="M67" i="2" s="1"/>
  <c r="N85" i="7"/>
  <c r="O67" i="2" s="1"/>
  <c r="J85" i="7"/>
  <c r="K67" i="2" s="1"/>
  <c r="F85" i="7"/>
  <c r="G66" i="2" s="1"/>
  <c r="G85" i="7"/>
  <c r="H67" i="2" s="1"/>
  <c r="M85" i="7"/>
  <c r="N67" i="2" s="1"/>
  <c r="L55" i="3"/>
  <c r="L56" i="3"/>
  <c r="M55" i="3"/>
  <c r="M56" i="3"/>
  <c r="I55" i="3"/>
  <c r="I57" i="3" s="1"/>
  <c r="H89" i="6" s="1"/>
  <c r="F84" i="7"/>
  <c r="G144" i="2" s="1"/>
  <c r="L84" i="7"/>
  <c r="K84" i="7"/>
  <c r="G84" i="7"/>
  <c r="H144" i="2" s="1"/>
  <c r="N84" i="7"/>
  <c r="O144" i="2" s="1"/>
  <c r="O84" i="7"/>
  <c r="P144" i="2" s="1"/>
  <c r="Q84" i="7"/>
  <c r="R144" i="2" s="1"/>
  <c r="P84" i="7"/>
  <c r="Q144" i="2" s="1"/>
  <c r="J84" i="7"/>
  <c r="K144" i="2" s="1"/>
  <c r="M84" i="7"/>
  <c r="N144" i="2" s="1"/>
  <c r="I84" i="7"/>
  <c r="J141" i="3" s="1"/>
  <c r="H84" i="7"/>
  <c r="I144" i="2" s="1"/>
  <c r="O56" i="3"/>
  <c r="I66" i="2"/>
  <c r="I67" i="2"/>
  <c r="P55" i="3"/>
  <c r="P56" i="3"/>
  <c r="K55" i="3"/>
  <c r="K57" i="3" s="1"/>
  <c r="O55" i="3"/>
  <c r="R55" i="3"/>
  <c r="R57" i="3" s="1"/>
  <c r="J55" i="3"/>
  <c r="J57" i="3" s="1"/>
  <c r="I89" i="6" s="1"/>
  <c r="Q55" i="3"/>
  <c r="Q57" i="3" s="1"/>
  <c r="G55" i="3"/>
  <c r="N55" i="3"/>
  <c r="N57" i="3" s="1"/>
  <c r="E71" i="7"/>
  <c r="H55" i="3"/>
  <c r="H57" i="3" s="1"/>
  <c r="D32" i="6"/>
  <c r="D31" i="7"/>
  <c r="P66" i="2" l="1"/>
  <c r="R66" i="2"/>
  <c r="L67" i="2"/>
  <c r="L68" i="2"/>
  <c r="G67" i="2"/>
  <c r="J66" i="2"/>
  <c r="M66" i="2"/>
  <c r="H66" i="2"/>
  <c r="K66" i="2"/>
  <c r="M68" i="2"/>
  <c r="E85" i="7"/>
  <c r="Q67" i="2"/>
  <c r="O66" i="2"/>
  <c r="N66" i="2"/>
  <c r="M57" i="3"/>
  <c r="L68" i="6" s="1"/>
  <c r="L84" i="3"/>
  <c r="L141" i="3"/>
  <c r="L146" i="3" s="1"/>
  <c r="L15" i="8" s="1"/>
  <c r="L85" i="3"/>
  <c r="M84" i="3"/>
  <c r="M141" i="3"/>
  <c r="M146" i="3" s="1"/>
  <c r="M15" i="8" s="1"/>
  <c r="M85" i="3"/>
  <c r="L57" i="3"/>
  <c r="G62" i="2"/>
  <c r="G70" i="2"/>
  <c r="G61" i="2"/>
  <c r="G141" i="3"/>
  <c r="G84" i="3"/>
  <c r="G64" i="2"/>
  <c r="G69" i="2"/>
  <c r="M144" i="2"/>
  <c r="M71" i="2"/>
  <c r="M69" i="2"/>
  <c r="M63" i="2"/>
  <c r="M61" i="2"/>
  <c r="M70" i="2"/>
  <c r="M62" i="2"/>
  <c r="M64" i="2"/>
  <c r="G63" i="2"/>
  <c r="G71" i="2"/>
  <c r="G85" i="3"/>
  <c r="L70" i="2"/>
  <c r="L64" i="2"/>
  <c r="L62" i="2"/>
  <c r="L144" i="2"/>
  <c r="L69" i="2"/>
  <c r="L61" i="2"/>
  <c r="L71" i="2"/>
  <c r="L63" i="2"/>
  <c r="H62" i="2"/>
  <c r="H64" i="2"/>
  <c r="H71" i="2"/>
  <c r="H84" i="3"/>
  <c r="H69" i="2"/>
  <c r="O85" i="3"/>
  <c r="H61" i="2"/>
  <c r="H85" i="3"/>
  <c r="H63" i="2"/>
  <c r="O70" i="2"/>
  <c r="O84" i="3"/>
  <c r="J71" i="2"/>
  <c r="J61" i="2"/>
  <c r="Q63" i="2"/>
  <c r="H70" i="2"/>
  <c r="O61" i="2"/>
  <c r="P63" i="2"/>
  <c r="P69" i="2"/>
  <c r="Q62" i="2"/>
  <c r="K70" i="2"/>
  <c r="P61" i="2"/>
  <c r="I71" i="2"/>
  <c r="Q71" i="2"/>
  <c r="Q84" i="3"/>
  <c r="O71" i="2"/>
  <c r="O62" i="2"/>
  <c r="I84" i="3"/>
  <c r="Q61" i="2"/>
  <c r="O64" i="2"/>
  <c r="J69" i="2"/>
  <c r="H141" i="3"/>
  <c r="O141" i="3"/>
  <c r="I70" i="2"/>
  <c r="T56" i="3"/>
  <c r="O63" i="2"/>
  <c r="O69" i="2"/>
  <c r="Q141" i="3"/>
  <c r="R84" i="3"/>
  <c r="J64" i="2"/>
  <c r="J85" i="3"/>
  <c r="J84" i="3"/>
  <c r="R69" i="2"/>
  <c r="R141" i="3"/>
  <c r="R85" i="3"/>
  <c r="J63" i="2"/>
  <c r="R63" i="2"/>
  <c r="J144" i="2"/>
  <c r="R64" i="2"/>
  <c r="R71" i="2"/>
  <c r="R62" i="2"/>
  <c r="J62" i="2"/>
  <c r="R61" i="2"/>
  <c r="J70" i="2"/>
  <c r="R70" i="2"/>
  <c r="N69" i="2"/>
  <c r="I63" i="2"/>
  <c r="N85" i="3"/>
  <c r="Q69" i="2"/>
  <c r="P141" i="3"/>
  <c r="Q70" i="2"/>
  <c r="P84" i="3"/>
  <c r="P85" i="3"/>
  <c r="P62" i="2"/>
  <c r="K62" i="2"/>
  <c r="P64" i="2"/>
  <c r="I61" i="2"/>
  <c r="Q85" i="3"/>
  <c r="Q64" i="2"/>
  <c r="P71" i="2"/>
  <c r="P70" i="2"/>
  <c r="K84" i="3"/>
  <c r="K61" i="2"/>
  <c r="K69" i="2"/>
  <c r="N84" i="3"/>
  <c r="N141" i="3"/>
  <c r="K141" i="3"/>
  <c r="N71" i="2"/>
  <c r="K71" i="2"/>
  <c r="K64" i="2"/>
  <c r="I85" i="3"/>
  <c r="I69" i="2"/>
  <c r="N62" i="2"/>
  <c r="N61" i="2"/>
  <c r="N70" i="2"/>
  <c r="K85" i="3"/>
  <c r="N64" i="2"/>
  <c r="E84" i="7"/>
  <c r="K63" i="2"/>
  <c r="I62" i="2"/>
  <c r="I64" i="2"/>
  <c r="N63" i="2"/>
  <c r="I141" i="3"/>
  <c r="O57" i="3"/>
  <c r="N89" i="6" s="1"/>
  <c r="M89" i="6"/>
  <c r="P89" i="6"/>
  <c r="Q89" i="6"/>
  <c r="J89" i="6"/>
  <c r="G89" i="6"/>
  <c r="G68" i="6"/>
  <c r="I68" i="6"/>
  <c r="H68" i="6"/>
  <c r="M68" i="6"/>
  <c r="P68" i="6"/>
  <c r="Q68" i="6"/>
  <c r="J68" i="6"/>
  <c r="P57" i="3"/>
  <c r="O89" i="6" s="1"/>
  <c r="G57" i="3"/>
  <c r="T55" i="3"/>
  <c r="D33" i="6"/>
  <c r="D32" i="7"/>
  <c r="U67" i="2" l="1"/>
  <c r="U66" i="2"/>
  <c r="K68" i="6"/>
  <c r="U144" i="2"/>
  <c r="L72" i="2"/>
  <c r="M72" i="2"/>
  <c r="T141" i="3"/>
  <c r="U63" i="2"/>
  <c r="U71" i="2"/>
  <c r="U70" i="2"/>
  <c r="U64" i="2"/>
  <c r="U69" i="2"/>
  <c r="T85" i="3"/>
  <c r="U62" i="2"/>
  <c r="U61" i="2"/>
  <c r="T84" i="3"/>
  <c r="N68" i="6"/>
  <c r="F89" i="6"/>
  <c r="O68" i="6"/>
  <c r="F68" i="6"/>
  <c r="T57" i="3"/>
  <c r="D34" i="6"/>
  <c r="D33" i="7"/>
  <c r="K76" i="6" l="1"/>
  <c r="K80" i="6"/>
  <c r="L76" i="6"/>
  <c r="L80" i="6"/>
  <c r="E68" i="6"/>
  <c r="E89" i="6"/>
  <c r="D35" i="6"/>
  <c r="D34" i="7"/>
  <c r="F89" i="7" l="1"/>
  <c r="L89" i="7"/>
  <c r="K89" i="7"/>
  <c r="F68" i="7"/>
  <c r="G79" i="3" s="1"/>
  <c r="L68" i="7"/>
  <c r="K68" i="7"/>
  <c r="M68" i="7"/>
  <c r="N68" i="7"/>
  <c r="I68" i="7"/>
  <c r="J80" i="3" s="1"/>
  <c r="G68" i="7"/>
  <c r="H88" i="3" s="1"/>
  <c r="J68" i="7"/>
  <c r="K79" i="3" s="1"/>
  <c r="Q68" i="7"/>
  <c r="O68" i="7"/>
  <c r="P68" i="7"/>
  <c r="Q82" i="3" s="1"/>
  <c r="H68" i="7"/>
  <c r="I81" i="3" s="1"/>
  <c r="G86" i="3"/>
  <c r="Q89" i="7"/>
  <c r="M89" i="7"/>
  <c r="G89" i="7"/>
  <c r="P89" i="7"/>
  <c r="J89" i="7"/>
  <c r="O89" i="7"/>
  <c r="I89" i="7"/>
  <c r="N89" i="7"/>
  <c r="H89" i="7"/>
  <c r="G68" i="2"/>
  <c r="G72" i="2" s="1"/>
  <c r="F76" i="6" s="1"/>
  <c r="K68" i="2"/>
  <c r="K72" i="2" s="1"/>
  <c r="J76" i="6" s="1"/>
  <c r="P68" i="2"/>
  <c r="P72" i="2" s="1"/>
  <c r="O76" i="6" s="1"/>
  <c r="Q68" i="2"/>
  <c r="Q72" i="2" s="1"/>
  <c r="P76" i="6" s="1"/>
  <c r="I68" i="2"/>
  <c r="I72" i="2" s="1"/>
  <c r="H76" i="6" s="1"/>
  <c r="R68" i="2"/>
  <c r="R72" i="2" s="1"/>
  <c r="Q76" i="6" s="1"/>
  <c r="H68" i="2"/>
  <c r="H72" i="2" s="1"/>
  <c r="G76" i="6" s="1"/>
  <c r="O68" i="2"/>
  <c r="O72" i="2" s="1"/>
  <c r="N76" i="6" s="1"/>
  <c r="N68" i="2"/>
  <c r="N72" i="2" s="1"/>
  <c r="M76" i="6" s="1"/>
  <c r="J68" i="2"/>
  <c r="J72" i="2" s="1"/>
  <c r="I76" i="6" s="1"/>
  <c r="D36" i="6"/>
  <c r="D35" i="7"/>
  <c r="Q81" i="3" l="1"/>
  <c r="L88" i="3"/>
  <c r="L82" i="3"/>
  <c r="L80" i="3"/>
  <c r="L87" i="3"/>
  <c r="L81" i="3"/>
  <c r="L79" i="3"/>
  <c r="M88" i="3"/>
  <c r="M82" i="3"/>
  <c r="M80" i="3"/>
  <c r="M87" i="3"/>
  <c r="M79" i="3"/>
  <c r="M81" i="3"/>
  <c r="G88" i="3"/>
  <c r="G81" i="3"/>
  <c r="G80" i="3"/>
  <c r="G87" i="3"/>
  <c r="G82" i="3"/>
  <c r="P81" i="3"/>
  <c r="O81" i="3"/>
  <c r="N88" i="3"/>
  <c r="N87" i="3"/>
  <c r="J86" i="3"/>
  <c r="H86" i="3"/>
  <c r="P86" i="3"/>
  <c r="N86" i="3"/>
  <c r="I86" i="3"/>
  <c r="K86" i="3"/>
  <c r="R86" i="3"/>
  <c r="O86" i="3"/>
  <c r="Q86" i="3"/>
  <c r="N81" i="3"/>
  <c r="N79" i="3"/>
  <c r="N82" i="3"/>
  <c r="J79" i="3"/>
  <c r="Q80" i="3"/>
  <c r="H87" i="3"/>
  <c r="O80" i="3"/>
  <c r="J88" i="3"/>
  <c r="J81" i="3"/>
  <c r="J87" i="3"/>
  <c r="J82" i="3"/>
  <c r="H82" i="3"/>
  <c r="O88" i="3"/>
  <c r="O82" i="3"/>
  <c r="O87" i="3"/>
  <c r="O79" i="3"/>
  <c r="N80" i="3"/>
  <c r="Q79" i="3"/>
  <c r="H79" i="3"/>
  <c r="H81" i="3"/>
  <c r="H80" i="3"/>
  <c r="P87" i="3"/>
  <c r="P88" i="3"/>
  <c r="E68" i="7"/>
  <c r="P82" i="3"/>
  <c r="R80" i="3"/>
  <c r="R87" i="3"/>
  <c r="R88" i="3"/>
  <c r="P79" i="3"/>
  <c r="R81" i="3"/>
  <c r="I80" i="3"/>
  <c r="I87" i="3"/>
  <c r="I88" i="3"/>
  <c r="K82" i="3"/>
  <c r="K87" i="3"/>
  <c r="K88" i="3"/>
  <c r="P80" i="3"/>
  <c r="K80" i="3"/>
  <c r="E76" i="6"/>
  <c r="Q87" i="3"/>
  <c r="Q88" i="3"/>
  <c r="R79" i="3"/>
  <c r="R82" i="3"/>
  <c r="K81" i="3"/>
  <c r="I82" i="3"/>
  <c r="I79" i="3"/>
  <c r="E89" i="7"/>
  <c r="M80" i="6"/>
  <c r="G80" i="6"/>
  <c r="H80" i="6"/>
  <c r="O80" i="6"/>
  <c r="F80" i="6"/>
  <c r="U72" i="2"/>
  <c r="I80" i="6"/>
  <c r="N80" i="6"/>
  <c r="Q80" i="6"/>
  <c r="P80" i="6"/>
  <c r="J80" i="6"/>
  <c r="U68" i="2"/>
  <c r="D37" i="6"/>
  <c r="D36" i="7"/>
  <c r="F76" i="7" l="1"/>
  <c r="G37" i="5" s="1"/>
  <c r="L76" i="7"/>
  <c r="M37" i="5" s="1"/>
  <c r="M50" i="5" s="1"/>
  <c r="K76" i="7"/>
  <c r="L37" i="5" s="1"/>
  <c r="L50" i="5" s="1"/>
  <c r="T86" i="3"/>
  <c r="G154" i="2"/>
  <c r="G140" i="2"/>
  <c r="T81" i="3"/>
  <c r="T88" i="3"/>
  <c r="T80" i="3"/>
  <c r="T87" i="3"/>
  <c r="T79" i="3"/>
  <c r="T82" i="3"/>
  <c r="N76" i="7"/>
  <c r="H76" i="7"/>
  <c r="Q76" i="7"/>
  <c r="M76" i="7"/>
  <c r="G76" i="7"/>
  <c r="P76" i="7"/>
  <c r="J76" i="7"/>
  <c r="O76" i="7"/>
  <c r="I76" i="7"/>
  <c r="E80" i="6"/>
  <c r="D38" i="6"/>
  <c r="D37" i="7"/>
  <c r="G121" i="2" l="1"/>
  <c r="G124" i="3"/>
  <c r="L51" i="5"/>
  <c r="L10" i="8"/>
  <c r="M51" i="5"/>
  <c r="M10" i="8"/>
  <c r="M119" i="3"/>
  <c r="M105" i="3"/>
  <c r="M106" i="3" s="1"/>
  <c r="M108" i="3" s="1"/>
  <c r="M124" i="3"/>
  <c r="L119" i="3"/>
  <c r="L124" i="3"/>
  <c r="L105" i="3"/>
  <c r="L106" i="3" s="1"/>
  <c r="L108" i="3" s="1"/>
  <c r="G105" i="3"/>
  <c r="G106" i="3" s="1"/>
  <c r="G16" i="2"/>
  <c r="G17" i="2" s="1"/>
  <c r="G119" i="3"/>
  <c r="G81" i="2"/>
  <c r="G82" i="2" s="1"/>
  <c r="L121" i="2"/>
  <c r="L81" i="2"/>
  <c r="L82" i="2" s="1"/>
  <c r="L154" i="2"/>
  <c r="L155" i="2" s="1"/>
  <c r="L33" i="8" s="1"/>
  <c r="L16" i="2"/>
  <c r="L17" i="2" s="1"/>
  <c r="L74" i="2" s="1"/>
  <c r="L28" i="8" s="1"/>
  <c r="M121" i="2"/>
  <c r="M154" i="2"/>
  <c r="M155" i="2" s="1"/>
  <c r="M33" i="8" s="1"/>
  <c r="M16" i="2"/>
  <c r="M17" i="2" s="1"/>
  <c r="M74" i="2" s="1"/>
  <c r="M28" i="8" s="1"/>
  <c r="M81" i="2"/>
  <c r="M82" i="2" s="1"/>
  <c r="F80" i="7"/>
  <c r="G122" i="2" s="1"/>
  <c r="G123" i="2" s="1"/>
  <c r="L80" i="7"/>
  <c r="K80" i="7"/>
  <c r="G155" i="2"/>
  <c r="G33" i="8" s="1"/>
  <c r="P154" i="2"/>
  <c r="P37" i="5"/>
  <c r="P50" i="5" s="1"/>
  <c r="Q154" i="2"/>
  <c r="Q37" i="5"/>
  <c r="Q50" i="5" s="1"/>
  <c r="N154" i="2"/>
  <c r="N37" i="5"/>
  <c r="N50" i="5" s="1"/>
  <c r="I154" i="2"/>
  <c r="I37" i="5"/>
  <c r="I50" i="5" s="1"/>
  <c r="J154" i="2"/>
  <c r="J37" i="5"/>
  <c r="J50" i="5" s="1"/>
  <c r="K154" i="2"/>
  <c r="K37" i="5"/>
  <c r="K50" i="5" s="1"/>
  <c r="H154" i="2"/>
  <c r="H37" i="5"/>
  <c r="H50" i="5" s="1"/>
  <c r="R154" i="2"/>
  <c r="R37" i="5"/>
  <c r="R50" i="5" s="1"/>
  <c r="O154" i="2"/>
  <c r="O37" i="5"/>
  <c r="O50" i="5" s="1"/>
  <c r="G50" i="5"/>
  <c r="J140" i="2"/>
  <c r="J16" i="2"/>
  <c r="J17" i="2" s="1"/>
  <c r="J74" i="2" s="1"/>
  <c r="H140" i="2"/>
  <c r="H16" i="2"/>
  <c r="H17" i="2" s="1"/>
  <c r="H74" i="2" s="1"/>
  <c r="O140" i="2"/>
  <c r="O16" i="2"/>
  <c r="O17" i="2" s="1"/>
  <c r="O74" i="2" s="1"/>
  <c r="P140" i="2"/>
  <c r="P16" i="2"/>
  <c r="P17" i="2" s="1"/>
  <c r="P74" i="2" s="1"/>
  <c r="N140" i="2"/>
  <c r="N16" i="2"/>
  <c r="N17" i="2" s="1"/>
  <c r="N74" i="2" s="1"/>
  <c r="K140" i="2"/>
  <c r="K16" i="2"/>
  <c r="K17" i="2" s="1"/>
  <c r="K74" i="2" s="1"/>
  <c r="R140" i="2"/>
  <c r="R16" i="2"/>
  <c r="G74" i="2"/>
  <c r="G28" i="8" s="1"/>
  <c r="Q140" i="2"/>
  <c r="Q16" i="2"/>
  <c r="Q17" i="2" s="1"/>
  <c r="Q74" i="2" s="1"/>
  <c r="I140" i="2"/>
  <c r="I16" i="2"/>
  <c r="I17" i="2" s="1"/>
  <c r="I74" i="2" s="1"/>
  <c r="P121" i="2"/>
  <c r="P81" i="2"/>
  <c r="P82" i="2" s="1"/>
  <c r="K121" i="2"/>
  <c r="K81" i="2"/>
  <c r="K82" i="2" s="1"/>
  <c r="R121" i="2"/>
  <c r="R81" i="2"/>
  <c r="R82" i="2" s="1"/>
  <c r="N121" i="2"/>
  <c r="N81" i="2"/>
  <c r="N82" i="2" s="1"/>
  <c r="Q121" i="2"/>
  <c r="Q81" i="2"/>
  <c r="Q82" i="2" s="1"/>
  <c r="I121" i="2"/>
  <c r="I81" i="2"/>
  <c r="I82" i="2" s="1"/>
  <c r="J121" i="2"/>
  <c r="J81" i="2"/>
  <c r="J82" i="2" s="1"/>
  <c r="H121" i="2"/>
  <c r="H81" i="2"/>
  <c r="H82" i="2" s="1"/>
  <c r="O121" i="2"/>
  <c r="O81" i="2"/>
  <c r="O82" i="2" s="1"/>
  <c r="P105" i="3"/>
  <c r="P106" i="3" s="1"/>
  <c r="P108" i="3" s="1"/>
  <c r="P119" i="3"/>
  <c r="P124" i="3"/>
  <c r="K105" i="3"/>
  <c r="K106" i="3" s="1"/>
  <c r="K108" i="3" s="1"/>
  <c r="K119" i="3"/>
  <c r="K124" i="3"/>
  <c r="R105" i="3"/>
  <c r="R106" i="3" s="1"/>
  <c r="R108" i="3" s="1"/>
  <c r="R119" i="3"/>
  <c r="R124" i="3"/>
  <c r="N105" i="3"/>
  <c r="N106" i="3" s="1"/>
  <c r="N108" i="3" s="1"/>
  <c r="N124" i="3"/>
  <c r="N119" i="3"/>
  <c r="Q105" i="3"/>
  <c r="Q106" i="3" s="1"/>
  <c r="Q108" i="3" s="1"/>
  <c r="Q124" i="3"/>
  <c r="Q119" i="3"/>
  <c r="I105" i="3"/>
  <c r="I106" i="3" s="1"/>
  <c r="I108" i="3" s="1"/>
  <c r="I119" i="3"/>
  <c r="I124" i="3"/>
  <c r="J105" i="3"/>
  <c r="J106" i="3" s="1"/>
  <c r="J108" i="3" s="1"/>
  <c r="J124" i="3"/>
  <c r="J119" i="3"/>
  <c r="H105" i="3"/>
  <c r="H106" i="3" s="1"/>
  <c r="H108" i="3" s="1"/>
  <c r="H124" i="3"/>
  <c r="H119" i="3"/>
  <c r="O105" i="3"/>
  <c r="O106" i="3" s="1"/>
  <c r="O108" i="3" s="1"/>
  <c r="O124" i="3"/>
  <c r="O119" i="3"/>
  <c r="E76" i="7"/>
  <c r="M80" i="7"/>
  <c r="P80" i="7"/>
  <c r="G80" i="7"/>
  <c r="Q80" i="7"/>
  <c r="N80" i="7"/>
  <c r="I80" i="7"/>
  <c r="H80" i="7"/>
  <c r="O80" i="7"/>
  <c r="J80" i="7"/>
  <c r="D39" i="6"/>
  <c r="D38" i="7"/>
  <c r="G137" i="3" l="1"/>
  <c r="G14" i="8" s="1"/>
  <c r="L137" i="3"/>
  <c r="L14" i="8" s="1"/>
  <c r="L55" i="8"/>
  <c r="L62" i="8"/>
  <c r="L63" i="8" s="1"/>
  <c r="L11" i="8"/>
  <c r="M11" i="8"/>
  <c r="M55" i="8"/>
  <c r="M62" i="8"/>
  <c r="M63" i="8" s="1"/>
  <c r="M122" i="2"/>
  <c r="M83" i="3"/>
  <c r="M89" i="3" s="1"/>
  <c r="M91" i="3" s="1"/>
  <c r="M111" i="3" s="1"/>
  <c r="M13" i="8" s="1"/>
  <c r="L122" i="2"/>
  <c r="L123" i="2" s="1"/>
  <c r="L125" i="2" s="1"/>
  <c r="L29" i="8" s="1"/>
  <c r="L30" i="8" s="1"/>
  <c r="L83" i="3"/>
  <c r="L89" i="3" s="1"/>
  <c r="L91" i="3" s="1"/>
  <c r="L111" i="3" s="1"/>
  <c r="M137" i="3"/>
  <c r="M14" i="8" s="1"/>
  <c r="G83" i="3"/>
  <c r="G89" i="3" s="1"/>
  <c r="G91" i="3" s="1"/>
  <c r="L75" i="6"/>
  <c r="K75" i="6"/>
  <c r="M123" i="2"/>
  <c r="M125" i="2" s="1"/>
  <c r="M29" i="8" s="1"/>
  <c r="M30" i="8" s="1"/>
  <c r="P155" i="2"/>
  <c r="P33" i="8" s="1"/>
  <c r="H155" i="2"/>
  <c r="H33" i="8" s="1"/>
  <c r="N155" i="2"/>
  <c r="N33" i="8" s="1"/>
  <c r="O155" i="2"/>
  <c r="O33" i="8" s="1"/>
  <c r="J155" i="2"/>
  <c r="J33" i="8" s="1"/>
  <c r="K155" i="2"/>
  <c r="K33" i="8" s="1"/>
  <c r="U154" i="2"/>
  <c r="I155" i="2"/>
  <c r="I33" i="8" s="1"/>
  <c r="R155" i="2"/>
  <c r="R33" i="8" s="1"/>
  <c r="Q155" i="2"/>
  <c r="Q33" i="8" s="1"/>
  <c r="J75" i="6"/>
  <c r="K28" i="8"/>
  <c r="M75" i="6"/>
  <c r="N28" i="8"/>
  <c r="O75" i="6"/>
  <c r="P28" i="8"/>
  <c r="N75" i="6"/>
  <c r="O28" i="8"/>
  <c r="G75" i="6"/>
  <c r="H28" i="8"/>
  <c r="I75" i="6"/>
  <c r="J28" i="8"/>
  <c r="T37" i="5"/>
  <c r="H75" i="6"/>
  <c r="I28" i="8"/>
  <c r="P75" i="6"/>
  <c r="Q28" i="8"/>
  <c r="G51" i="5"/>
  <c r="G10" i="8"/>
  <c r="T50" i="5"/>
  <c r="O51" i="5"/>
  <c r="O10" i="8"/>
  <c r="R51" i="5"/>
  <c r="R10" i="8"/>
  <c r="H51" i="5"/>
  <c r="H10" i="8"/>
  <c r="K10" i="8"/>
  <c r="K51" i="5"/>
  <c r="J51" i="5"/>
  <c r="J10" i="8"/>
  <c r="I10" i="8"/>
  <c r="I51" i="5"/>
  <c r="N51" i="5"/>
  <c r="N10" i="8"/>
  <c r="Q51" i="5"/>
  <c r="Q10" i="8"/>
  <c r="P51" i="5"/>
  <c r="P10" i="8"/>
  <c r="U140" i="2"/>
  <c r="F75" i="6"/>
  <c r="U16" i="2"/>
  <c r="R17" i="2"/>
  <c r="R74" i="2" s="1"/>
  <c r="H83" i="3"/>
  <c r="H89" i="3" s="1"/>
  <c r="H91" i="3" s="1"/>
  <c r="H111" i="3" s="1"/>
  <c r="H13" i="8" s="1"/>
  <c r="H122" i="2"/>
  <c r="H123" i="2" s="1"/>
  <c r="P83" i="3"/>
  <c r="P89" i="3" s="1"/>
  <c r="P91" i="3" s="1"/>
  <c r="P111" i="3" s="1"/>
  <c r="P13" i="8" s="1"/>
  <c r="P122" i="2"/>
  <c r="P123" i="2" s="1"/>
  <c r="P125" i="2" s="1"/>
  <c r="P29" i="8" s="1"/>
  <c r="R83" i="3"/>
  <c r="R89" i="3" s="1"/>
  <c r="R91" i="3" s="1"/>
  <c r="R111" i="3" s="1"/>
  <c r="R13" i="8" s="1"/>
  <c r="R122" i="2"/>
  <c r="R123" i="2" s="1"/>
  <c r="R125" i="2" s="1"/>
  <c r="R29" i="8" s="1"/>
  <c r="N83" i="3"/>
  <c r="N89" i="3" s="1"/>
  <c r="N91" i="3" s="1"/>
  <c r="N111" i="3" s="1"/>
  <c r="N13" i="8" s="1"/>
  <c r="N122" i="2"/>
  <c r="U81" i="2"/>
  <c r="I83" i="3"/>
  <c r="I89" i="3" s="1"/>
  <c r="I91" i="3" s="1"/>
  <c r="I111" i="3" s="1"/>
  <c r="I13" i="8" s="1"/>
  <c r="I122" i="2"/>
  <c r="U121" i="2"/>
  <c r="G125" i="2"/>
  <c r="G29" i="8" s="1"/>
  <c r="U82" i="2"/>
  <c r="J83" i="3"/>
  <c r="J89" i="3" s="1"/>
  <c r="J91" i="3" s="1"/>
  <c r="J111" i="3" s="1"/>
  <c r="J13" i="8" s="1"/>
  <c r="J122" i="2"/>
  <c r="J123" i="2" s="1"/>
  <c r="J125" i="2" s="1"/>
  <c r="J29" i="8" s="1"/>
  <c r="K83" i="3"/>
  <c r="K89" i="3" s="1"/>
  <c r="K91" i="3" s="1"/>
  <c r="K111" i="3" s="1"/>
  <c r="K13" i="8" s="1"/>
  <c r="K122" i="2"/>
  <c r="K123" i="2" s="1"/>
  <c r="K125" i="2" s="1"/>
  <c r="K29" i="8" s="1"/>
  <c r="O83" i="3"/>
  <c r="O89" i="3" s="1"/>
  <c r="O91" i="3" s="1"/>
  <c r="O111" i="3" s="1"/>
  <c r="O13" i="8" s="1"/>
  <c r="O122" i="2"/>
  <c r="O123" i="2" s="1"/>
  <c r="O125" i="2" s="1"/>
  <c r="O29" i="8" s="1"/>
  <c r="Q83" i="3"/>
  <c r="Q89" i="3" s="1"/>
  <c r="Q91" i="3" s="1"/>
  <c r="Q111" i="3" s="1"/>
  <c r="Q13" i="8" s="1"/>
  <c r="Q122" i="2"/>
  <c r="Q123" i="2" s="1"/>
  <c r="Q125" i="2" s="1"/>
  <c r="Q29" i="8" s="1"/>
  <c r="I123" i="2"/>
  <c r="I125" i="2" s="1"/>
  <c r="I29" i="8" s="1"/>
  <c r="N123" i="2"/>
  <c r="N125" i="2" s="1"/>
  <c r="N29" i="8" s="1"/>
  <c r="P137" i="3"/>
  <c r="P14" i="8" s="1"/>
  <c r="H137" i="3"/>
  <c r="H14" i="8" s="1"/>
  <c r="N137" i="3"/>
  <c r="N14" i="8" s="1"/>
  <c r="T105" i="3"/>
  <c r="T119" i="3"/>
  <c r="R137" i="3"/>
  <c r="R14" i="8" s="1"/>
  <c r="O137" i="3"/>
  <c r="O14" i="8" s="1"/>
  <c r="Q137" i="3"/>
  <c r="Q14" i="8" s="1"/>
  <c r="J137" i="3"/>
  <c r="J14" i="8" s="1"/>
  <c r="I137" i="3"/>
  <c r="I14" i="8" s="1"/>
  <c r="T124" i="3"/>
  <c r="K137" i="3"/>
  <c r="K14" i="8" s="1"/>
  <c r="T106" i="3"/>
  <c r="G108" i="3"/>
  <c r="T108" i="3" s="1"/>
  <c r="E80" i="7"/>
  <c r="D40" i="6"/>
  <c r="D39" i="7"/>
  <c r="M16" i="8" l="1"/>
  <c r="M18" i="8" s="1"/>
  <c r="L64" i="8"/>
  <c r="M64" i="8"/>
  <c r="L153" i="3"/>
  <c r="L13" i="8"/>
  <c r="L16" i="8" s="1"/>
  <c r="L18" i="8" s="1"/>
  <c r="M153" i="3"/>
  <c r="T14" i="8"/>
  <c r="T33" i="8"/>
  <c r="T10" i="8"/>
  <c r="Q55" i="8"/>
  <c r="Q62" i="8"/>
  <c r="R55" i="8"/>
  <c r="R62" i="8"/>
  <c r="I55" i="8"/>
  <c r="I62" i="8"/>
  <c r="K55" i="8"/>
  <c r="K62" i="8"/>
  <c r="G55" i="8"/>
  <c r="G62" i="8"/>
  <c r="P55" i="8"/>
  <c r="P62" i="8"/>
  <c r="N55" i="8"/>
  <c r="N62" i="8"/>
  <c r="J55" i="8"/>
  <c r="J62" i="8"/>
  <c r="H55" i="8"/>
  <c r="H62" i="8"/>
  <c r="O55" i="8"/>
  <c r="O62" i="8"/>
  <c r="U155" i="2"/>
  <c r="G30" i="8"/>
  <c r="P11" i="8"/>
  <c r="Q11" i="8"/>
  <c r="N11" i="8"/>
  <c r="J11" i="8"/>
  <c r="H11" i="8"/>
  <c r="R11" i="8"/>
  <c r="O11" i="8"/>
  <c r="I11" i="8"/>
  <c r="K11" i="8"/>
  <c r="G11" i="8"/>
  <c r="Q30" i="8"/>
  <c r="I30" i="8"/>
  <c r="Q75" i="6"/>
  <c r="E75" i="6" s="1"/>
  <c r="R28" i="8"/>
  <c r="R30" i="8" s="1"/>
  <c r="T51" i="5"/>
  <c r="J30" i="8"/>
  <c r="O30" i="8"/>
  <c r="P30" i="8"/>
  <c r="N30" i="8"/>
  <c r="K30" i="8"/>
  <c r="U17" i="2"/>
  <c r="U74" i="2"/>
  <c r="H125" i="2"/>
  <c r="H29" i="8" s="1"/>
  <c r="H30" i="8" s="1"/>
  <c r="U123" i="2"/>
  <c r="U122" i="2"/>
  <c r="T83" i="3"/>
  <c r="T89" i="3"/>
  <c r="T137" i="3"/>
  <c r="T91" i="3"/>
  <c r="G111" i="3"/>
  <c r="G13" i="8" s="1"/>
  <c r="D41" i="6"/>
  <c r="D40" i="7"/>
  <c r="T13" i="8" l="1"/>
  <c r="L75" i="7"/>
  <c r="M131" i="2" s="1"/>
  <c r="M132" i="2" s="1"/>
  <c r="K75" i="7"/>
  <c r="L131" i="2" s="1"/>
  <c r="L132" i="2" s="1"/>
  <c r="T11" i="8"/>
  <c r="T29" i="8"/>
  <c r="T30" i="8"/>
  <c r="T28" i="8"/>
  <c r="F55" i="8"/>
  <c r="T55" i="8" s="1"/>
  <c r="O63" i="8"/>
  <c r="O64" i="8" s="1"/>
  <c r="J63" i="8"/>
  <c r="J64" i="8" s="1"/>
  <c r="P63" i="8"/>
  <c r="P64" i="8" s="1"/>
  <c r="K63" i="8"/>
  <c r="K64" i="8" s="1"/>
  <c r="R63" i="8"/>
  <c r="R64" i="8" s="1"/>
  <c r="H63" i="8"/>
  <c r="H64" i="8" s="1"/>
  <c r="N63" i="8"/>
  <c r="N64" i="8" s="1"/>
  <c r="I63" i="8"/>
  <c r="I64" i="8" s="1"/>
  <c r="Q63" i="8"/>
  <c r="Q64" i="8" s="1"/>
  <c r="F62" i="8"/>
  <c r="T62" i="8" s="1"/>
  <c r="G63" i="8"/>
  <c r="G64" i="8" s="1"/>
  <c r="F75" i="7"/>
  <c r="H75" i="7"/>
  <c r="I131" i="2" s="1"/>
  <c r="I132" i="2" s="1"/>
  <c r="P75" i="7"/>
  <c r="Q131" i="2" s="1"/>
  <c r="Q132" i="2" s="1"/>
  <c r="I75" i="7"/>
  <c r="J131" i="2" s="1"/>
  <c r="J132" i="2" s="1"/>
  <c r="M75" i="7"/>
  <c r="O75" i="7"/>
  <c r="J75" i="7"/>
  <c r="K131" i="2" s="1"/>
  <c r="K132" i="2" s="1"/>
  <c r="G75" i="7"/>
  <c r="H131" i="2" s="1"/>
  <c r="H132" i="2" s="1"/>
  <c r="N75" i="7"/>
  <c r="Q75" i="7"/>
  <c r="R131" i="2" s="1"/>
  <c r="R132" i="2" s="1"/>
  <c r="U125" i="2"/>
  <c r="T111" i="3"/>
  <c r="D42" i="6"/>
  <c r="D41" i="7"/>
  <c r="L157" i="2" l="1"/>
  <c r="L159" i="2" s="1"/>
  <c r="K82" i="6" s="1"/>
  <c r="L32" i="8"/>
  <c r="L35" i="8" s="1"/>
  <c r="M157" i="2"/>
  <c r="M159" i="2" s="1"/>
  <c r="L83" i="6" s="1"/>
  <c r="M32" i="8"/>
  <c r="M35" i="8" s="1"/>
  <c r="N131" i="2"/>
  <c r="N132" i="2" s="1"/>
  <c r="N32" i="8" s="1"/>
  <c r="N35" i="8" s="1"/>
  <c r="P131" i="2"/>
  <c r="P132" i="2" s="1"/>
  <c r="P32" i="8" s="1"/>
  <c r="P35" i="8" s="1"/>
  <c r="O131" i="2"/>
  <c r="O132" i="2" s="1"/>
  <c r="O157" i="2" s="1"/>
  <c r="O159" i="2" s="1"/>
  <c r="N83" i="6" s="1"/>
  <c r="F64" i="8"/>
  <c r="T64" i="8" s="1"/>
  <c r="F63" i="8"/>
  <c r="T63" i="8" s="1"/>
  <c r="K157" i="2"/>
  <c r="K159" i="2" s="1"/>
  <c r="J82" i="6" s="1"/>
  <c r="K32" i="8"/>
  <c r="K35" i="8" s="1"/>
  <c r="Q157" i="2"/>
  <c r="Q159" i="2" s="1"/>
  <c r="P82" i="6" s="1"/>
  <c r="Q32" i="8"/>
  <c r="Q35" i="8" s="1"/>
  <c r="R157" i="2"/>
  <c r="R159" i="2" s="1"/>
  <c r="Q83" i="6" s="1"/>
  <c r="R32" i="8"/>
  <c r="R35" i="8" s="1"/>
  <c r="H157" i="2"/>
  <c r="H159" i="2" s="1"/>
  <c r="G83" i="6" s="1"/>
  <c r="H32" i="8"/>
  <c r="H35" i="8" s="1"/>
  <c r="J157" i="2"/>
  <c r="J159" i="2" s="1"/>
  <c r="I83" i="6" s="1"/>
  <c r="J32" i="8"/>
  <c r="J35" i="8" s="1"/>
  <c r="I157" i="2"/>
  <c r="I159" i="2" s="1"/>
  <c r="H83" i="6" s="1"/>
  <c r="I32" i="8"/>
  <c r="I35" i="8" s="1"/>
  <c r="G131" i="2"/>
  <c r="E75" i="7"/>
  <c r="D43" i="6"/>
  <c r="D42" i="7"/>
  <c r="K83" i="6" l="1"/>
  <c r="L43" i="8"/>
  <c r="L20" i="8"/>
  <c r="L21" i="8" s="1"/>
  <c r="L23" i="8" s="1"/>
  <c r="L25" i="8" s="1"/>
  <c r="L37" i="8" s="1"/>
  <c r="L38" i="8" s="1"/>
  <c r="L82" i="6"/>
  <c r="M43" i="8"/>
  <c r="M20" i="8"/>
  <c r="M21" i="8" s="1"/>
  <c r="M23" i="8" s="1"/>
  <c r="M25" i="8" s="1"/>
  <c r="M37" i="8" s="1"/>
  <c r="M38" i="8" s="1"/>
  <c r="N157" i="2"/>
  <c r="N159" i="2" s="1"/>
  <c r="M83" i="6" s="1"/>
  <c r="P157" i="2"/>
  <c r="P159" i="2" s="1"/>
  <c r="O83" i="6" s="1"/>
  <c r="G82" i="6"/>
  <c r="O32" i="8"/>
  <c r="O35" i="8" s="1"/>
  <c r="O43" i="8" s="1"/>
  <c r="I43" i="8"/>
  <c r="I20" i="8"/>
  <c r="P43" i="8"/>
  <c r="P20" i="8"/>
  <c r="R43" i="8"/>
  <c r="R20" i="8"/>
  <c r="N43" i="8"/>
  <c r="N20" i="8"/>
  <c r="J43" i="8"/>
  <c r="J20" i="8"/>
  <c r="H43" i="8"/>
  <c r="H20" i="8"/>
  <c r="Q43" i="8"/>
  <c r="Q20" i="8"/>
  <c r="K43" i="8"/>
  <c r="K20" i="8"/>
  <c r="P83" i="6"/>
  <c r="Q82" i="6"/>
  <c r="J83" i="6"/>
  <c r="N82" i="6"/>
  <c r="I82" i="6"/>
  <c r="H82" i="6"/>
  <c r="U131" i="2"/>
  <c r="G132" i="2"/>
  <c r="G32" i="8" s="1"/>
  <c r="D44" i="6"/>
  <c r="D43" i="7"/>
  <c r="L44" i="8" l="1"/>
  <c r="M44" i="8"/>
  <c r="T32" i="8"/>
  <c r="O20" i="8"/>
  <c r="O82" i="6"/>
  <c r="M82" i="6"/>
  <c r="G35" i="8"/>
  <c r="U132" i="2"/>
  <c r="G157" i="2"/>
  <c r="D45" i="6"/>
  <c r="D44" i="7"/>
  <c r="M48" i="8" l="1"/>
  <c r="M50" i="8"/>
  <c r="M49" i="8"/>
  <c r="L50" i="8"/>
  <c r="L48" i="8"/>
  <c r="L49" i="8"/>
  <c r="G20" i="8"/>
  <c r="T20" i="8" s="1"/>
  <c r="T35" i="8"/>
  <c r="G43" i="8"/>
  <c r="T43" i="8" s="1"/>
  <c r="U157" i="2"/>
  <c r="G159" i="2"/>
  <c r="F83" i="6" s="1"/>
  <c r="D46" i="6"/>
  <c r="D45" i="7"/>
  <c r="L52" i="8" l="1"/>
  <c r="L54" i="8" s="1"/>
  <c r="M52" i="8"/>
  <c r="M54" i="8" s="1"/>
  <c r="E83" i="6"/>
  <c r="U159" i="2"/>
  <c r="F82" i="6"/>
  <c r="D47" i="6"/>
  <c r="D46" i="7"/>
  <c r="L56" i="8" l="1"/>
  <c r="L68" i="8"/>
  <c r="M56" i="8"/>
  <c r="M68" i="8"/>
  <c r="F83" i="7"/>
  <c r="L83" i="7"/>
  <c r="K83" i="7"/>
  <c r="G142" i="3"/>
  <c r="O83" i="7"/>
  <c r="I83" i="7"/>
  <c r="N83" i="7"/>
  <c r="H83" i="7"/>
  <c r="Q83" i="7"/>
  <c r="M83" i="7"/>
  <c r="G83" i="7"/>
  <c r="P83" i="7"/>
  <c r="J83" i="7"/>
  <c r="E82" i="6"/>
  <c r="D48" i="6"/>
  <c r="D47" i="7"/>
  <c r="L57" i="8" l="1"/>
  <c r="L66" i="8"/>
  <c r="M57" i="8"/>
  <c r="M66" i="8"/>
  <c r="F82" i="7"/>
  <c r="L82" i="7"/>
  <c r="K82" i="7"/>
  <c r="O142" i="3"/>
  <c r="O146" i="3" s="1"/>
  <c r="O15" i="8" s="1"/>
  <c r="J142" i="3"/>
  <c r="J146" i="3" s="1"/>
  <c r="J15" i="8" s="1"/>
  <c r="Q142" i="3"/>
  <c r="Q146" i="3" s="1"/>
  <c r="Q15" i="8" s="1"/>
  <c r="I142" i="3"/>
  <c r="I146" i="3" s="1"/>
  <c r="I15" i="8" s="1"/>
  <c r="H142" i="3"/>
  <c r="H146" i="3" s="1"/>
  <c r="H15" i="8" s="1"/>
  <c r="N142" i="3"/>
  <c r="N146" i="3" s="1"/>
  <c r="N15" i="8" s="1"/>
  <c r="K142" i="3"/>
  <c r="K146" i="3" s="1"/>
  <c r="K15" i="8" s="1"/>
  <c r="R142" i="3"/>
  <c r="R146" i="3" s="1"/>
  <c r="R15" i="8" s="1"/>
  <c r="P142" i="3"/>
  <c r="P146" i="3" s="1"/>
  <c r="P15" i="8" s="1"/>
  <c r="G146" i="3"/>
  <c r="G15" i="8" s="1"/>
  <c r="E83" i="7"/>
  <c r="M82" i="7"/>
  <c r="J82" i="7"/>
  <c r="P82" i="7"/>
  <c r="H82" i="7"/>
  <c r="O82" i="7"/>
  <c r="N82" i="7"/>
  <c r="I82" i="7"/>
  <c r="Q82" i="7"/>
  <c r="G82" i="7"/>
  <c r="D49" i="6"/>
  <c r="D48" i="7"/>
  <c r="T15" i="8" l="1"/>
  <c r="T142" i="3"/>
  <c r="Q16" i="8"/>
  <c r="Q18" i="8" s="1"/>
  <c r="Q21" i="8" s="1"/>
  <c r="Q23" i="8" s="1"/>
  <c r="R16" i="8"/>
  <c r="R18" i="8" s="1"/>
  <c r="R21" i="8" s="1"/>
  <c r="R23" i="8" s="1"/>
  <c r="J16" i="8"/>
  <c r="J18" i="8" s="1"/>
  <c r="J21" i="8" s="1"/>
  <c r="J23" i="8" s="1"/>
  <c r="O16" i="8"/>
  <c r="O18" i="8" s="1"/>
  <c r="O21" i="8" s="1"/>
  <c r="O23" i="8" s="1"/>
  <c r="G16" i="8"/>
  <c r="I16" i="8"/>
  <c r="I18" i="8" s="1"/>
  <c r="I21" i="8" s="1"/>
  <c r="I23" i="8" s="1"/>
  <c r="P16" i="8"/>
  <c r="P18" i="8" s="1"/>
  <c r="P21" i="8" s="1"/>
  <c r="P23" i="8" s="1"/>
  <c r="K16" i="8"/>
  <c r="K18" i="8" s="1"/>
  <c r="K21" i="8" s="1"/>
  <c r="K23" i="8" s="1"/>
  <c r="N16" i="8"/>
  <c r="N18" i="8" s="1"/>
  <c r="N21" i="8" s="1"/>
  <c r="N23" i="8" s="1"/>
  <c r="H16" i="8"/>
  <c r="H18" i="8" s="1"/>
  <c r="H21" i="8" s="1"/>
  <c r="H23" i="8" s="1"/>
  <c r="E82" i="7"/>
  <c r="T146" i="3"/>
  <c r="D50" i="6"/>
  <c r="D49" i="7"/>
  <c r="G18" i="8" l="1"/>
  <c r="T16" i="8"/>
  <c r="G153" i="3"/>
  <c r="T150" i="3"/>
  <c r="T149" i="3"/>
  <c r="D51" i="6"/>
  <c r="D50" i="7"/>
  <c r="G21" i="8" l="1"/>
  <c r="T18" i="8"/>
  <c r="R153" i="3"/>
  <c r="O153" i="3"/>
  <c r="K153" i="3"/>
  <c r="I153" i="3"/>
  <c r="H153" i="3"/>
  <c r="Q153" i="3"/>
  <c r="P153" i="3"/>
  <c r="J153" i="3"/>
  <c r="N153" i="3"/>
  <c r="T151" i="3"/>
  <c r="D52" i="6"/>
  <c r="D51" i="7"/>
  <c r="G23" i="8" l="1"/>
  <c r="T21" i="8"/>
  <c r="P25" i="8"/>
  <c r="P44" i="8" s="1"/>
  <c r="H25" i="8"/>
  <c r="H44" i="8" s="1"/>
  <c r="K25" i="8"/>
  <c r="K44" i="8" s="1"/>
  <c r="R25" i="8"/>
  <c r="R44" i="8" s="1"/>
  <c r="J25" i="8"/>
  <c r="J44" i="8" s="1"/>
  <c r="Q25" i="8"/>
  <c r="Q44" i="8" s="1"/>
  <c r="I25" i="8"/>
  <c r="I44" i="8" s="1"/>
  <c r="O25" i="8"/>
  <c r="O44" i="8" s="1"/>
  <c r="N25" i="8"/>
  <c r="N44" i="8" s="1"/>
  <c r="T153" i="3"/>
  <c r="D53" i="6"/>
  <c r="D52" i="7"/>
  <c r="I49" i="8" l="1"/>
  <c r="I48" i="8"/>
  <c r="I50" i="8"/>
  <c r="K49" i="8"/>
  <c r="K48" i="8"/>
  <c r="K50" i="8"/>
  <c r="T23" i="8"/>
  <c r="G25" i="8"/>
  <c r="N48" i="8"/>
  <c r="N49" i="8"/>
  <c r="N50" i="8"/>
  <c r="Q48" i="8"/>
  <c r="Q49" i="8"/>
  <c r="Q50" i="8"/>
  <c r="H48" i="8"/>
  <c r="H49" i="8"/>
  <c r="H50" i="8"/>
  <c r="J49" i="8"/>
  <c r="J48" i="8"/>
  <c r="J50" i="8"/>
  <c r="P49" i="8"/>
  <c r="P48" i="8"/>
  <c r="P50" i="8"/>
  <c r="O48" i="8"/>
  <c r="O49" i="8"/>
  <c r="O50" i="8"/>
  <c r="R48" i="8"/>
  <c r="R49" i="8"/>
  <c r="R50" i="8"/>
  <c r="P37" i="8"/>
  <c r="P38" i="8" s="1"/>
  <c r="I37" i="8"/>
  <c r="I38" i="8" s="1"/>
  <c r="K37" i="8"/>
  <c r="K38" i="8" s="1"/>
  <c r="O37" i="8"/>
  <c r="O38" i="8" s="1"/>
  <c r="N37" i="8"/>
  <c r="N38" i="8" s="1"/>
  <c r="R37" i="8"/>
  <c r="R38" i="8" s="1"/>
  <c r="Q37" i="8"/>
  <c r="Q38" i="8" s="1"/>
  <c r="H37" i="8"/>
  <c r="H38" i="8" s="1"/>
  <c r="J37" i="8"/>
  <c r="J38" i="8" s="1"/>
  <c r="D54" i="6"/>
  <c r="D53" i="7"/>
  <c r="G44" i="8" l="1"/>
  <c r="T25" i="8"/>
  <c r="G37" i="8"/>
  <c r="D55" i="6"/>
  <c r="D54" i="7"/>
  <c r="G48" i="8" l="1"/>
  <c r="T48" i="8" s="1"/>
  <c r="G49" i="8"/>
  <c r="T49" i="8" s="1"/>
  <c r="T44" i="8"/>
  <c r="G50" i="8"/>
  <c r="T50" i="8" s="1"/>
  <c r="G38" i="8"/>
  <c r="T38" i="8" s="1"/>
  <c r="T37" i="8"/>
  <c r="D56" i="6"/>
  <c r="D55" i="7"/>
  <c r="D57" i="6" l="1"/>
  <c r="D56" i="7"/>
  <c r="D58" i="6" l="1"/>
  <c r="D57" i="7"/>
  <c r="D59" i="6" l="1"/>
  <c r="D58" i="7"/>
  <c r="D60" i="6" l="1"/>
  <c r="D59" i="7"/>
  <c r="D61" i="6" l="1"/>
  <c r="D60" i="7"/>
  <c r="D62" i="6" l="1"/>
  <c r="D61" i="7"/>
  <c r="D63" i="6" l="1"/>
  <c r="D62" i="7"/>
  <c r="D64" i="6" l="1"/>
  <c r="D63" i="7"/>
  <c r="D65" i="6" l="1"/>
  <c r="D64" i="7"/>
  <c r="D66" i="6" l="1"/>
  <c r="D65" i="7"/>
  <c r="D67" i="6" l="1"/>
  <c r="D66" i="7"/>
  <c r="D68" i="6" l="1"/>
  <c r="D67" i="7"/>
  <c r="D69" i="6" l="1"/>
  <c r="D68" i="7"/>
  <c r="D70" i="6" l="1"/>
  <c r="D69" i="7"/>
  <c r="D71" i="6" l="1"/>
  <c r="D70" i="7"/>
  <c r="D72" i="6" l="1"/>
  <c r="D71" i="7"/>
  <c r="D73" i="6" l="1"/>
  <c r="D72" i="7"/>
  <c r="D74" i="6" l="1"/>
  <c r="D73" i="7"/>
  <c r="D75" i="6" l="1"/>
  <c r="D74" i="7"/>
  <c r="D76" i="6" l="1"/>
  <c r="D75" i="7"/>
  <c r="D77" i="6" l="1"/>
  <c r="D76" i="7"/>
  <c r="D78" i="6" l="1"/>
  <c r="D77" i="7"/>
  <c r="D79" i="6" l="1"/>
  <c r="D78" i="7"/>
  <c r="D80" i="6" l="1"/>
  <c r="D79" i="7"/>
  <c r="D81" i="6" l="1"/>
  <c r="D80" i="7"/>
  <c r="D82" i="6" l="1"/>
  <c r="D81" i="7"/>
  <c r="D83" i="6" l="1"/>
  <c r="D82" i="7"/>
  <c r="D84" i="6" l="1"/>
  <c r="D83" i="7"/>
  <c r="D85" i="6" l="1"/>
  <c r="D84" i="7"/>
  <c r="D86" i="6" l="1"/>
  <c r="D85" i="7"/>
  <c r="D87" i="6" l="1"/>
  <c r="D86" i="7"/>
  <c r="D88" i="6" l="1"/>
  <c r="D87" i="7"/>
  <c r="D89" i="6" l="1"/>
  <c r="D88" i="7"/>
  <c r="D90" i="6" l="1"/>
  <c r="D89" i="7"/>
  <c r="D91" i="6" l="1"/>
  <c r="D90" i="7"/>
  <c r="D92" i="6" l="1"/>
  <c r="D91" i="7"/>
  <c r="D93" i="6" l="1"/>
  <c r="D92" i="7"/>
  <c r="D94" i="6" l="1"/>
  <c r="D93" i="7"/>
  <c r="D95" i="6" l="1"/>
  <c r="D94" i="7"/>
  <c r="D96" i="6" l="1"/>
  <c r="D95" i="7"/>
  <c r="D97" i="6" l="1"/>
  <c r="D96" i="7"/>
  <c r="D98" i="6" l="1"/>
  <c r="D97" i="7"/>
  <c r="D99" i="6" l="1"/>
  <c r="D98" i="7"/>
  <c r="D100" i="6" l="1"/>
  <c r="D99" i="7"/>
  <c r="D101" i="6" l="1"/>
  <c r="D100" i="7"/>
  <c r="D102" i="6" l="1"/>
  <c r="D101" i="7"/>
  <c r="D103" i="6" l="1"/>
  <c r="D102" i="7"/>
  <c r="D104" i="6" l="1"/>
  <c r="D103" i="7"/>
  <c r="D105" i="6" l="1"/>
  <c r="D104" i="7"/>
  <c r="D106" i="6" l="1"/>
  <c r="D105" i="7"/>
  <c r="D107" i="6" l="1"/>
  <c r="D106" i="7"/>
  <c r="D108" i="6" l="1"/>
  <c r="D107" i="7"/>
  <c r="D109" i="6" l="1"/>
  <c r="D108" i="7"/>
  <c r="D110" i="6" l="1"/>
  <c r="D109" i="7"/>
  <c r="D111" i="6" l="1"/>
  <c r="D110" i="7"/>
  <c r="D112" i="6" l="1"/>
  <c r="D111" i="7"/>
  <c r="D113" i="6" l="1"/>
  <c r="D112" i="7"/>
  <c r="D114" i="6" l="1"/>
  <c r="D113" i="7"/>
  <c r="D115" i="6" l="1"/>
  <c r="D114" i="7"/>
  <c r="D116" i="6" l="1"/>
  <c r="D115" i="7"/>
  <c r="D117" i="6" l="1"/>
  <c r="D116" i="7"/>
  <c r="D118" i="6" l="1"/>
  <c r="D117" i="7"/>
  <c r="D119" i="6" l="1"/>
  <c r="D118" i="7"/>
  <c r="D120" i="6" l="1"/>
  <c r="D119" i="7"/>
  <c r="D121" i="6" l="1"/>
  <c r="D120" i="7"/>
  <c r="D122" i="6" l="1"/>
  <c r="D121" i="7"/>
  <c r="D123" i="6" l="1"/>
  <c r="D122" i="7"/>
  <c r="D124" i="6" l="1"/>
  <c r="D123" i="7"/>
  <c r="D125" i="6" l="1"/>
  <c r="D125" i="7" s="1"/>
  <c r="D124" i="7"/>
  <c r="G47" i="8" l="1"/>
  <c r="H47" i="8"/>
  <c r="H52" i="8" s="1"/>
  <c r="I47" i="8"/>
  <c r="I52" i="8" s="1"/>
  <c r="J47" i="8"/>
  <c r="J52" i="8" s="1"/>
  <c r="K47" i="8"/>
  <c r="K52" i="8" s="1"/>
  <c r="K54" i="8" s="1"/>
  <c r="N47" i="8"/>
  <c r="N52" i="8" s="1"/>
  <c r="O47" i="8"/>
  <c r="O52" i="8" s="1"/>
  <c r="P47" i="8"/>
  <c r="P52" i="8" s="1"/>
  <c r="Q47" i="8"/>
  <c r="Q52" i="8" s="1"/>
  <c r="Q54" i="8" s="1"/>
  <c r="R47" i="8"/>
  <c r="R52" i="8" s="1"/>
  <c r="G52" i="8" l="1"/>
  <c r="T52" i="8" s="1"/>
  <c r="T47" i="8"/>
  <c r="P54" i="8"/>
  <c r="J54" i="8"/>
  <c r="Q56" i="8"/>
  <c r="Q68" i="8"/>
  <c r="R54" i="8"/>
  <c r="N54" i="8"/>
  <c r="H54" i="8"/>
  <c r="K56" i="8"/>
  <c r="K68" i="8"/>
  <c r="O54" i="8"/>
  <c r="I54" i="8"/>
  <c r="G54" i="8" l="1"/>
  <c r="F54" i="8" s="1"/>
  <c r="H56" i="8"/>
  <c r="H68" i="8"/>
  <c r="R56" i="8"/>
  <c r="R68" i="8"/>
  <c r="Q66" i="8"/>
  <c r="Q57" i="8"/>
  <c r="P56" i="8"/>
  <c r="P68" i="8"/>
  <c r="I56" i="8"/>
  <c r="I68" i="8"/>
  <c r="J56" i="8"/>
  <c r="J68" i="8"/>
  <c r="O56" i="8"/>
  <c r="O68" i="8"/>
  <c r="K57" i="8"/>
  <c r="K66" i="8"/>
  <c r="N56" i="8"/>
  <c r="N68" i="8"/>
  <c r="G56" i="8" l="1"/>
  <c r="G66" i="8" s="1"/>
  <c r="G68" i="8"/>
  <c r="F68" i="8"/>
  <c r="T54" i="8"/>
  <c r="J66" i="8"/>
  <c r="J57" i="8"/>
  <c r="P66" i="8"/>
  <c r="P57" i="8"/>
  <c r="I57" i="8"/>
  <c r="I66" i="8"/>
  <c r="R66" i="8"/>
  <c r="R57" i="8"/>
  <c r="N66" i="8"/>
  <c r="N57" i="8"/>
  <c r="O57" i="8"/>
  <c r="O66" i="8"/>
  <c r="H66" i="8"/>
  <c r="H57" i="8"/>
  <c r="G57" i="8" l="1"/>
  <c r="F56" i="8"/>
  <c r="T56" i="8" s="1"/>
  <c r="T68" i="8"/>
  <c r="F57" i="8" l="1"/>
  <c r="T57" i="8" s="1"/>
  <c r="F66" i="8"/>
  <c r="F67" i="8" l="1"/>
  <c r="L67" i="8"/>
  <c r="M67" i="8"/>
  <c r="O67" i="8"/>
  <c r="I67" i="8"/>
  <c r="N67" i="8"/>
  <c r="J67" i="8"/>
  <c r="T66" i="8"/>
  <c r="H67" i="8"/>
  <c r="G67" i="8"/>
  <c r="R67" i="8"/>
  <c r="Q67" i="8"/>
  <c r="P67" i="8"/>
  <c r="K67" i="8"/>
  <c r="T67" i="8" l="1"/>
</calcChain>
</file>

<file path=xl/comments1.xml><?xml version="1.0" encoding="utf-8"?>
<comments xmlns="http://schemas.openxmlformats.org/spreadsheetml/2006/main">
  <authors>
    <author>Navigant Employee</author>
  </authors>
  <commentList>
    <comment ref="C1" authorId="0" shapeId="0">
      <text>
        <r>
          <rPr>
            <sz val="12"/>
            <color indexed="9"/>
            <rFont val="Palatino"/>
            <family val="1"/>
          </rPr>
          <t xml:space="preserve">Remember to select Add/Delete Factor. Two or more factors cannot have the same name!
</t>
        </r>
      </text>
    </comment>
  </commentList>
</comments>
</file>

<file path=xl/comments2.xml><?xml version="1.0" encoding="utf-8"?>
<comments xmlns="http://schemas.openxmlformats.org/spreadsheetml/2006/main">
  <authors>
    <author>Navigant Employee</author>
  </authors>
  <commentList>
    <comment ref="C1" authorId="0" shapeId="0">
      <text>
        <r>
          <rPr>
            <sz val="12"/>
            <color indexed="9"/>
            <rFont val="Palatino"/>
            <family val="1"/>
          </rPr>
          <t xml:space="preserve">Remember to select Add/Delete Factor. Two or more factors cannot have the same name!
</t>
        </r>
      </text>
    </comment>
  </commentList>
</comments>
</file>

<file path=xl/sharedStrings.xml><?xml version="1.0" encoding="utf-8"?>
<sst xmlns="http://schemas.openxmlformats.org/spreadsheetml/2006/main" count="732" uniqueCount="559">
  <si>
    <t>Account Description</t>
  </si>
  <si>
    <t>Total</t>
  </si>
  <si>
    <t>RATE BASE</t>
  </si>
  <si>
    <t>Plant-in-Service</t>
  </si>
  <si>
    <t>Intangible Plant</t>
  </si>
  <si>
    <t>Production Plant</t>
  </si>
  <si>
    <t>Transmission Plant</t>
  </si>
  <si>
    <t>General Plant</t>
  </si>
  <si>
    <t>Sub-total</t>
  </si>
  <si>
    <t>Transmission Plant - Integrated Generation</t>
  </si>
  <si>
    <t>Bulk Transmission Plant</t>
  </si>
  <si>
    <t>Transmission Plant - Sch 62 Lease</t>
  </si>
  <si>
    <t>Distribution Plant</t>
  </si>
  <si>
    <t>Land &amp; Land Rights - Assigned</t>
  </si>
  <si>
    <t>Land &amp; Land Rights - Allocated</t>
  </si>
  <si>
    <t>Structures &amp; Improve - Assigned</t>
  </si>
  <si>
    <t>Structures &amp; Improve - Allocated</t>
  </si>
  <si>
    <t>Station Equipment - Assigned</t>
  </si>
  <si>
    <t>Station Equipment - Allocated</t>
  </si>
  <si>
    <t>Battery Storage</t>
  </si>
  <si>
    <t xml:space="preserve">Poles Towers &amp; Fixtures </t>
  </si>
  <si>
    <t>OH Lines Direct Assignment</t>
  </si>
  <si>
    <t xml:space="preserve">OVHD Cond &amp; Devices </t>
  </si>
  <si>
    <t>UG Conduit Direct Assignment</t>
  </si>
  <si>
    <t xml:space="preserve">UG Conduit </t>
  </si>
  <si>
    <t xml:space="preserve">UG Conductor &amp; Devices </t>
  </si>
  <si>
    <t>368.01</t>
  </si>
  <si>
    <t>Line Transf  OVHD</t>
  </si>
  <si>
    <t>368.02</t>
  </si>
  <si>
    <t>Line Transf  UNGD</t>
  </si>
  <si>
    <t>Line Transf  Assigned</t>
  </si>
  <si>
    <t>369.01</t>
  </si>
  <si>
    <t>Services - OVHD</t>
  </si>
  <si>
    <t>369.02</t>
  </si>
  <si>
    <t>Services - UNGD</t>
  </si>
  <si>
    <t>Meters</t>
  </si>
  <si>
    <t xml:space="preserve">Str &amp; Area Lighting Sys </t>
  </si>
  <si>
    <t>Asset Retirement Obligation</t>
  </si>
  <si>
    <t>Land &amp; Land Rights</t>
  </si>
  <si>
    <t>Structures &amp; Improvements</t>
  </si>
  <si>
    <t>Office Furniture &amp; Equip</t>
  </si>
  <si>
    <t>Transportation Equip</t>
  </si>
  <si>
    <t>Stores Equip</t>
  </si>
  <si>
    <t>Tools &amp; Shop &amp; Garage Equip</t>
  </si>
  <si>
    <t>Lab Equip</t>
  </si>
  <si>
    <t>Power Operated Equip</t>
  </si>
  <si>
    <t>Communication Equip</t>
  </si>
  <si>
    <t>Miscellaneous Equip</t>
  </si>
  <si>
    <t>Other Tangible Property</t>
  </si>
  <si>
    <t>TOTAL PLANT-IN-SERVICE</t>
  </si>
  <si>
    <t>Accumulated Reserve for Depreciation</t>
  </si>
  <si>
    <t>Accum Amortization - Production</t>
  </si>
  <si>
    <t>Accum Amortization - Transmission</t>
  </si>
  <si>
    <t>Accum Amortization - General</t>
  </si>
  <si>
    <t>Accum Depreciation Thermal Baseload Generation</t>
  </si>
  <si>
    <t>Accum Depreciation Hydro Baseload Generation</t>
  </si>
  <si>
    <t>Accum Depreciation Other Production Generation</t>
  </si>
  <si>
    <t>Transmisson Plant</t>
  </si>
  <si>
    <t>108.04_IG</t>
  </si>
  <si>
    <t>Accum Depreciation Integrating Gen Transmisson Plant</t>
  </si>
  <si>
    <t>108.04_BT</t>
  </si>
  <si>
    <t>Accum Depreciation Bulk Transmisson Plant &gt;230kV</t>
  </si>
  <si>
    <t>108.04_L</t>
  </si>
  <si>
    <t>Accum Depreciation Transmission Sch 62</t>
  </si>
  <si>
    <t>108.05_360a</t>
  </si>
  <si>
    <t>Land Rights - Assigned</t>
  </si>
  <si>
    <t>108.05_360b</t>
  </si>
  <si>
    <t>Land Rights</t>
  </si>
  <si>
    <t>108.05_361a</t>
  </si>
  <si>
    <t>108.05_361b</t>
  </si>
  <si>
    <t>108.05_362a</t>
  </si>
  <si>
    <t>108.05_362b</t>
  </si>
  <si>
    <t>108.10_363</t>
  </si>
  <si>
    <t>108.10_364a</t>
  </si>
  <si>
    <t>108.10_364b</t>
  </si>
  <si>
    <t>Poles &amp; OH Conductor - Assigned</t>
  </si>
  <si>
    <t>108.10_365a</t>
  </si>
  <si>
    <t>108.10_366a</t>
  </si>
  <si>
    <t>UG Conduit &amp; Conductor - Assigned</t>
  </si>
  <si>
    <t>108.10_366b</t>
  </si>
  <si>
    <t>UG Conduit &amp; Conductor</t>
  </si>
  <si>
    <t>108.10_367a</t>
  </si>
  <si>
    <t xml:space="preserve">UNGDCond &amp; Devices </t>
  </si>
  <si>
    <t>108.10_368a</t>
  </si>
  <si>
    <t>Line Transformers - Assigned</t>
  </si>
  <si>
    <t>108.10_368b</t>
  </si>
  <si>
    <t>Line Transformers - OH</t>
  </si>
  <si>
    <t>108.10_368c</t>
  </si>
  <si>
    <t>Line Transformers - UG</t>
  </si>
  <si>
    <t>108.10_369a</t>
  </si>
  <si>
    <t>Services - OH</t>
  </si>
  <si>
    <t>108.10_369b</t>
  </si>
  <si>
    <t>Services - UG</t>
  </si>
  <si>
    <t>108.10_370</t>
  </si>
  <si>
    <t>108.10_373</t>
  </si>
  <si>
    <t>108.10_374</t>
  </si>
  <si>
    <t>Accum Depreciation General Plant</t>
  </si>
  <si>
    <t>RWIP</t>
  </si>
  <si>
    <t>TOTAL ACCUMULATED RESERVE FOR DEPRECIATION</t>
  </si>
  <si>
    <t>Rate Base Adjustments and Working Capital</t>
  </si>
  <si>
    <t>Working Capital Assets</t>
  </si>
  <si>
    <t>WC</t>
  </si>
  <si>
    <t>Working Capital</t>
  </si>
  <si>
    <t>Other Items</t>
  </si>
  <si>
    <t>Misc Def Debits - Production</t>
  </si>
  <si>
    <t>Misc Def Debits - Transmission</t>
  </si>
  <si>
    <t>Misc Def Debits - Distribution</t>
  </si>
  <si>
    <t xml:space="preserve">Accum Deferred Income Tax - Prod </t>
  </si>
  <si>
    <t>Accum Deferred Income Tax - Trans</t>
  </si>
  <si>
    <t>Accum Deferred Income Tax - General</t>
  </si>
  <si>
    <t>Customer Deposits</t>
  </si>
  <si>
    <t>Customer Deposits - Transmission</t>
  </si>
  <si>
    <t>Customer Advances</t>
  </si>
  <si>
    <t>Landlord Incentive</t>
  </si>
  <si>
    <t>Acquisition Adjustment - Production</t>
  </si>
  <si>
    <t>Acquisition Adjustment - Transmission</t>
  </si>
  <si>
    <t>Acquisition Adjustment - Distribution</t>
  </si>
  <si>
    <t>Accum Amort Acquition Adj - Production</t>
  </si>
  <si>
    <t>Accum Amort Acquition Adj - Transmission</t>
  </si>
  <si>
    <t>Accum Amort Acquition Adj - Distribution</t>
  </si>
  <si>
    <t>ARO - Production</t>
  </si>
  <si>
    <t>ARO - Transmission</t>
  </si>
  <si>
    <t>ARO - Distribution</t>
  </si>
  <si>
    <t>ARO - General</t>
  </si>
  <si>
    <t>TOTAL OTHER RATE BASE</t>
  </si>
  <si>
    <t>TOTAL RATE BASE</t>
  </si>
  <si>
    <t>EXPENSES</t>
  </si>
  <si>
    <t>O &amp; M Expenses</t>
  </si>
  <si>
    <t>Production - O&amp;M - Fuel</t>
  </si>
  <si>
    <t>FUEL.ST</t>
  </si>
  <si>
    <t>Steam Prod O&amp;M - Fuel</t>
  </si>
  <si>
    <t>FUEL.OT</t>
  </si>
  <si>
    <t>Other Prod O&amp;M - Fuel</t>
  </si>
  <si>
    <t>Production - O&amp;M - Purchase Power</t>
  </si>
  <si>
    <t>Purch Pwr - Other</t>
  </si>
  <si>
    <t>Purch Pwr - Res Exchange</t>
  </si>
  <si>
    <t>Production - O&amp;M - Wheeling</t>
  </si>
  <si>
    <t>Wheeling by Others - Wheeling</t>
  </si>
  <si>
    <t>Production - O&amp;M - Other</t>
  </si>
  <si>
    <t>Transmission  - O&amp;M</t>
  </si>
  <si>
    <t>Transmission O&amp;M</t>
  </si>
  <si>
    <t>Distribution Expense - Operating</t>
  </si>
  <si>
    <t>Dist O&amp;M - Load Dispatch</t>
  </si>
  <si>
    <t>Dist O&amp;M - Station</t>
  </si>
  <si>
    <t>Dist O&amp;M - OVHD Lines</t>
  </si>
  <si>
    <t>Dist O&amp;M - UNGD Lines</t>
  </si>
  <si>
    <t>Dist O&amp;M - Street Lighting</t>
  </si>
  <si>
    <t>Dist O&amp;M - Meter</t>
  </si>
  <si>
    <t>Dist O&amp;M - Cust Installations - Meters</t>
  </si>
  <si>
    <t>Dist O&amp;M - Rents</t>
  </si>
  <si>
    <t>Dist O&amp;M - Supr &amp; Eng</t>
  </si>
  <si>
    <t>Dist O&amp;M - Miscellaneous</t>
  </si>
  <si>
    <t>Customer Accounts Expense</t>
  </si>
  <si>
    <t>CAE - Suprv</t>
  </si>
  <si>
    <t>CAE - Meter Reading</t>
  </si>
  <si>
    <t>CAE - Records &amp; Collections</t>
  </si>
  <si>
    <t xml:space="preserve">CAE - Uncollect Accts </t>
  </si>
  <si>
    <t>CAE - Miscellaneous</t>
  </si>
  <si>
    <t>Customer Service &amp; Information Expense</t>
  </si>
  <si>
    <t>Cust Svc Exp - Cust Assistance</t>
  </si>
  <si>
    <t>Cust Svc Exp - Weatherization</t>
  </si>
  <si>
    <t>Cust Svc Exp - Info &amp; Instruct</t>
  </si>
  <si>
    <t>Cust Svc Exp - Misc</t>
  </si>
  <si>
    <t>Cust Svc Exp - Demonstration</t>
  </si>
  <si>
    <t>Cust Svc Exp - Demonstration &amp; Selling</t>
  </si>
  <si>
    <t>Cust Svc Exp - Advertising</t>
  </si>
  <si>
    <t>Cust Svc Exp - Misc Selling</t>
  </si>
  <si>
    <t>General Expenses</t>
  </si>
  <si>
    <t>A&amp;G Exp - Salaries</t>
  </si>
  <si>
    <t>A&amp;G Exp - Office Supplies</t>
  </si>
  <si>
    <t>A&amp;G Exp - Transf (credit)</t>
  </si>
  <si>
    <t>A&amp;G Exp - Outside Svcs</t>
  </si>
  <si>
    <t>A&amp;G Exp - Prop Insurance - Other</t>
  </si>
  <si>
    <t>A&amp;G Exp - Injuries &amp; Damages - Other</t>
  </si>
  <si>
    <t>A&amp;G Exp - Pensions &amp; Benefits</t>
  </si>
  <si>
    <t xml:space="preserve">A&amp;G Exp - Reg Comm Exp </t>
  </si>
  <si>
    <t>A&amp;G Exp - Miscellaneous</t>
  </si>
  <si>
    <t>A&amp;G Exp - Rents</t>
  </si>
  <si>
    <t>TOTAL OPERATING EXPENSES</t>
  </si>
  <si>
    <t>Distribution Expense - Maintenance</t>
  </si>
  <si>
    <t>Dist O&amp;M - Structure</t>
  </si>
  <si>
    <t>Dist O&amp;M - Station Eqpt</t>
  </si>
  <si>
    <t>Dist O&amp;M - Lines Transformers</t>
  </si>
  <si>
    <t>Dist O&amp;M - Meters</t>
  </si>
  <si>
    <t>General Expense - Maintenance &amp; Other</t>
  </si>
  <si>
    <t>A&amp;G Exp - Maint of Gen Plant</t>
  </si>
  <si>
    <t>TOTAL MAINTENANCE EXPENSES</t>
  </si>
  <si>
    <t>TOTAL O &amp; M EXPENSES</t>
  </si>
  <si>
    <t>Labor O &amp; M Expenses</t>
  </si>
  <si>
    <t>Production Labor Exp</t>
  </si>
  <si>
    <t>S100</t>
  </si>
  <si>
    <t>Salary &amp; Wages - Prod Related</t>
  </si>
  <si>
    <t>Transmission Labor Exp</t>
  </si>
  <si>
    <t>S101</t>
  </si>
  <si>
    <t>Salary &amp; Wages - Trans Related</t>
  </si>
  <si>
    <t>Distribution Labor Expense - Operating</t>
  </si>
  <si>
    <t>S102</t>
  </si>
  <si>
    <t>Salary &amp; Wages - Dist Related</t>
  </si>
  <si>
    <t>Customer Accounts Labor Expense</t>
  </si>
  <si>
    <t>S103</t>
  </si>
  <si>
    <t>Salary &amp; Wages - Customer Accts Related</t>
  </si>
  <si>
    <t>Customer Service &amp; Information Labor Expense</t>
  </si>
  <si>
    <t>S104</t>
  </si>
  <si>
    <t>Salary &amp; Wages - Cust Svc Related</t>
  </si>
  <si>
    <t>TOTAL LABOR OPERATING EXPENSES</t>
  </si>
  <si>
    <t>General Labor Expense - Maintenance</t>
  </si>
  <si>
    <t>S105</t>
  </si>
  <si>
    <t>Salary &amp; Wages - Admin &amp; Gen Related</t>
  </si>
  <si>
    <t>S106</t>
  </si>
  <si>
    <t>Salary &amp; Wages - Sales</t>
  </si>
  <si>
    <t>TOTAL LABOR MAINTENANCE EXPENSES</t>
  </si>
  <si>
    <t>TOTAL LABOR O &amp; M EXPENSES</t>
  </si>
  <si>
    <t>Depreciation Expense</t>
  </si>
  <si>
    <t>Depr Exp - Production Steam Baseload</t>
  </si>
  <si>
    <t>Depr Exp - Production Hydro</t>
  </si>
  <si>
    <t>Depr Exp - Production Other</t>
  </si>
  <si>
    <t>Depr Exp - Transmission</t>
  </si>
  <si>
    <t>Depr Exp - Distribution</t>
  </si>
  <si>
    <t>Depr Exp - General</t>
  </si>
  <si>
    <t>Depr Exp - FAS 143</t>
  </si>
  <si>
    <t>Depr Exp - VROW</t>
  </si>
  <si>
    <t>Amort Exp - Limited Term Plant - Prod</t>
  </si>
  <si>
    <t>Amort Exp - Limited Term Plant - Transmission</t>
  </si>
  <si>
    <t>Amort Exp - Limited Term Plant - General</t>
  </si>
  <si>
    <t>Amort Exp - WUTC AFUDC</t>
  </si>
  <si>
    <t>Amort Exp - Acq Adjustment - Transmission</t>
  </si>
  <si>
    <t>Amort Exp - Acq Adjustment - Distribution</t>
  </si>
  <si>
    <t>Amort Exp - FERC Colstrip</t>
  </si>
  <si>
    <t>Amort Exp - Acq Adjustment - Production</t>
  </si>
  <si>
    <t>Amort Exp - Property Losses - Production</t>
  </si>
  <si>
    <t>Amort Exp - Storm T&amp;D</t>
  </si>
  <si>
    <t>Regulatory Debit / Credit - Production</t>
  </si>
  <si>
    <t>Accretion Exp - FAS 143</t>
  </si>
  <si>
    <t>Gain/Loss on Utility Plant</t>
  </si>
  <si>
    <t>Gain/Loss Disp Allowance</t>
  </si>
  <si>
    <t>FAS 133 Gain / Loss</t>
  </si>
  <si>
    <t>TOTAL DEPRECIATION EXPENSES</t>
  </si>
  <si>
    <t>Taxes (Other Than Income)</t>
  </si>
  <si>
    <t>Property Taxes</t>
  </si>
  <si>
    <t>Payroll Taxes</t>
  </si>
  <si>
    <t>Other Taxes - Wash Excise - Allocated</t>
  </si>
  <si>
    <t>Other Taxes - Muni</t>
  </si>
  <si>
    <t>Other Taxes - MT Corp License</t>
  </si>
  <si>
    <t>Other Taxes - MT Elec Energy Lic</t>
  </si>
  <si>
    <t>TOTAL TAXES OTHER THAN INCOME</t>
  </si>
  <si>
    <t>INCOME TAXES</t>
  </si>
  <si>
    <t>409.10</t>
  </si>
  <si>
    <t>Current Federal Income Tax @ Rate</t>
  </si>
  <si>
    <t>410.10</t>
  </si>
  <si>
    <t>Provision for Def Inc Tax</t>
  </si>
  <si>
    <t>TOTAL FIT</t>
  </si>
  <si>
    <t>TOTAL EXPENSES</t>
  </si>
  <si>
    <t>Sales of Electricity - Firm Revenue</t>
  </si>
  <si>
    <t>Sales of Electricity - Transportation Revenue - Retail</t>
  </si>
  <si>
    <t>Sales of Electricity - Small Firm Resale</t>
  </si>
  <si>
    <t>SALES REVENUE</t>
  </si>
  <si>
    <t>NON FIRM REVENUE</t>
  </si>
  <si>
    <t>Sales of Electricity - Non Firm Revenue</t>
  </si>
  <si>
    <t>TOTAL NON FIRM REVENUE</t>
  </si>
  <si>
    <t>OTHER OPERATING REVENUE</t>
  </si>
  <si>
    <t>Late Payment Revenue - Interest</t>
  </si>
  <si>
    <t>Late Payment Revenue - Field Call</t>
  </si>
  <si>
    <t xml:space="preserve">Misc Service Revenue - Temporary Service </t>
  </si>
  <si>
    <t>Misc Service Revenue - Reconnection Charge</t>
  </si>
  <si>
    <t>Misc Service Revenue - Modified Service Charge</t>
  </si>
  <si>
    <t>Misc Service Revenue - Line Extension/UG Conversions</t>
  </si>
  <si>
    <t>Misc Service Revenue - Billing Initiation Charge</t>
  </si>
  <si>
    <t>Misc Service Revenue - NSF Handling Chg</t>
  </si>
  <si>
    <t>Misc Service Revenue - Deferred FIT CIAC</t>
  </si>
  <si>
    <t>Misc Service Revenue - Energy Diversion</t>
  </si>
  <si>
    <t>Rental Revenue - Steam Plant</t>
  </si>
  <si>
    <t>Rental Revenue - Distribution Pole Contacts</t>
  </si>
  <si>
    <t>Rental Revenue - Personal Cell Site</t>
  </si>
  <si>
    <t>Rental Revenue - Land &amp; Bldg</t>
  </si>
  <si>
    <t>Rental Revenue - Transf &amp; Equip</t>
  </si>
  <si>
    <t>Other Elect Revenue -  Wheeling</t>
  </si>
  <si>
    <t>Other Elect Revenue - Dist O&amp;M</t>
  </si>
  <si>
    <t>Other Elect Revenue - Summit Buyout</t>
  </si>
  <si>
    <t>Other Elect Revenue - PCS</t>
  </si>
  <si>
    <t>Other Elect Revenue - Non-Core Gas Sales</t>
  </si>
  <si>
    <t>Other Elect Revenue -Green Energy Option</t>
  </si>
  <si>
    <t>Other Elect Revenue - Sumas Water Sale</t>
  </si>
  <si>
    <t>Other Elect Revenue - Intolight</t>
  </si>
  <si>
    <t>Other Elect Revenue - REC Revenue</t>
  </si>
  <si>
    <t>Other Elect Revenue - Cedar Hills Facility Fee</t>
  </si>
  <si>
    <t>Other Elect Revenue -  Biogas Amortization</t>
  </si>
  <si>
    <t>Other Elect Revenue -  Ferndale Plant</t>
  </si>
  <si>
    <t>Other Elect Revenue - Misc</t>
  </si>
  <si>
    <t>Other Elect Revenue -  Decoupling Amortization</t>
  </si>
  <si>
    <t>Other Elect Revenue - Transmission Transportation</t>
  </si>
  <si>
    <t>TOTAL OTHER OPERATING INCOME</t>
  </si>
  <si>
    <t>TOTAL REVENUE</t>
  </si>
  <si>
    <t>Allocation Factor</t>
  </si>
  <si>
    <t>Residential Sch 7</t>
  </si>
  <si>
    <t>Sec Volt
Sch 24
(kW&lt; 50)</t>
  </si>
  <si>
    <t>Sec Volt
Sch 25
(kW &gt; 50 &amp; &lt; 350)</t>
  </si>
  <si>
    <t>Sec Volt
Sch 26
(kW &gt; 350)</t>
  </si>
  <si>
    <t>Campus
Sch 40</t>
  </si>
  <si>
    <t xml:space="preserve"> High Volt
Sch 46 / 49</t>
  </si>
  <si>
    <t>Street
&amp; Area Lighting</t>
  </si>
  <si>
    <t>Firm
Resale</t>
  </si>
  <si>
    <t>Choice /
Retail Wheeling
Sch 448/449</t>
  </si>
  <si>
    <t>External Allocators</t>
  </si>
  <si>
    <t xml:space="preserve">Memo:  Combined </t>
  </si>
  <si>
    <t>Description</t>
  </si>
  <si>
    <t>Res Svc</t>
  </si>
  <si>
    <t>Sec Svc 24</t>
  </si>
  <si>
    <t>Sec Svc 25 / 29 / 7A</t>
  </si>
  <si>
    <t>Sec Svc 26 /26P</t>
  </si>
  <si>
    <t>Campus 40</t>
  </si>
  <si>
    <t>High Volt 46/49</t>
  </si>
  <si>
    <t>Choice/Retail Wheeling 448/449</t>
  </si>
  <si>
    <t>Lighting 50-59</t>
  </si>
  <si>
    <t>Firm Resale Small</t>
  </si>
  <si>
    <t>~</t>
  </si>
  <si>
    <t>Pri Svc 31</t>
  </si>
  <si>
    <t>Pri Svc 35</t>
  </si>
  <si>
    <t>Pri Svc 43</t>
  </si>
  <si>
    <t>Choice/Retail Wheeling PV</t>
  </si>
  <si>
    <t>Choice/Retail Wheeling HV</t>
  </si>
  <si>
    <t>CUSTOMER EXTERNAL ALLOCATORS</t>
  </si>
  <si>
    <t>CUST_1</t>
  </si>
  <si>
    <t>CUST_2</t>
  </si>
  <si>
    <t>CUST_3</t>
  </si>
  <si>
    <t>CUST_4</t>
  </si>
  <si>
    <t>DIR_40</t>
  </si>
  <si>
    <t>DIR_449</t>
  </si>
  <si>
    <t>DIR_449_OATT</t>
  </si>
  <si>
    <t>DIR_RESALE_SMALL</t>
  </si>
  <si>
    <t>DIR235.00</t>
  </si>
  <si>
    <t>DIR252.00</t>
  </si>
  <si>
    <t>DIR368.03C</t>
  </si>
  <si>
    <t>DIR373.00</t>
  </si>
  <si>
    <t>DIR450.01</t>
  </si>
  <si>
    <t>DIR450.02</t>
  </si>
  <si>
    <t>DIR451.02</t>
  </si>
  <si>
    <t>DIR451.05</t>
  </si>
  <si>
    <t>DIR451.06</t>
  </si>
  <si>
    <t>DIR904.00</t>
  </si>
  <si>
    <t>METER</t>
  </si>
  <si>
    <t>OH_SVC</t>
  </si>
  <si>
    <t>OH_TFMRC</t>
  </si>
  <si>
    <t>PROFORMA</t>
  </si>
  <si>
    <t>PROFORMA_RETAIL</t>
  </si>
  <si>
    <t>RESID</t>
  </si>
  <si>
    <t>UG_TFMRC</t>
  </si>
  <si>
    <t>DEM_1</t>
  </si>
  <si>
    <t>DEM_1A</t>
  </si>
  <si>
    <t>DEM_1B</t>
  </si>
  <si>
    <t>DEM_2A</t>
  </si>
  <si>
    <t>DEM_2B</t>
  </si>
  <si>
    <t>DIR108.360</t>
  </si>
  <si>
    <t>DIR108.361</t>
  </si>
  <si>
    <t>DIR108.362</t>
  </si>
  <si>
    <t>DIR108.364</t>
  </si>
  <si>
    <t>DIR108.366</t>
  </si>
  <si>
    <t>DIR360.01</t>
  </si>
  <si>
    <t>DIR361.01</t>
  </si>
  <si>
    <t>DIR362.01</t>
  </si>
  <si>
    <t>DIR364.01</t>
  </si>
  <si>
    <t>DIR366.01</t>
  </si>
  <si>
    <t>DIR368.03</t>
  </si>
  <si>
    <t>NCP_360</t>
  </si>
  <si>
    <t>NCP_361</t>
  </si>
  <si>
    <t>NCP_362</t>
  </si>
  <si>
    <t>OH_NCP</t>
  </si>
  <si>
    <t>OH_TFMR</t>
  </si>
  <si>
    <t>UG_NCP</t>
  </si>
  <si>
    <t>UG_TFMR</t>
  </si>
  <si>
    <t>DIR454.05</t>
  </si>
  <si>
    <t>BPAX</t>
  </si>
  <si>
    <t>ENERGY_1</t>
  </si>
  <si>
    <t>ENERGY_2</t>
  </si>
  <si>
    <t>D360.T</t>
  </si>
  <si>
    <t>Total Struct and Improvements</t>
  </si>
  <si>
    <t>D361.T</t>
  </si>
  <si>
    <t>D362.T</t>
  </si>
  <si>
    <t>Total Station Equip</t>
  </si>
  <si>
    <t>D364.T</t>
  </si>
  <si>
    <t>Total OVHD Lines</t>
  </si>
  <si>
    <t>D366.T</t>
  </si>
  <si>
    <t>Total UNGD Lines</t>
  </si>
  <si>
    <t>D368.T</t>
  </si>
  <si>
    <t>Total Transformers</t>
  </si>
  <si>
    <t>D369.T</t>
  </si>
  <si>
    <t>Total Services</t>
  </si>
  <si>
    <t>D370.T</t>
  </si>
  <si>
    <t>Total Meters</t>
  </si>
  <si>
    <t>ADJPTDCE.T</t>
  </si>
  <si>
    <t>Adj Total Prod Trans Dist &amp; Cust Exp</t>
  </si>
  <si>
    <t>CAE.T</t>
  </si>
  <si>
    <t>Cust Accts Exp - Total</t>
  </si>
  <si>
    <t>CAES1.T</t>
  </si>
  <si>
    <t>Cust Accts Exp - Subtotal ID902.00 to ID905.00</t>
  </si>
  <si>
    <t>DES1.T</t>
  </si>
  <si>
    <t>Dist O&amp;M - ID581.00 to ID589.00 Subtotal</t>
  </si>
  <si>
    <t>DES2.T</t>
  </si>
  <si>
    <t>Dist O&amp;M - ID591.00 to ID597.00 Subtotal</t>
  </si>
  <si>
    <t>DES3.T</t>
  </si>
  <si>
    <t>Dist O&amp;M - ID582.00 to ID587.00 Subtotal</t>
  </si>
  <si>
    <t>DP.T</t>
  </si>
  <si>
    <t>Total Distribution Plant</t>
  </si>
  <si>
    <t>EPIS.T</t>
  </si>
  <si>
    <t>Total Elec Plant In Service</t>
  </si>
  <si>
    <t>GP.T</t>
  </si>
  <si>
    <t>Total General Plant</t>
  </si>
  <si>
    <t>LINE.T</t>
  </si>
  <si>
    <t>Total Distribution OH &amp; UG Lines</t>
  </si>
  <si>
    <t>POWER.T</t>
  </si>
  <si>
    <t>Sales of Electricity - Non Firm</t>
  </si>
  <si>
    <t>PP.T</t>
  </si>
  <si>
    <t>Total Production Plant</t>
  </si>
  <si>
    <t>PTDGP.T</t>
  </si>
  <si>
    <t>Total Prod, Trans, Dist &amp; Gen Plant</t>
  </si>
  <si>
    <t>PTDP.T</t>
  </si>
  <si>
    <t>Prod Trans Dist Allocation Factor</t>
  </si>
  <si>
    <t>RB.T</t>
  </si>
  <si>
    <t>Total Ratebase</t>
  </si>
  <si>
    <t>REVFAC1.T</t>
  </si>
  <si>
    <t>REVFAC1 = (OME.T+DAE.T+RRB.T)</t>
  </si>
  <si>
    <t>SW.T</t>
  </si>
  <si>
    <t>Salary &amp; Wages - Total</t>
  </si>
  <si>
    <t>SWPTD.T</t>
  </si>
  <si>
    <t>Salary &amp; Wages - PTD Subtotal</t>
  </si>
  <si>
    <t>TDP.T</t>
  </si>
  <si>
    <t>Total Transmission &amp; Distribution Plant</t>
  </si>
  <si>
    <t>EBFIT.T</t>
  </si>
  <si>
    <t>Total Expenses Before FIT</t>
  </si>
  <si>
    <t>TP.T</t>
  </si>
  <si>
    <t>Total Transmission Plant</t>
  </si>
  <si>
    <t>PTDE.T</t>
  </si>
  <si>
    <t>Prod Trans Dist Exp Allocation Factor</t>
  </si>
  <si>
    <t>TAI</t>
  </si>
  <si>
    <t>Number</t>
  </si>
  <si>
    <t>TAI Number</t>
  </si>
  <si>
    <t>PSE Name</t>
  </si>
  <si>
    <t>Demand</t>
  </si>
  <si>
    <t>Energy</t>
  </si>
  <si>
    <t>Ave. No Cust</t>
  </si>
  <si>
    <t>Ave No. Cust Incl RES &amp; SEC Only, No Sch 40</t>
  </si>
  <si>
    <t>Wtd. Ave. No. Cust. A/C 903 Customer Records Direct Assignment (Needs Proforma Adjustment)</t>
  </si>
  <si>
    <t>Meter Counts A/C 902</t>
  </si>
  <si>
    <t>Direct Assignment Schedule 40</t>
  </si>
  <si>
    <t>Schedule 449 / 459 Retail Revenue</t>
  </si>
  <si>
    <t>Transportation OATT Revenue</t>
  </si>
  <si>
    <t>Small Firm Resale Allocation Only</t>
  </si>
  <si>
    <t>Line Transformers - Customer Related</t>
  </si>
  <si>
    <t>Str. &amp; Signal Systems</t>
  </si>
  <si>
    <t>Late Payment Interest Rev</t>
  </si>
  <si>
    <t>Direct Assign Disconnect Call - A/C 450.02</t>
  </si>
  <si>
    <t>Connect/Reconnect Revenue</t>
  </si>
  <si>
    <t>Billing Initiation Charge</t>
  </si>
  <si>
    <t>NSF Check Charge Revenue</t>
  </si>
  <si>
    <t>Direct Assign 904 Uncollectibles</t>
  </si>
  <si>
    <t>Meter Investment</t>
  </si>
  <si>
    <t>Dist OH Services (Sec Voltage Only)</t>
  </si>
  <si>
    <t>Allocate Overhead Transformers</t>
  </si>
  <si>
    <t>Proforma Revenue</t>
  </si>
  <si>
    <t>Proforma Retail Revenue - No Transportation</t>
  </si>
  <si>
    <t>Residential Allocation Only</t>
  </si>
  <si>
    <t>Allocate Underground Transformers</t>
  </si>
  <si>
    <t>Top 75 CP Hours (not used)</t>
  </si>
  <si>
    <t>Top 75 CP Hours Excl. Interruptible (not used)</t>
  </si>
  <si>
    <t>Top 75 CP No Interruptibles or Transportation (not used)</t>
  </si>
  <si>
    <t>4 CP Winter Peak - No Interruptibles</t>
  </si>
  <si>
    <t>4 CP Winter Peak - No Interruptibles or Transportation</t>
  </si>
  <si>
    <t>Direct Assign Substation Ease - Accum Depr</t>
  </si>
  <si>
    <t>Direct Assign Substation Structures - Accum Depr</t>
  </si>
  <si>
    <t>Direct Assign Substation Equipment - Accum Depr</t>
  </si>
  <si>
    <t>Direct Assign OH Dist Lines - Accum Depr</t>
  </si>
  <si>
    <t>Direct Assign UG Dist Lines</t>
  </si>
  <si>
    <t>Direct Assign Substation Structures</t>
  </si>
  <si>
    <t>Direct Assign Substation Land</t>
  </si>
  <si>
    <t>Direct Assign Substation Equipment</t>
  </si>
  <si>
    <t>Direct Assign OH Dist Lines</t>
  </si>
  <si>
    <t>Line Transformers</t>
  </si>
  <si>
    <t>Allocate Substation Land - 12 NCP</t>
  </si>
  <si>
    <t>Allocate Substation Structures - 12 NCP</t>
  </si>
  <si>
    <t>Allocate Substation Equipment - 12 NCP</t>
  </si>
  <si>
    <t>Allocate Overhead Lines - 12 NCP</t>
  </si>
  <si>
    <t>Allocate Underground Lines - 12 CP</t>
  </si>
  <si>
    <t>Equip. (Transformer &amp; Substation) Rentals</t>
  </si>
  <si>
    <t>BPA Residential Exchange kWh</t>
  </si>
  <si>
    <t>Annual kWhs</t>
  </si>
  <si>
    <t>Energy - No Retail Wheeling</t>
  </si>
  <si>
    <t>dir</t>
  </si>
  <si>
    <t>Check</t>
  </si>
  <si>
    <t>Bulk Transmission Plt</t>
  </si>
  <si>
    <t>check</t>
  </si>
  <si>
    <t>CURRENT REVENUE</t>
  </si>
  <si>
    <t>Firm Sales Revenue</t>
  </si>
  <si>
    <t>Non-Firm Revenue</t>
  </si>
  <si>
    <t>Other Revenue</t>
  </si>
  <si>
    <t>O&amp;M Expenses</t>
  </si>
  <si>
    <t>Depreciation Expenses</t>
  </si>
  <si>
    <t>Taxes Other Than Income</t>
  </si>
  <si>
    <t xml:space="preserve">    Total Expenses Before Income Taxes</t>
  </si>
  <si>
    <t>Earnings Before Interest and Taxes</t>
  </si>
  <si>
    <t>Interest Expense</t>
  </si>
  <si>
    <t>Income Taxes @</t>
  </si>
  <si>
    <t>Net Operating Income</t>
  </si>
  <si>
    <t>Rate Base:</t>
  </si>
  <si>
    <t>Total Plant In Service</t>
  </si>
  <si>
    <t>Accumulated Depreciation</t>
  </si>
  <si>
    <t>Net Plant</t>
  </si>
  <si>
    <t>Other Additions &amp; Deductions</t>
  </si>
  <si>
    <t>Rate of Return @ Current Rates</t>
  </si>
  <si>
    <t>Indexed Rate of Return</t>
  </si>
  <si>
    <t>Required Operating Income</t>
  </si>
  <si>
    <t>Required Return</t>
  </si>
  <si>
    <t>Revenue Requirement</t>
  </si>
  <si>
    <t>Revenues Other Than Rate Sch. Rev.</t>
  </si>
  <si>
    <t>Rate Schedule Revenue Requirement</t>
  </si>
  <si>
    <t>Calculation of Rate Schedule Revenue Requirement at Equal Rates of Return</t>
  </si>
  <si>
    <t>Operating Income Deficiency / (Surplus)</t>
  </si>
  <si>
    <t>Revenue Deficiency / (Surplus)</t>
  </si>
  <si>
    <t>Deficiency / (Surplus) as % of Firm Sales</t>
  </si>
  <si>
    <t>Rate Schedule Revenue as Proposed</t>
  </si>
  <si>
    <t>Proposed Revenue Increase</t>
  </si>
  <si>
    <t>Current Revenue to Cost Ratio</t>
  </si>
  <si>
    <t>Parity Ratio</t>
  </si>
  <si>
    <t>Proposed Revenue to Cost Ratio</t>
  </si>
  <si>
    <t>Plus Incremental Expenses:</t>
  </si>
  <si>
    <t xml:space="preserve">     CAE - Uncollect Accts </t>
  </si>
  <si>
    <t xml:space="preserve">     A&amp;G Exp - Reg Comm Exp </t>
  </si>
  <si>
    <t xml:space="preserve">     Other Taxes - Wash Excise - Allocated</t>
  </si>
  <si>
    <t>ROR @ PSE Proposed Increase:</t>
  </si>
  <si>
    <t xml:space="preserve">     PSE Proposed Increase</t>
  </si>
  <si>
    <t>Total Revenue @ PSE Proposed</t>
  </si>
  <si>
    <t>Taxable Income</t>
  </si>
  <si>
    <t xml:space="preserve">     Federal Income Taxes</t>
  </si>
  <si>
    <t>Current Revenue</t>
  </si>
  <si>
    <t xml:space="preserve">     Total Current Revenue</t>
  </si>
  <si>
    <t>Inc. Deficiency</t>
  </si>
  <si>
    <t>Memo: Calculation of Time Differentiated Fuel costs</t>
  </si>
  <si>
    <t>Adjusted Test Year KWH @ Meter ( PER JAP-39)</t>
  </si>
  <si>
    <t>Fuel cost per kwh @ meter</t>
  </si>
  <si>
    <t>Total fuel cost</t>
  </si>
  <si>
    <t>Allocation Pct</t>
  </si>
  <si>
    <t>Bulk Transmission -- load factor-- Prob Dispatch</t>
  </si>
  <si>
    <t>Memo: Bulk Transmission</t>
  </si>
  <si>
    <t>System Load Factor:</t>
  </si>
  <si>
    <t>Calculate assignment to Transport</t>
  </si>
  <si>
    <t xml:space="preserve">     Energy Pct</t>
  </si>
  <si>
    <t xml:space="preserve">    Demand Pct</t>
  </si>
  <si>
    <t>Bulk Total Investment</t>
  </si>
  <si>
    <t>Transport Demand Allocation</t>
  </si>
  <si>
    <t>Transport Energy Allocation</t>
  </si>
  <si>
    <t>Total Transport Allocation</t>
  </si>
  <si>
    <t>Generation Classes Allocation</t>
  </si>
  <si>
    <t>Prob Dispatch to Generation Classes</t>
  </si>
  <si>
    <t>Total Class Allocation</t>
  </si>
  <si>
    <t>Probability of Dispatch</t>
  </si>
  <si>
    <t>Bulk Transmission</t>
  </si>
  <si>
    <t>Pri Volt
Sch 31</t>
  </si>
  <si>
    <t>Pri Volt 31</t>
  </si>
  <si>
    <t>Prob of Dispatch-- Generation Gross Plant-- 3-Year Average Loads</t>
  </si>
  <si>
    <t>Prob of Dispatch-- Generation Accum Depreciation-- 3-Year Average Loads</t>
  </si>
  <si>
    <t>Time Differentiated  Fuel Cost-- 3-Year Average Loads-- Adjusted kwh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</si>
</sst>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5" formatCode="&quot;$&quot;#,##0_);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0.0000%"/>
    <numFmt numFmtId="167" formatCode="_(* #,##0.000000_);_(* \(#,##0.000000\);_(* &quot;-&quot;??_);_(@_)"/>
    <numFmt numFmtId="168" formatCode="_(* #,##0.00000_);_(* \(#,##0.00000\);_(* &quot;-&quot;??_);_(@_)"/>
    <numFmt numFmtId="169" formatCode="0.00000%"/>
    <numFmt numFmtId="170" formatCode="_(&quot;$&quot;* #,##0_);_(&quot;$&quot;* \(#,##0\);_(&quot;$&quot;* &quot;-&quot;??_);_(@_)"/>
    <numFmt numFmtId="171" formatCode="&quot;$&quot;#,##0.000_);\(&quot;$&quot;#,##0.000\)"/>
    <numFmt numFmtId="172" formatCode="_(&quot;$&quot;* #,##0.00000000_);_(&quot;$&quot;* \(#,##0.00000000\);_(&quot;$&quot;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rgb="FFFA7D00"/>
      <name val="Calibri"/>
      <family val="2"/>
      <scheme val="minor"/>
    </font>
    <font>
      <b/>
      <sz val="12"/>
      <color indexed="56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2"/>
      <color indexed="9"/>
      <name val="Palatino"/>
      <family val="1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2" borderId="1" applyNumberFormat="0" applyAlignment="0" applyProtection="0"/>
    <xf numFmtId="44" fontId="1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0" applyFont="1"/>
    <xf numFmtId="164" fontId="0" fillId="0" borderId="0" xfId="1" applyNumberFormat="1" applyFont="1"/>
    <xf numFmtId="164" fontId="2" fillId="0" borderId="0" xfId="1" applyNumberFormat="1" applyFont="1"/>
    <xf numFmtId="0" fontId="3" fillId="0" borderId="0" xfId="0" applyNumberFormat="1" applyFont="1" applyFill="1" applyAlignment="1">
      <alignment wrapText="1"/>
    </xf>
    <xf numFmtId="0" fontId="0" fillId="0" borderId="0" xfId="0" applyNumberFormat="1" applyFill="1" applyAlignment="1"/>
    <xf numFmtId="0" fontId="5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 wrapText="1"/>
    </xf>
    <xf numFmtId="41" fontId="0" fillId="0" borderId="0" xfId="0" applyNumberFormat="1" applyFill="1" applyAlignment="1">
      <alignment horizontal="left" wrapText="1"/>
    </xf>
    <xf numFmtId="41" fontId="0" fillId="0" borderId="0" xfId="0" applyNumberFormat="1" applyFill="1" applyBorder="1" applyAlignment="1"/>
    <xf numFmtId="164" fontId="8" fillId="0" borderId="3" xfId="1" applyNumberFormat="1" applyFont="1" applyFill="1" applyBorder="1" applyAlignment="1">
      <alignment horizontal="left"/>
    </xf>
    <xf numFmtId="164" fontId="7" fillId="0" borderId="4" xfId="1" applyNumberFormat="1" applyFont="1" applyFill="1" applyBorder="1" applyAlignment="1">
      <alignment horizontal="left"/>
    </xf>
    <xf numFmtId="164" fontId="8" fillId="0" borderId="3" xfId="1" quotePrefix="1" applyNumberFormat="1" applyFont="1" applyFill="1" applyBorder="1" applyAlignment="1">
      <alignment horizontal="left"/>
    </xf>
    <xf numFmtId="0" fontId="0" fillId="0" borderId="0" xfId="0" applyNumberFormat="1" applyFill="1" applyBorder="1" applyAlignment="1"/>
    <xf numFmtId="0" fontId="7" fillId="0" borderId="0" xfId="3" applyFont="1" applyFill="1" applyBorder="1"/>
    <xf numFmtId="165" fontId="7" fillId="0" borderId="0" xfId="2" applyNumberFormat="1" applyFont="1" applyFill="1" applyBorder="1"/>
    <xf numFmtId="0" fontId="8" fillId="0" borderId="0" xfId="0" applyFont="1" applyFill="1" applyAlignment="1">
      <alignment horizontal="left" wrapText="1"/>
    </xf>
    <xf numFmtId="166" fontId="7" fillId="0" borderId="4" xfId="2" applyNumberFormat="1" applyFont="1" applyFill="1" applyBorder="1" applyAlignment="1">
      <alignment horizontal="right"/>
    </xf>
    <xf numFmtId="165" fontId="0" fillId="0" borderId="0" xfId="0" applyNumberFormat="1"/>
    <xf numFmtId="0" fontId="0" fillId="0" borderId="0" xfId="0" applyFont="1"/>
    <xf numFmtId="9" fontId="0" fillId="0" borderId="0" xfId="2" applyFont="1"/>
    <xf numFmtId="43" fontId="0" fillId="0" borderId="0" xfId="1" applyNumberFormat="1" applyFont="1"/>
    <xf numFmtId="167" fontId="0" fillId="0" borderId="0" xfId="1" applyNumberFormat="1" applyFont="1"/>
    <xf numFmtId="1" fontId="0" fillId="0" borderId="0" xfId="0" applyNumberFormat="1"/>
    <xf numFmtId="1" fontId="2" fillId="0" borderId="0" xfId="0" applyNumberFormat="1" applyFont="1"/>
    <xf numFmtId="1" fontId="0" fillId="0" borderId="0" xfId="2" applyNumberFormat="1" applyFont="1"/>
    <xf numFmtId="164" fontId="0" fillId="0" borderId="0" xfId="0" applyNumberFormat="1" applyFill="1" applyAlignment="1"/>
    <xf numFmtId="166" fontId="0" fillId="0" borderId="0" xfId="2" applyNumberFormat="1" applyFont="1" applyFill="1" applyAlignment="1"/>
    <xf numFmtId="164" fontId="0" fillId="0" borderId="0" xfId="0" applyNumberFormat="1"/>
    <xf numFmtId="43" fontId="0" fillId="0" borderId="0" xfId="0" applyNumberFormat="1"/>
    <xf numFmtId="168" fontId="0" fillId="0" borderId="0" xfId="1" applyNumberFormat="1" applyFont="1"/>
    <xf numFmtId="169" fontId="0" fillId="0" borderId="0" xfId="2" applyNumberFormat="1" applyFont="1"/>
    <xf numFmtId="164" fontId="6" fillId="0" borderId="0" xfId="0" applyNumberFormat="1" applyFont="1" applyFill="1" applyAlignment="1">
      <alignment horizontal="left"/>
    </xf>
    <xf numFmtId="164" fontId="0" fillId="0" borderId="0" xfId="0" applyNumberFormat="1" applyFill="1" applyAlignment="1">
      <alignment horizontal="left" wrapText="1"/>
    </xf>
    <xf numFmtId="8" fontId="0" fillId="0" borderId="0" xfId="0" applyNumberFormat="1"/>
    <xf numFmtId="0" fontId="0" fillId="0" borderId="2" xfId="0" applyBorder="1"/>
    <xf numFmtId="165" fontId="0" fillId="0" borderId="2" xfId="0" applyNumberFormat="1" applyBorder="1"/>
    <xf numFmtId="0" fontId="10" fillId="0" borderId="0" xfId="0" applyFont="1"/>
    <xf numFmtId="0" fontId="0" fillId="0" borderId="5" xfId="0" applyBorder="1"/>
    <xf numFmtId="165" fontId="0" fillId="0" borderId="5" xfId="0" applyNumberFormat="1" applyBorder="1"/>
    <xf numFmtId="10" fontId="0" fillId="0" borderId="0" xfId="0" applyNumberFormat="1"/>
    <xf numFmtId="9" fontId="0" fillId="0" borderId="0" xfId="0" applyNumberFormat="1"/>
    <xf numFmtId="0" fontId="3" fillId="3" borderId="0" xfId="0" applyNumberFormat="1" applyFont="1" applyFill="1" applyAlignment="1"/>
    <xf numFmtId="0" fontId="0" fillId="0" borderId="0" xfId="0" applyFill="1"/>
    <xf numFmtId="5" fontId="0" fillId="0" borderId="2" xfId="4" applyNumberFormat="1" applyFont="1" applyFill="1" applyBorder="1"/>
    <xf numFmtId="10" fontId="0" fillId="0" borderId="0" xfId="2" applyNumberFormat="1" applyFont="1" applyFill="1"/>
    <xf numFmtId="5" fontId="0" fillId="0" borderId="0" xfId="0" applyNumberFormat="1" applyFill="1"/>
    <xf numFmtId="0" fontId="0" fillId="3" borderId="0" xfId="0" applyNumberFormat="1" applyFill="1" applyAlignment="1"/>
    <xf numFmtId="0" fontId="7" fillId="3" borderId="0" xfId="0" applyNumberFormat="1" applyFont="1" applyFill="1" applyBorder="1" applyAlignment="1"/>
    <xf numFmtId="0" fontId="3" fillId="3" borderId="7" xfId="0" applyNumberFormat="1" applyFont="1" applyFill="1" applyBorder="1" applyAlignment="1"/>
    <xf numFmtId="0" fontId="3" fillId="3" borderId="6" xfId="0" applyNumberFormat="1" applyFont="1" applyFill="1" applyBorder="1" applyAlignment="1"/>
    <xf numFmtId="0" fontId="3" fillId="0" borderId="7" xfId="0" applyNumberFormat="1" applyFont="1" applyFill="1" applyBorder="1" applyAlignment="1"/>
    <xf numFmtId="0" fontId="3" fillId="0" borderId="5" xfId="0" applyNumberFormat="1" applyFont="1" applyFill="1" applyBorder="1" applyAlignment="1"/>
    <xf numFmtId="0" fontId="0" fillId="0" borderId="2" xfId="0" applyNumberFormat="1" applyFill="1" applyBorder="1" applyAlignment="1"/>
    <xf numFmtId="0" fontId="0" fillId="0" borderId="7" xfId="0" applyBorder="1"/>
    <xf numFmtId="0" fontId="3" fillId="0" borderId="0" xfId="0" applyNumberFormat="1" applyFont="1" applyFill="1" applyAlignment="1"/>
    <xf numFmtId="10" fontId="7" fillId="0" borderId="0" xfId="2" applyNumberFormat="1" applyFont="1" applyFill="1" applyBorder="1"/>
    <xf numFmtId="170" fontId="0" fillId="0" borderId="0" xfId="4" applyNumberFormat="1" applyFont="1" applyFill="1" applyAlignment="1"/>
    <xf numFmtId="170" fontId="3" fillId="0" borderId="7" xfId="4" applyNumberFormat="1" applyFont="1" applyFill="1" applyBorder="1" applyAlignment="1"/>
    <xf numFmtId="170" fontId="3" fillId="0" borderId="6" xfId="4" applyNumberFormat="1" applyFont="1" applyFill="1" applyBorder="1" applyAlignment="1"/>
    <xf numFmtId="43" fontId="3" fillId="0" borderId="6" xfId="1" applyFont="1" applyFill="1" applyBorder="1" applyAlignment="1"/>
    <xf numFmtId="43" fontId="3" fillId="0" borderId="7" xfId="1" applyFont="1" applyFill="1" applyBorder="1" applyAlignment="1"/>
    <xf numFmtId="167" fontId="0" fillId="0" borderId="2" xfId="1" applyNumberFormat="1" applyFont="1" applyFill="1" applyBorder="1" applyAlignment="1"/>
    <xf numFmtId="0" fontId="0" fillId="0" borderId="2" xfId="0" applyFill="1" applyBorder="1"/>
    <xf numFmtId="170" fontId="0" fillId="0" borderId="0" xfId="4" applyNumberFormat="1" applyFont="1" applyFill="1" applyBorder="1"/>
    <xf numFmtId="0" fontId="0" fillId="0" borderId="0" xfId="0" applyFill="1" applyBorder="1"/>
    <xf numFmtId="0" fontId="0" fillId="0" borderId="6" xfId="0" applyBorder="1"/>
    <xf numFmtId="5" fontId="0" fillId="0" borderId="0" xfId="4" applyNumberFormat="1" applyFont="1"/>
    <xf numFmtId="0" fontId="3" fillId="0" borderId="8" xfId="0" applyNumberFormat="1" applyFont="1" applyFill="1" applyBorder="1" applyAlignment="1"/>
    <xf numFmtId="0" fontId="3" fillId="0" borderId="0" xfId="0" applyNumberFormat="1" applyFont="1" applyFill="1" applyBorder="1" applyAlignment="1"/>
    <xf numFmtId="0" fontId="3" fillId="0" borderId="6" xfId="0" applyNumberFormat="1" applyFont="1" applyFill="1" applyBorder="1" applyAlignment="1"/>
    <xf numFmtId="0" fontId="0" fillId="0" borderId="9" xfId="0" applyBorder="1"/>
    <xf numFmtId="0" fontId="0" fillId="0" borderId="5" xfId="0" applyNumberFormat="1" applyFill="1" applyBorder="1" applyAlignment="1"/>
    <xf numFmtId="0" fontId="0" fillId="0" borderId="0" xfId="0" applyBorder="1"/>
    <xf numFmtId="167" fontId="0" fillId="0" borderId="0" xfId="1" applyNumberFormat="1" applyFont="1" applyFill="1" applyBorder="1" applyAlignment="1"/>
    <xf numFmtId="5" fontId="0" fillId="0" borderId="0" xfId="4" applyNumberFormat="1" applyFont="1" applyFill="1" applyBorder="1"/>
    <xf numFmtId="171" fontId="0" fillId="0" borderId="0" xfId="4" applyNumberFormat="1" applyFont="1" applyFill="1" applyBorder="1"/>
    <xf numFmtId="170" fontId="0" fillId="0" borderId="0" xfId="0" applyNumberFormat="1" applyFill="1" applyBorder="1" applyAlignment="1"/>
    <xf numFmtId="170" fontId="0" fillId="0" borderId="0" xfId="4" applyNumberFormat="1" applyFont="1" applyFill="1" applyBorder="1" applyAlignment="1"/>
    <xf numFmtId="165" fontId="0" fillId="0" borderId="0" xfId="0" applyNumberFormat="1" applyFill="1" applyAlignment="1"/>
    <xf numFmtId="165" fontId="0" fillId="0" borderId="0" xfId="0" applyNumberFormat="1" applyFill="1"/>
    <xf numFmtId="165" fontId="0" fillId="0" borderId="0" xfId="2" applyNumberFormat="1" applyFont="1" applyFill="1"/>
    <xf numFmtId="0" fontId="11" fillId="0" borderId="0" xfId="0" applyNumberFormat="1" applyFont="1" applyFill="1" applyBorder="1" applyAlignment="1"/>
    <xf numFmtId="0" fontId="11" fillId="0" borderId="2" xfId="0" applyFont="1" applyBorder="1"/>
    <xf numFmtId="170" fontId="11" fillId="0" borderId="2" xfId="0" applyNumberFormat="1" applyFont="1" applyBorder="1"/>
    <xf numFmtId="5" fontId="11" fillId="0" borderId="2" xfId="4" applyNumberFormat="1" applyFont="1" applyBorder="1"/>
    <xf numFmtId="170" fontId="11" fillId="0" borderId="0" xfId="0" applyNumberFormat="1" applyFont="1" applyFill="1" applyBorder="1" applyAlignment="1"/>
    <xf numFmtId="0" fontId="11" fillId="0" borderId="0" xfId="0" applyFont="1"/>
    <xf numFmtId="172" fontId="0" fillId="0" borderId="0" xfId="0" applyNumberFormat="1" applyFill="1" applyBorder="1" applyAlignment="1"/>
    <xf numFmtId="164" fontId="8" fillId="0" borderId="0" xfId="1" applyNumberFormat="1" applyFont="1" applyFill="1" applyBorder="1" applyAlignment="1">
      <alignment horizontal="left"/>
    </xf>
    <xf numFmtId="166" fontId="7" fillId="0" borderId="4" xfId="1" applyNumberFormat="1" applyFont="1" applyFill="1" applyBorder="1" applyAlignment="1">
      <alignment horizontal="left"/>
    </xf>
    <xf numFmtId="3" fontId="0" fillId="0" borderId="0" xfId="0" applyNumberFormat="1" applyFill="1" applyAlignment="1"/>
    <xf numFmtId="3" fontId="0" fillId="0" borderId="0" xfId="0" applyNumberFormat="1" applyFill="1" applyBorder="1" applyAlignment="1"/>
    <xf numFmtId="165" fontId="7" fillId="0" borderId="4" xfId="1" applyNumberFormat="1" applyFont="1" applyFill="1" applyBorder="1" applyAlignment="1">
      <alignment horizontal="left"/>
    </xf>
    <xf numFmtId="166" fontId="0" fillId="0" borderId="0" xfId="0" applyNumberFormat="1" applyFill="1" applyAlignment="1"/>
    <xf numFmtId="10" fontId="7" fillId="0" borderId="4" xfId="1" applyNumberFormat="1" applyFont="1" applyFill="1" applyBorder="1" applyAlignment="1">
      <alignment horizontal="left"/>
    </xf>
    <xf numFmtId="10" fontId="7" fillId="0" borderId="4" xfId="2" applyNumberFormat="1" applyFont="1" applyFill="1" applyBorder="1" applyAlignment="1">
      <alignment horizontal="left"/>
    </xf>
    <xf numFmtId="170" fontId="0" fillId="0" borderId="0" xfId="0" applyNumberFormat="1" applyFill="1" applyAlignment="1"/>
    <xf numFmtId="1" fontId="11" fillId="0" borderId="0" xfId="0" applyNumberFormat="1" applyFont="1"/>
    <xf numFmtId="170" fontId="0" fillId="0" borderId="0" xfId="4" applyNumberFormat="1" applyFont="1"/>
    <xf numFmtId="0" fontId="7" fillId="0" borderId="2" xfId="0" applyFont="1" applyFill="1" applyBorder="1" applyAlignment="1">
      <alignment horizontal="center" wrapText="1"/>
    </xf>
  </cellXfs>
  <cellStyles count="5">
    <cellStyle name="Calculation" xfId="3" builtinId="22"/>
    <cellStyle name="Comma" xfId="1" builtinId="3"/>
    <cellStyle name="Currency" xfId="4" builtinId="4"/>
    <cellStyle name="Normal" xfId="0" builtinId="0"/>
    <cellStyle name="Percent" xfId="2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RD.TAI-040\Desktop\Pilaris%20CCOSS%20Supplement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7%20CASES/1706%20Puget%20Sound/Piliaris%20Supplemental%20CCOSS/170033-UE%20170034-UG%20PSE%20Resp%20KROGER%20DR%20005_Attach%20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FUNCALLOCD"/>
      <sheetName val="REV REQ"/>
      <sheetName val="Account Summary"/>
      <sheetName val="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  <sheetName val="PCA Costs"/>
    </sheetNames>
    <sheetDataSet>
      <sheetData sheetId="0"/>
      <sheetData sheetId="1">
        <row r="11">
          <cell r="C11">
            <v>2</v>
          </cell>
        </row>
      </sheetData>
      <sheetData sheetId="2"/>
      <sheetData sheetId="3"/>
      <sheetData sheetId="4"/>
      <sheetData sheetId="5">
        <row r="322">
          <cell r="F322">
            <v>1030837.496362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FUNCALLOCD"/>
      <sheetName val="REV REQ"/>
      <sheetName val="Account Summary"/>
      <sheetName val="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  <sheetName val="PCA Costs"/>
    </sheetNames>
    <sheetDataSet>
      <sheetData sheetId="0" refreshError="1"/>
      <sheetData sheetId="1">
        <row r="29">
          <cell r="F29">
            <v>7.7399999999999997E-2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1"/>
  <sheetViews>
    <sheetView zoomScaleNormal="100" workbookViewId="0">
      <pane xSplit="5" ySplit="5" topLeftCell="R66" activePane="bottomRight" state="frozen"/>
      <selection pane="topRight" activeCell="F1" sqref="F1"/>
      <selection pane="bottomLeft" activeCell="A6" sqref="A6"/>
      <selection pane="bottomRight" activeCell="T75" sqref="T75"/>
    </sheetView>
  </sheetViews>
  <sheetFormatPr defaultRowHeight="15"/>
  <cols>
    <col min="1" max="1" width="13.42578125" customWidth="1"/>
    <col min="2" max="2" width="11.42578125" bestFit="1" customWidth="1"/>
    <col min="3" max="3" width="17.7109375" customWidth="1"/>
    <col min="4" max="4" width="19.85546875" bestFit="1" customWidth="1"/>
    <col min="5" max="5" width="14.42578125" customWidth="1"/>
    <col min="6" max="6" width="20.5703125" customWidth="1"/>
    <col min="7" max="7" width="20.5703125" bestFit="1" customWidth="1"/>
    <col min="8" max="8" width="18.5703125" customWidth="1"/>
    <col min="9" max="9" width="19.7109375" bestFit="1" customWidth="1"/>
    <col min="10" max="10" width="16.28515625" customWidth="1"/>
    <col min="11" max="11" width="16.85546875" bestFit="1" customWidth="1"/>
    <col min="12" max="13" width="16.85546875" customWidth="1"/>
    <col min="14" max="14" width="17.28515625" bestFit="1" customWidth="1"/>
    <col min="15" max="15" width="16.42578125" bestFit="1" customWidth="1"/>
    <col min="16" max="16" width="17.85546875" bestFit="1" customWidth="1"/>
    <col min="17" max="17" width="17.7109375" bestFit="1" customWidth="1"/>
    <col min="18" max="19" width="13" customWidth="1"/>
    <col min="20" max="20" width="11.85546875" bestFit="1" customWidth="1"/>
  </cols>
  <sheetData>
    <row r="1" spans="1:22">
      <c r="C1">
        <v>2</v>
      </c>
      <c r="D1">
        <v>3</v>
      </c>
      <c r="F1">
        <v>4</v>
      </c>
      <c r="G1">
        <f>F1+1</f>
        <v>5</v>
      </c>
      <c r="H1">
        <f t="shared" ref="H1:R1" si="0">G1+1</f>
        <v>6</v>
      </c>
      <c r="I1">
        <f t="shared" si="0"/>
        <v>7</v>
      </c>
      <c r="J1">
        <f t="shared" si="0"/>
        <v>8</v>
      </c>
      <c r="K1">
        <f t="shared" si="0"/>
        <v>9</v>
      </c>
      <c r="L1">
        <f t="shared" ref="L1" si="1">K1+1</f>
        <v>10</v>
      </c>
      <c r="M1">
        <f t="shared" ref="M1" si="2">L1+1</f>
        <v>11</v>
      </c>
      <c r="N1">
        <f t="shared" ref="N1" si="3">M1+1</f>
        <v>12</v>
      </c>
      <c r="O1">
        <f t="shared" ref="O1" si="4">N1+1</f>
        <v>13</v>
      </c>
      <c r="P1">
        <f t="shared" ref="P1" si="5">O1+1</f>
        <v>14</v>
      </c>
      <c r="Q1">
        <f t="shared" ref="Q1" si="6">P1+1</f>
        <v>15</v>
      </c>
      <c r="R1">
        <f t="shared" ref="R1" si="7">Q1+1</f>
        <v>16</v>
      </c>
      <c r="S1">
        <f t="shared" ref="S1" si="8">R1+1</f>
        <v>17</v>
      </c>
      <c r="T1">
        <f t="shared" ref="T1" si="9">S1+1</f>
        <v>18</v>
      </c>
      <c r="U1">
        <f t="shared" ref="U1" si="10">T1+1</f>
        <v>19</v>
      </c>
      <c r="V1">
        <f t="shared" ref="V1" si="11">U1+1</f>
        <v>20</v>
      </c>
    </row>
    <row r="4" spans="1:22">
      <c r="C4" t="s">
        <v>435</v>
      </c>
      <c r="D4" s="26" t="s">
        <v>432</v>
      </c>
    </row>
    <row r="5" spans="1:22" ht="39">
      <c r="C5" s="1" t="s">
        <v>292</v>
      </c>
      <c r="D5" s="27" t="s">
        <v>433</v>
      </c>
      <c r="F5" s="3" t="s">
        <v>1</v>
      </c>
      <c r="G5" s="4" t="s">
        <v>293</v>
      </c>
      <c r="H5" s="4" t="s">
        <v>294</v>
      </c>
      <c r="I5" s="4" t="s">
        <v>295</v>
      </c>
      <c r="J5" s="4" t="s">
        <v>296</v>
      </c>
      <c r="K5" s="4" t="s">
        <v>554</v>
      </c>
      <c r="L5" s="4">
        <v>35</v>
      </c>
      <c r="M5" s="4">
        <v>43</v>
      </c>
      <c r="N5" s="4" t="s">
        <v>297</v>
      </c>
      <c r="O5" s="4" t="s">
        <v>298</v>
      </c>
      <c r="P5" s="4" t="s">
        <v>301</v>
      </c>
      <c r="Q5" s="4" t="s">
        <v>299</v>
      </c>
      <c r="R5" s="4" t="s">
        <v>300</v>
      </c>
      <c r="T5" s="4" t="s">
        <v>488</v>
      </c>
    </row>
    <row r="7" spans="1:22">
      <c r="A7" t="s">
        <v>531</v>
      </c>
    </row>
    <row r="8" spans="1:22">
      <c r="A8" t="s">
        <v>490</v>
      </c>
      <c r="F8" s="21">
        <f>Revenue!F13</f>
        <v>1963503474.2598822</v>
      </c>
      <c r="G8" s="21">
        <f>Revenue!G13</f>
        <v>1066627454</v>
      </c>
      <c r="H8" s="21">
        <f>Revenue!H13</f>
        <v>266944271</v>
      </c>
      <c r="I8" s="21">
        <f>Revenue!I13</f>
        <v>252922820</v>
      </c>
      <c r="J8" s="21">
        <f>Revenue!J13</f>
        <v>151834735</v>
      </c>
      <c r="K8" s="21">
        <f>Revenue!K13</f>
        <v>101394675</v>
      </c>
      <c r="L8" s="21">
        <f>Revenue!L13</f>
        <v>248214</v>
      </c>
      <c r="M8" s="21">
        <f>Revenue!M13</f>
        <v>10337826</v>
      </c>
      <c r="N8" s="21">
        <f>Revenue!N13</f>
        <v>47836622</v>
      </c>
      <c r="O8" s="21">
        <f>Revenue!O13</f>
        <v>40360092</v>
      </c>
      <c r="P8" s="21">
        <f>Revenue!P13</f>
        <v>7513279</v>
      </c>
      <c r="Q8" s="21">
        <f>Revenue!Q13</f>
        <v>17167097</v>
      </c>
      <c r="R8" s="21">
        <f>Revenue!R13</f>
        <v>316389</v>
      </c>
      <c r="T8" s="21">
        <f>SUM(G8:R8)-F8</f>
        <v>-0.25988221168518066</v>
      </c>
    </row>
    <row r="9" spans="1:22">
      <c r="A9" t="s">
        <v>491</v>
      </c>
      <c r="F9" s="21">
        <f>Revenue!F17</f>
        <v>30144357.521026254</v>
      </c>
      <c r="G9" s="21">
        <f>Revenue!G17</f>
        <v>15151006.255430609</v>
      </c>
      <c r="H9" s="21">
        <f>Revenue!H17</f>
        <v>3998407.8703039638</v>
      </c>
      <c r="I9" s="21">
        <f>Revenue!I17</f>
        <v>4157359.0675123362</v>
      </c>
      <c r="J9" s="21">
        <f>Revenue!J17</f>
        <v>2808911.5225242679</v>
      </c>
      <c r="K9" s="21">
        <f>Revenue!K17</f>
        <v>1833651.1236465059</v>
      </c>
      <c r="L9" s="21">
        <f>Revenue!L17</f>
        <v>7686.8111678616933</v>
      </c>
      <c r="M9" s="21">
        <f>Revenue!M17</f>
        <v>161814.91117286895</v>
      </c>
      <c r="N9" s="21">
        <f>Revenue!N17</f>
        <v>990845.03171613289</v>
      </c>
      <c r="O9" s="21">
        <f>Revenue!O17</f>
        <v>900472.24786809611</v>
      </c>
      <c r="P9" s="21">
        <f>Revenue!P17</f>
        <v>0</v>
      </c>
      <c r="Q9" s="21">
        <f>Revenue!Q17</f>
        <v>124496.1965618384</v>
      </c>
      <c r="R9" s="21">
        <f>Revenue!R17</f>
        <v>9706.4831217704541</v>
      </c>
      <c r="T9" s="21">
        <f t="shared" ref="T9:T69" si="12">SUM(G9:R9)-F9</f>
        <v>0</v>
      </c>
    </row>
    <row r="10" spans="1:22" s="38" customFormat="1">
      <c r="A10" s="38" t="s">
        <v>492</v>
      </c>
      <c r="F10" s="39">
        <f>Revenue!F50</f>
        <v>73686618.340696141</v>
      </c>
      <c r="G10" s="39">
        <f>Revenue!G50</f>
        <v>39493875.569864161</v>
      </c>
      <c r="H10" s="39">
        <f>Revenue!H50</f>
        <v>12076823.737745123</v>
      </c>
      <c r="I10" s="39">
        <f>Revenue!I50</f>
        <v>7157267.7294012178</v>
      </c>
      <c r="J10" s="39">
        <f>Revenue!J50</f>
        <v>4291040.698622846</v>
      </c>
      <c r="K10" s="39">
        <f>Revenue!K50</f>
        <v>3598037.4911521422</v>
      </c>
      <c r="L10" s="39">
        <f>Revenue!L50</f>
        <v>20445.668109947794</v>
      </c>
      <c r="M10" s="39">
        <f>Revenue!M50</f>
        <v>367508.28854627779</v>
      </c>
      <c r="N10" s="39">
        <f>Revenue!N50</f>
        <v>1420541.5338643859</v>
      </c>
      <c r="O10" s="39">
        <f>Revenue!O50</f>
        <v>4047335.0894986116</v>
      </c>
      <c r="P10" s="39">
        <f>Revenue!P50</f>
        <v>877862.02497000911</v>
      </c>
      <c r="Q10" s="39">
        <f>Revenue!Q50</f>
        <v>310410.94036303001</v>
      </c>
      <c r="R10" s="39">
        <f>Revenue!R50</f>
        <v>25469.308558399389</v>
      </c>
      <c r="T10" s="21">
        <f t="shared" si="12"/>
        <v>-0.25999999046325684</v>
      </c>
    </row>
    <row r="11" spans="1:22">
      <c r="A11" t="s">
        <v>532</v>
      </c>
      <c r="F11" s="21">
        <f>SUM(F8:F10)</f>
        <v>2067334450.1216047</v>
      </c>
      <c r="G11" s="21">
        <f t="shared" ref="G11:R11" si="13">SUM(G8:G10)</f>
        <v>1121272335.825295</v>
      </c>
      <c r="H11" s="21">
        <f t="shared" si="13"/>
        <v>283019502.60804909</v>
      </c>
      <c r="I11" s="21">
        <f t="shared" si="13"/>
        <v>264237446.79691356</v>
      </c>
      <c r="J11" s="21">
        <f t="shared" si="13"/>
        <v>158934687.22114712</v>
      </c>
      <c r="K11" s="21">
        <f t="shared" si="13"/>
        <v>106826363.61479865</v>
      </c>
      <c r="L11" s="21">
        <f t="shared" ref="L11:M11" si="14">SUM(L8:L10)</f>
        <v>276346.4792778095</v>
      </c>
      <c r="M11" s="21">
        <f t="shared" si="14"/>
        <v>10867149.199719146</v>
      </c>
      <c r="N11" s="21">
        <f t="shared" si="13"/>
        <v>50248008.565580517</v>
      </c>
      <c r="O11" s="21">
        <f t="shared" si="13"/>
        <v>45307899.337366708</v>
      </c>
      <c r="P11" s="21">
        <f t="shared" si="13"/>
        <v>8391141.0249700099</v>
      </c>
      <c r="Q11" s="21">
        <f t="shared" si="13"/>
        <v>17602004.13692487</v>
      </c>
      <c r="R11" s="21">
        <f t="shared" si="13"/>
        <v>351564.79168016982</v>
      </c>
      <c r="T11" s="21">
        <f t="shared" si="12"/>
        <v>-0.5198817253112793</v>
      </c>
    </row>
    <row r="12" spans="1:22"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T12" s="21">
        <f t="shared" si="12"/>
        <v>0</v>
      </c>
    </row>
    <row r="13" spans="1:22">
      <c r="A13" t="s">
        <v>493</v>
      </c>
      <c r="F13" s="21">
        <f>Expenses!F111</f>
        <v>1168892372.6595435</v>
      </c>
      <c r="G13" s="21">
        <f>Expenses!G111</f>
        <v>627366984.97752631</v>
      </c>
      <c r="H13" s="21">
        <f>Expenses!H111</f>
        <v>153287236.79611313</v>
      </c>
      <c r="I13" s="21">
        <f>Expenses!I111</f>
        <v>147624467.93707585</v>
      </c>
      <c r="J13" s="21">
        <f>Expenses!J111</f>
        <v>96068292.521426514</v>
      </c>
      <c r="K13" s="21">
        <f>Expenses!K111</f>
        <v>63094855.642293192</v>
      </c>
      <c r="L13" s="21">
        <f>Expenses!L111</f>
        <v>303549.11858130246</v>
      </c>
      <c r="M13" s="21">
        <f>Expenses!M111</f>
        <v>6434023.3154990124</v>
      </c>
      <c r="N13" s="21">
        <f>Expenses!N111</f>
        <v>33141858.220480718</v>
      </c>
      <c r="O13" s="21">
        <f>Expenses!O111</f>
        <v>29600137.28194971</v>
      </c>
      <c r="P13" s="21">
        <f>Expenses!P111</f>
        <v>2608573.8000899125</v>
      </c>
      <c r="Q13" s="21">
        <f>Expenses!Q111</f>
        <v>8985755.9179895371</v>
      </c>
      <c r="R13" s="21">
        <f>Expenses!R111</f>
        <v>376636.78681397799</v>
      </c>
      <c r="T13" s="21">
        <f t="shared" si="12"/>
        <v>-0.3437044620513916</v>
      </c>
    </row>
    <row r="14" spans="1:22">
      <c r="A14" t="s">
        <v>494</v>
      </c>
      <c r="F14" s="21">
        <f>Expenses!F137</f>
        <v>416230649.70058089</v>
      </c>
      <c r="G14" s="21">
        <f>Expenses!G137</f>
        <v>233957424.8024832</v>
      </c>
      <c r="H14" s="21">
        <f>Expenses!H137</f>
        <v>52809751.839362018</v>
      </c>
      <c r="I14" s="21">
        <f>Expenses!I137</f>
        <v>49522148.817562006</v>
      </c>
      <c r="J14" s="21">
        <f>Expenses!J137</f>
        <v>29738789.411343936</v>
      </c>
      <c r="K14" s="21">
        <f>Expenses!K137</f>
        <v>20241761.167014524</v>
      </c>
      <c r="L14" s="21">
        <f>Expenses!L137</f>
        <v>118918.09452468595</v>
      </c>
      <c r="M14" s="21">
        <f>Expenses!M137</f>
        <v>2722372.2405984118</v>
      </c>
      <c r="N14" s="21">
        <f>Expenses!N137</f>
        <v>10447799.934499146</v>
      </c>
      <c r="O14" s="21">
        <f>Expenses!O137</f>
        <v>8358117.6667520218</v>
      </c>
      <c r="P14" s="21">
        <f>Expenses!P137</f>
        <v>3549402.9413097757</v>
      </c>
      <c r="Q14" s="21">
        <f>Expenses!Q137</f>
        <v>4628282.2974798968</v>
      </c>
      <c r="R14" s="21">
        <f>Expenses!R137</f>
        <v>135880.48765125018</v>
      </c>
      <c r="T14" s="21">
        <f t="shared" si="12"/>
        <v>0</v>
      </c>
    </row>
    <row r="15" spans="1:22" s="38" customFormat="1">
      <c r="A15" s="38" t="s">
        <v>495</v>
      </c>
      <c r="F15" s="39">
        <f>Expenses!F146</f>
        <v>86570816.032516733</v>
      </c>
      <c r="G15" s="39">
        <f>Expenses!G146</f>
        <v>47642804.377822526</v>
      </c>
      <c r="H15" s="39">
        <f>Expenses!H146</f>
        <v>11726372.518145815</v>
      </c>
      <c r="I15" s="39">
        <f>Expenses!I146</f>
        <v>11026247.746655576</v>
      </c>
      <c r="J15" s="39">
        <f>Expenses!J146</f>
        <v>6625157.9698314229</v>
      </c>
      <c r="K15" s="39">
        <f>Expenses!K146</f>
        <v>4429333.133582077</v>
      </c>
      <c r="L15" s="39">
        <f>Expenses!L146</f>
        <v>2376.1986508783511</v>
      </c>
      <c r="M15" s="39">
        <f>Expenses!M146</f>
        <v>55992.188915257779</v>
      </c>
      <c r="N15" s="39">
        <f>Expenses!N146</f>
        <v>2109607.3881113972</v>
      </c>
      <c r="O15" s="39">
        <f>Expenses!O146</f>
        <v>1773626.85603347</v>
      </c>
      <c r="P15" s="39">
        <f>Expenses!P146</f>
        <v>382032.36673381831</v>
      </c>
      <c r="Q15" s="39">
        <f>Expenses!Q146</f>
        <v>781961.05950218474</v>
      </c>
      <c r="R15" s="39">
        <f>Expenses!R146</f>
        <v>15304.228532308822</v>
      </c>
      <c r="T15" s="21">
        <f t="shared" si="12"/>
        <v>0</v>
      </c>
    </row>
    <row r="16" spans="1:22">
      <c r="A16" t="s">
        <v>496</v>
      </c>
      <c r="F16" s="21">
        <f>SUM(F13:F15)</f>
        <v>1671693838.3926411</v>
      </c>
      <c r="G16" s="21">
        <f t="shared" ref="G16:R16" si="15">SUM(G13:G15)</f>
        <v>908967214.15783203</v>
      </c>
      <c r="H16" s="21">
        <f t="shared" si="15"/>
        <v>217823361.15362096</v>
      </c>
      <c r="I16" s="21">
        <f t="shared" si="15"/>
        <v>208172864.50129345</v>
      </c>
      <c r="J16" s="21">
        <f t="shared" si="15"/>
        <v>132432239.90260187</v>
      </c>
      <c r="K16" s="21">
        <f t="shared" si="15"/>
        <v>87765949.942889795</v>
      </c>
      <c r="L16" s="21">
        <f t="shared" ref="L16:M16" si="16">SUM(L13:L15)</f>
        <v>424843.41175686673</v>
      </c>
      <c r="M16" s="21">
        <f t="shared" si="16"/>
        <v>9212387.7450126819</v>
      </c>
      <c r="N16" s="21">
        <f t="shared" si="15"/>
        <v>45699265.54309126</v>
      </c>
      <c r="O16" s="21">
        <f t="shared" si="15"/>
        <v>39731881.804735199</v>
      </c>
      <c r="P16" s="21">
        <f t="shared" si="15"/>
        <v>6540009.108133507</v>
      </c>
      <c r="Q16" s="21">
        <f t="shared" si="15"/>
        <v>14395999.274971619</v>
      </c>
      <c r="R16" s="21">
        <f t="shared" si="15"/>
        <v>527821.50299753703</v>
      </c>
      <c r="T16" s="21">
        <f t="shared" si="12"/>
        <v>-0.3437042236328125</v>
      </c>
    </row>
    <row r="17" spans="1:21"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T17" s="21">
        <f t="shared" si="12"/>
        <v>0</v>
      </c>
    </row>
    <row r="18" spans="1:21">
      <c r="A18" t="s">
        <v>497</v>
      </c>
      <c r="F18" s="21">
        <f>F11-F16</f>
        <v>395640611.72896361</v>
      </c>
      <c r="G18" s="21">
        <f t="shared" ref="G18:R18" si="17">G11-G16</f>
        <v>212305121.66746294</v>
      </c>
      <c r="H18" s="21">
        <f t="shared" si="17"/>
        <v>65196141.454428136</v>
      </c>
      <c r="I18" s="21">
        <f t="shared" si="17"/>
        <v>56064582.295620114</v>
      </c>
      <c r="J18" s="21">
        <f t="shared" si="17"/>
        <v>26502447.318545252</v>
      </c>
      <c r="K18" s="21">
        <f t="shared" si="17"/>
        <v>19060413.671908855</v>
      </c>
      <c r="L18" s="21">
        <f t="shared" ref="L18:M18" si="18">L11-L16</f>
        <v>-148496.93247905723</v>
      </c>
      <c r="M18" s="21">
        <f t="shared" si="18"/>
        <v>1654761.454706464</v>
      </c>
      <c r="N18" s="21">
        <f t="shared" si="17"/>
        <v>4548743.0224892572</v>
      </c>
      <c r="O18" s="21">
        <f t="shared" si="17"/>
        <v>5576017.532631509</v>
      </c>
      <c r="P18" s="21">
        <f t="shared" si="17"/>
        <v>1851131.916836503</v>
      </c>
      <c r="Q18" s="21">
        <f t="shared" si="17"/>
        <v>3206004.8619532511</v>
      </c>
      <c r="R18" s="21">
        <f t="shared" si="17"/>
        <v>-176256.71131736721</v>
      </c>
      <c r="T18" s="21">
        <f t="shared" si="12"/>
        <v>-0.1761777400970459</v>
      </c>
    </row>
    <row r="19" spans="1:21"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T19" s="21">
        <f t="shared" si="12"/>
        <v>0</v>
      </c>
    </row>
    <row r="20" spans="1:21">
      <c r="A20" t="s">
        <v>498</v>
      </c>
      <c r="F20" s="21">
        <f>F35*0.0299</f>
        <v>152422658.3214879</v>
      </c>
      <c r="G20" s="21">
        <f t="shared" ref="G20:R20" si="19">G35*0.0299</f>
        <v>84498434.545536056</v>
      </c>
      <c r="H20" s="21">
        <f t="shared" si="19"/>
        <v>18759089.493357308</v>
      </c>
      <c r="I20" s="21">
        <f t="shared" si="19"/>
        <v>18599646.02830885</v>
      </c>
      <c r="J20" s="21">
        <f t="shared" si="19"/>
        <v>11218653.900926119</v>
      </c>
      <c r="K20" s="21">
        <f t="shared" si="19"/>
        <v>7681279.6926481593</v>
      </c>
      <c r="L20" s="21">
        <f t="shared" ref="L20:M20" si="20">L35*0.0299</f>
        <v>44096.402413607684</v>
      </c>
      <c r="M20" s="21">
        <f t="shared" si="20"/>
        <v>1031392.59019379</v>
      </c>
      <c r="N20" s="21">
        <f t="shared" si="19"/>
        <v>3810589.4846361438</v>
      </c>
      <c r="O20" s="21">
        <f t="shared" si="19"/>
        <v>3223071.5382828722</v>
      </c>
      <c r="P20" s="21">
        <f t="shared" si="19"/>
        <v>1819591.9871495054</v>
      </c>
      <c r="Q20" s="21">
        <f t="shared" si="19"/>
        <v>1684761.4797672296</v>
      </c>
      <c r="R20" s="21">
        <f t="shared" si="19"/>
        <v>52051.1336971977</v>
      </c>
      <c r="T20" s="21">
        <f t="shared" si="12"/>
        <v>-4.4571042060852051E-2</v>
      </c>
    </row>
    <row r="21" spans="1:21">
      <c r="A21" t="s">
        <v>529</v>
      </c>
      <c r="F21" s="21">
        <f>F18-F20</f>
        <v>243217953.40747571</v>
      </c>
      <c r="G21" s="21">
        <f t="shared" ref="G21:R21" si="21">G18-G20</f>
        <v>127806687.12192689</v>
      </c>
      <c r="H21" s="21">
        <f t="shared" si="21"/>
        <v>46437051.961070828</v>
      </c>
      <c r="I21" s="21">
        <f t="shared" si="21"/>
        <v>37464936.26731126</v>
      </c>
      <c r="J21" s="21">
        <f t="shared" si="21"/>
        <v>15283793.417619133</v>
      </c>
      <c r="K21" s="21">
        <f t="shared" si="21"/>
        <v>11379133.979260696</v>
      </c>
      <c r="L21" s="21">
        <f t="shared" ref="L21:M21" si="22">L18-L20</f>
        <v>-192593.33489266492</v>
      </c>
      <c r="M21" s="21">
        <f t="shared" si="22"/>
        <v>623368.86451267393</v>
      </c>
      <c r="N21" s="21">
        <f t="shared" si="21"/>
        <v>738153.53785311338</v>
      </c>
      <c r="O21" s="21">
        <f t="shared" si="21"/>
        <v>2352945.9943486368</v>
      </c>
      <c r="P21" s="21">
        <f t="shared" si="21"/>
        <v>31539.929686997551</v>
      </c>
      <c r="Q21" s="21">
        <f t="shared" si="21"/>
        <v>1521243.3821860214</v>
      </c>
      <c r="R21" s="21">
        <f t="shared" si="21"/>
        <v>-228307.84501456493</v>
      </c>
      <c r="T21" s="21">
        <f t="shared" si="12"/>
        <v>-0.13160669803619385</v>
      </c>
    </row>
    <row r="22" spans="1:21">
      <c r="T22" s="21">
        <f t="shared" si="12"/>
        <v>0</v>
      </c>
    </row>
    <row r="23" spans="1:21">
      <c r="A23" t="s">
        <v>499</v>
      </c>
      <c r="C23" s="40"/>
      <c r="F23" s="21">
        <f>Expenses!F151</f>
        <v>90238128.597339079</v>
      </c>
      <c r="G23" s="21">
        <f>($F23/$F21)*G21</f>
        <v>47418523.618552215</v>
      </c>
      <c r="H23" s="21">
        <f t="shared" ref="H23:R23" si="23">($F23/$F21)*H21</f>
        <v>17228961.13480588</v>
      </c>
      <c r="I23" s="21">
        <f t="shared" si="23"/>
        <v>13900148.773625989</v>
      </c>
      <c r="J23" s="21">
        <f t="shared" si="23"/>
        <v>5670555.5513151875</v>
      </c>
      <c r="K23" s="21">
        <f t="shared" si="23"/>
        <v>4221858.3824137878</v>
      </c>
      <c r="L23" s="21">
        <f t="shared" ref="L23:M23" si="24">($F23/$F21)*L21</f>
        <v>-71455.506789493884</v>
      </c>
      <c r="M23" s="21">
        <f t="shared" si="24"/>
        <v>231280.78734068866</v>
      </c>
      <c r="N23" s="21">
        <f t="shared" si="23"/>
        <v>273867.91534165869</v>
      </c>
      <c r="O23" s="21">
        <f t="shared" si="23"/>
        <v>872984.25237920776</v>
      </c>
      <c r="P23" s="21">
        <f t="shared" si="23"/>
        <v>11701.867362883737</v>
      </c>
      <c r="Q23" s="21">
        <f t="shared" si="23"/>
        <v>564407.98891013896</v>
      </c>
      <c r="R23" s="21">
        <f t="shared" si="23"/>
        <v>-84706.216747453436</v>
      </c>
      <c r="S23" s="21"/>
      <c r="T23" s="21">
        <f t="shared" si="12"/>
        <v>-4.8828378319740295E-2</v>
      </c>
      <c r="U23" s="21"/>
    </row>
    <row r="24" spans="1:21" s="41" customFormat="1" ht="15.75" thickBot="1"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21">
        <f t="shared" si="12"/>
        <v>0</v>
      </c>
      <c r="U24" s="42"/>
    </row>
    <row r="25" spans="1:21" ht="15.75" thickTop="1">
      <c r="A25" t="s">
        <v>500</v>
      </c>
      <c r="F25" s="21">
        <f>F18-F23</f>
        <v>305402483.13162452</v>
      </c>
      <c r="G25" s="21">
        <f t="shared" ref="G25:R25" si="25">G18-G23</f>
        <v>164886598.04891074</v>
      </c>
      <c r="H25" s="21">
        <f t="shared" si="25"/>
        <v>47967180.319622256</v>
      </c>
      <c r="I25" s="21">
        <f t="shared" si="25"/>
        <v>42164433.521994129</v>
      </c>
      <c r="J25" s="21">
        <f t="shared" si="25"/>
        <v>20831891.767230064</v>
      </c>
      <c r="K25" s="21">
        <f t="shared" si="25"/>
        <v>14838555.289495068</v>
      </c>
      <c r="L25" s="21">
        <f t="shared" ref="L25:M25" si="26">L18-L23</f>
        <v>-77041.425689563344</v>
      </c>
      <c r="M25" s="21">
        <f t="shared" si="26"/>
        <v>1423480.6673657752</v>
      </c>
      <c r="N25" s="21">
        <f t="shared" si="25"/>
        <v>4274875.1071475986</v>
      </c>
      <c r="O25" s="21">
        <f t="shared" si="25"/>
        <v>4703033.2802523011</v>
      </c>
      <c r="P25" s="21">
        <f t="shared" si="25"/>
        <v>1839430.0494736193</v>
      </c>
      <c r="Q25" s="21">
        <f t="shared" si="25"/>
        <v>2641596.873043112</v>
      </c>
      <c r="R25" s="21">
        <f t="shared" si="25"/>
        <v>-91550.494569913775</v>
      </c>
      <c r="S25" s="21"/>
      <c r="T25" s="21">
        <f t="shared" si="12"/>
        <v>-0.1273493766784668</v>
      </c>
      <c r="U25" s="21"/>
    </row>
    <row r="26" spans="1:21">
      <c r="G26" s="21"/>
      <c r="T26" s="21">
        <f t="shared" si="12"/>
        <v>0</v>
      </c>
    </row>
    <row r="27" spans="1:21">
      <c r="A27" t="s">
        <v>501</v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>
        <f t="shared" si="12"/>
        <v>0</v>
      </c>
      <c r="U27" s="21"/>
    </row>
    <row r="28" spans="1:21">
      <c r="B28" t="s">
        <v>502</v>
      </c>
      <c r="F28" s="21">
        <f>'Rate Base'!F74</f>
        <v>9523077020.3544521</v>
      </c>
      <c r="G28" s="21">
        <f>'Rate Base'!G74</f>
        <v>5320845961.3625622</v>
      </c>
      <c r="H28" s="21">
        <f>'Rate Base'!H74</f>
        <v>1205636118.7856729</v>
      </c>
      <c r="I28" s="21">
        <f>'Rate Base'!I74</f>
        <v>1136856497.0624135</v>
      </c>
      <c r="J28" s="21">
        <f>'Rate Base'!J74</f>
        <v>680944688.47620356</v>
      </c>
      <c r="K28" s="21">
        <f>'Rate Base'!K74</f>
        <v>464034789.09934884</v>
      </c>
      <c r="L28" s="21">
        <f>'Rate Base'!L74</f>
        <v>2746180.8210446234</v>
      </c>
      <c r="M28" s="21">
        <f>'Rate Base'!M74</f>
        <v>62944046.067711271</v>
      </c>
      <c r="N28" s="21">
        <f>'Rate Base'!N74</f>
        <v>239167214.64977452</v>
      </c>
      <c r="O28" s="21">
        <f>'Rate Base'!O74</f>
        <v>190668170.88536265</v>
      </c>
      <c r="P28" s="21">
        <f>'Rate Base'!P74</f>
        <v>109891665.2819345</v>
      </c>
      <c r="Q28" s="21">
        <f>'Rate Base'!Q74</f>
        <v>106210115.90541455</v>
      </c>
      <c r="R28" s="21">
        <f>'Rate Base'!R74</f>
        <v>3131571.6255083205</v>
      </c>
      <c r="S28" s="21"/>
      <c r="T28" s="21">
        <f t="shared" si="12"/>
        <v>-0.33149909973144531</v>
      </c>
      <c r="U28" s="21"/>
    </row>
    <row r="29" spans="1:21">
      <c r="B29" s="38" t="s">
        <v>503</v>
      </c>
      <c r="C29" s="38"/>
      <c r="D29" s="38"/>
      <c r="E29" s="38"/>
      <c r="F29" s="39">
        <f>'Rate Base'!F125</f>
        <v>-3697506273.3020792</v>
      </c>
      <c r="G29" s="39">
        <f>'Rate Base'!G125</f>
        <v>-2081436843.1975629</v>
      </c>
      <c r="H29" s="39">
        <f>'Rate Base'!H125</f>
        <v>-464211307.25578356</v>
      </c>
      <c r="I29" s="39">
        <f>'Rate Base'!I125</f>
        <v>-437874748.92082441</v>
      </c>
      <c r="J29" s="39">
        <f>'Rate Base'!J125</f>
        <v>-263316513.819345</v>
      </c>
      <c r="K29" s="39">
        <f>'Rate Base'!K125</f>
        <v>-177885840.05061266</v>
      </c>
      <c r="L29" s="39">
        <f>'Rate Base'!L125</f>
        <v>-1072926.5269407206</v>
      </c>
      <c r="M29" s="39">
        <f>'Rate Base'!M125</f>
        <v>-23786082.938725203</v>
      </c>
      <c r="N29" s="39">
        <f>'Rate Base'!N125</f>
        <v>-97032364.875892296</v>
      </c>
      <c r="O29" s="39">
        <f>'Rate Base'!O125</f>
        <v>-72049387.177113339</v>
      </c>
      <c r="P29" s="39">
        <f>'Rate Base'!P125</f>
        <v>-36744423.869968712</v>
      </c>
      <c r="Q29" s="39">
        <f>'Rate Base'!Q125</f>
        <v>-40923806.668174759</v>
      </c>
      <c r="R29" s="39">
        <f>'Rate Base'!R125</f>
        <v>-1172029.1603055003</v>
      </c>
      <c r="S29" s="21"/>
      <c r="T29" s="21">
        <f t="shared" si="12"/>
        <v>-1.1591696739196777</v>
      </c>
      <c r="U29" s="21"/>
    </row>
    <row r="30" spans="1:21">
      <c r="B30" t="s">
        <v>504</v>
      </c>
      <c r="F30" s="21">
        <f>F28+F29</f>
        <v>5825570747.0523729</v>
      </c>
      <c r="G30" s="21">
        <f t="shared" ref="G30:R30" si="27">G28+G29</f>
        <v>3239409118.164999</v>
      </c>
      <c r="H30" s="21">
        <f t="shared" si="27"/>
        <v>741424811.52988935</v>
      </c>
      <c r="I30" s="21">
        <f t="shared" si="27"/>
        <v>698981748.14158905</v>
      </c>
      <c r="J30" s="21">
        <f t="shared" si="27"/>
        <v>417628174.65685856</v>
      </c>
      <c r="K30" s="21">
        <f t="shared" si="27"/>
        <v>286148949.04873621</v>
      </c>
      <c r="L30" s="21">
        <f t="shared" ref="L30:M30" si="28">L28+L29</f>
        <v>1673254.2941039028</v>
      </c>
      <c r="M30" s="21">
        <f t="shared" si="28"/>
        <v>39157963.128986068</v>
      </c>
      <c r="N30" s="21">
        <f t="shared" si="27"/>
        <v>142134849.77388221</v>
      </c>
      <c r="O30" s="21">
        <f t="shared" si="27"/>
        <v>118618783.70824932</v>
      </c>
      <c r="P30" s="21">
        <f t="shared" si="27"/>
        <v>73147241.411965787</v>
      </c>
      <c r="Q30" s="21">
        <f t="shared" si="27"/>
        <v>65286309.237239793</v>
      </c>
      <c r="R30" s="21">
        <f t="shared" si="27"/>
        <v>1959542.4652028203</v>
      </c>
      <c r="S30" s="21"/>
      <c r="T30" s="21">
        <f t="shared" si="12"/>
        <v>-1.4906711578369141</v>
      </c>
      <c r="U30" s="21"/>
    </row>
    <row r="31" spans="1:21"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>
        <f t="shared" si="12"/>
        <v>0</v>
      </c>
      <c r="U31" s="21"/>
    </row>
    <row r="32" spans="1:21">
      <c r="B32" t="s">
        <v>102</v>
      </c>
      <c r="F32" s="21">
        <f>'Rate Base'!F132</f>
        <v>227005241.70228952</v>
      </c>
      <c r="G32" s="21">
        <f>'Rate Base'!G132</f>
        <v>126835047.22057244</v>
      </c>
      <c r="H32" s="21">
        <f>'Rate Base'!H132</f>
        <v>28739210.863726929</v>
      </c>
      <c r="I32" s="21">
        <f>'Rate Base'!I132</f>
        <v>27099684.624397729</v>
      </c>
      <c r="J32" s="21">
        <f>'Rate Base'!J132</f>
        <v>16231939.872839363</v>
      </c>
      <c r="K32" s="21">
        <f>'Rate Base'!K132</f>
        <v>11061375.355495628</v>
      </c>
      <c r="L32" s="21">
        <f>'Rate Base'!L132</f>
        <v>65461.766163256769</v>
      </c>
      <c r="M32" s="21">
        <f>'Rate Base'!M132</f>
        <v>1500421.3828448493</v>
      </c>
      <c r="N32" s="21">
        <f>'Rate Base'!N132</f>
        <v>5701120.6834389931</v>
      </c>
      <c r="O32" s="21">
        <f>'Rate Base'!O132</f>
        <v>4545030.3642152911</v>
      </c>
      <c r="P32" s="21">
        <f>'Rate Base'!P132</f>
        <v>2619529.7996584419</v>
      </c>
      <c r="Q32" s="21">
        <f>'Rate Base'!Q132</f>
        <v>2531771.2942616423</v>
      </c>
      <c r="R32" s="21">
        <f>'Rate Base'!R132</f>
        <v>74648.474674925455</v>
      </c>
      <c r="S32" s="21"/>
      <c r="T32" s="21">
        <f t="shared" si="12"/>
        <v>0</v>
      </c>
      <c r="U32" s="21"/>
    </row>
    <row r="33" spans="1:21">
      <c r="B33" t="s">
        <v>505</v>
      </c>
      <c r="F33" s="21">
        <f>'Rate Base'!F155</f>
        <v>-954828218.80523431</v>
      </c>
      <c r="G33" s="21">
        <f>'Rate Base'!G155</f>
        <v>-540209565.20041895</v>
      </c>
      <c r="H33" s="21">
        <f>'Rate Base'!H155</f>
        <v>-142769724.95691708</v>
      </c>
      <c r="I33" s="21">
        <f>'Rate Base'!I155</f>
        <v>-104019692.68876773</v>
      </c>
      <c r="J33" s="21">
        <f>'Rate Base'!J155</f>
        <v>-58654298.445212364</v>
      </c>
      <c r="K33" s="21">
        <f>'Rate Base'!K155</f>
        <v>-40311338.028039202</v>
      </c>
      <c r="L33" s="21">
        <f>'Rate Base'!L155</f>
        <v>-263919.99292242085</v>
      </c>
      <c r="M33" s="21">
        <f>'Rate Base'!M155</f>
        <v>-6163649.0538446326</v>
      </c>
      <c r="N33" s="21">
        <f>'Rate Base'!N155</f>
        <v>-20391506.088219386</v>
      </c>
      <c r="O33" s="21">
        <f>'Rate Base'!O155</f>
        <v>-15368779.347284924</v>
      </c>
      <c r="P33" s="21">
        <f>'Rate Base'!P155</f>
        <v>-14910851.908965195</v>
      </c>
      <c r="Q33" s="21">
        <f>'Rate Base'!Q155</f>
        <v>-11471542.746644268</v>
      </c>
      <c r="R33" s="21">
        <f>'Rate Base'!R155</f>
        <v>-293350.34799822402</v>
      </c>
      <c r="S33" s="21"/>
      <c r="T33" s="21">
        <f t="shared" si="12"/>
        <v>0</v>
      </c>
      <c r="U33" s="21"/>
    </row>
    <row r="34" spans="1:21">
      <c r="T34" s="21">
        <f t="shared" si="12"/>
        <v>0</v>
      </c>
    </row>
    <row r="35" spans="1:21">
      <c r="A35" t="s">
        <v>125</v>
      </c>
      <c r="F35" s="21">
        <f>F30+F32+F33</f>
        <v>5097747769.9494286</v>
      </c>
      <c r="G35" s="21">
        <f t="shared" ref="G35:R35" si="29">G30+G32+G33</f>
        <v>2826034600.1851525</v>
      </c>
      <c r="H35" s="21">
        <f t="shared" si="29"/>
        <v>627394297.43669927</v>
      </c>
      <c r="I35" s="21">
        <f t="shared" si="29"/>
        <v>622061740.07721901</v>
      </c>
      <c r="J35" s="21">
        <f t="shared" si="29"/>
        <v>375205816.08448559</v>
      </c>
      <c r="K35" s="21">
        <f t="shared" si="29"/>
        <v>256898986.37619263</v>
      </c>
      <c r="L35" s="21">
        <f t="shared" ref="L35:M35" si="30">L30+L32+L33</f>
        <v>1474796.0673447386</v>
      </c>
      <c r="M35" s="21">
        <f t="shared" si="30"/>
        <v>34494735.457986288</v>
      </c>
      <c r="N35" s="21">
        <f t="shared" si="29"/>
        <v>127444464.36910181</v>
      </c>
      <c r="O35" s="21">
        <f t="shared" si="29"/>
        <v>107795034.72517967</v>
      </c>
      <c r="P35" s="21">
        <f t="shared" si="29"/>
        <v>60855919.302659042</v>
      </c>
      <c r="Q35" s="21">
        <f t="shared" si="29"/>
        <v>56346537.784857176</v>
      </c>
      <c r="R35" s="21">
        <f t="shared" si="29"/>
        <v>1740840.5918795217</v>
      </c>
      <c r="T35" s="21">
        <f t="shared" si="12"/>
        <v>-1.4906711578369141</v>
      </c>
    </row>
    <row r="36" spans="1:21">
      <c r="T36" s="21">
        <f t="shared" si="12"/>
        <v>0</v>
      </c>
    </row>
    <row r="37" spans="1:21">
      <c r="A37" t="s">
        <v>506</v>
      </c>
      <c r="F37" s="43">
        <f>F25/F35</f>
        <v>5.9909296597986487E-2</v>
      </c>
      <c r="G37" s="43">
        <f t="shared" ref="G37:R37" si="31">G25/G35</f>
        <v>5.8345569455557238E-2</v>
      </c>
      <c r="H37" s="43">
        <f t="shared" si="31"/>
        <v>7.6454600425280225E-2</v>
      </c>
      <c r="I37" s="43">
        <f t="shared" si="31"/>
        <v>6.7781750275720365E-2</v>
      </c>
      <c r="J37" s="43">
        <f t="shared" si="31"/>
        <v>5.552123894193399E-2</v>
      </c>
      <c r="K37" s="43">
        <f t="shared" si="31"/>
        <v>5.7760271843837016E-2</v>
      </c>
      <c r="L37" s="43">
        <f t="shared" ref="L37:M37" si="32">L25/L35</f>
        <v>-5.2238697536175792E-2</v>
      </c>
      <c r="M37" s="43">
        <f t="shared" si="32"/>
        <v>4.1266606294155773E-2</v>
      </c>
      <c r="N37" s="43">
        <f t="shared" si="31"/>
        <v>3.3543042675959631E-2</v>
      </c>
      <c r="O37" s="43">
        <f t="shared" si="31"/>
        <v>4.3629405493885214E-2</v>
      </c>
      <c r="P37" s="43">
        <f t="shared" si="31"/>
        <v>3.022598410395301E-2</v>
      </c>
      <c r="Q37" s="43">
        <f t="shared" si="31"/>
        <v>4.6881263284166266E-2</v>
      </c>
      <c r="R37" s="43">
        <f t="shared" si="31"/>
        <v>-5.2589820686034246E-2</v>
      </c>
      <c r="S37" s="43"/>
      <c r="T37" s="21">
        <f t="shared" si="12"/>
        <v>0.34667191797425223</v>
      </c>
      <c r="U37" s="43"/>
    </row>
    <row r="38" spans="1:21">
      <c r="A38" t="s">
        <v>507</v>
      </c>
      <c r="F38" s="44">
        <f>F37/$F37</f>
        <v>1</v>
      </c>
      <c r="G38" s="44">
        <f t="shared" ref="G38:R38" si="33">G37/$F37</f>
        <v>0.97389842259503667</v>
      </c>
      <c r="H38" s="44">
        <f t="shared" si="33"/>
        <v>1.2761725603009302</v>
      </c>
      <c r="I38" s="44">
        <f t="shared" si="33"/>
        <v>1.1314062111354928</v>
      </c>
      <c r="J38" s="44">
        <f t="shared" si="33"/>
        <v>0.92675497952349561</v>
      </c>
      <c r="K38" s="44">
        <f t="shared" si="33"/>
        <v>0.96412869327159323</v>
      </c>
      <c r="L38" s="44">
        <f t="shared" ref="L38:M38" si="34">L37/$F37</f>
        <v>-0.87196312596885839</v>
      </c>
      <c r="M38" s="44">
        <f t="shared" si="34"/>
        <v>0.6888180739471863</v>
      </c>
      <c r="N38" s="44">
        <f t="shared" si="33"/>
        <v>0.55989712082660292</v>
      </c>
      <c r="O38" s="44">
        <f t="shared" si="33"/>
        <v>0.72825768238700317</v>
      </c>
      <c r="P38" s="44">
        <f t="shared" si="33"/>
        <v>0.50452911017768298</v>
      </c>
      <c r="Q38" s="44">
        <f t="shared" si="33"/>
        <v>0.7825373680942519</v>
      </c>
      <c r="R38" s="44">
        <f t="shared" si="33"/>
        <v>-0.87782403854499191</v>
      </c>
      <c r="S38" s="43"/>
      <c r="T38" s="21">
        <f t="shared" si="12"/>
        <v>5.7866130577454262</v>
      </c>
      <c r="U38" s="43"/>
    </row>
    <row r="39" spans="1:21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21">
        <f t="shared" si="12"/>
        <v>0</v>
      </c>
    </row>
    <row r="40" spans="1:21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21">
        <f t="shared" si="12"/>
        <v>0</v>
      </c>
    </row>
    <row r="41" spans="1:21">
      <c r="A41" s="45" t="s">
        <v>513</v>
      </c>
      <c r="B41" s="45"/>
      <c r="C41" s="45"/>
      <c r="D41" s="45"/>
      <c r="E41" s="45"/>
      <c r="F41" s="58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21">
        <f t="shared" si="12"/>
        <v>0</v>
      </c>
    </row>
    <row r="42" spans="1:21">
      <c r="A42" s="51" t="s">
        <v>509</v>
      </c>
      <c r="B42" s="51"/>
      <c r="F42" s="59">
        <v>7.7399999999999997E-2</v>
      </c>
      <c r="G42" s="59">
        <v>7.7399999999999997E-2</v>
      </c>
      <c r="H42" s="59">
        <v>7.7399999999999997E-2</v>
      </c>
      <c r="I42" s="59">
        <v>7.7399999999999997E-2</v>
      </c>
      <c r="J42" s="59">
        <v>7.7399999999999997E-2</v>
      </c>
      <c r="K42" s="59">
        <v>7.7399999999999997E-2</v>
      </c>
      <c r="L42" s="59">
        <v>7.7399999999999997E-2</v>
      </c>
      <c r="M42" s="59">
        <v>7.7399999999999997E-2</v>
      </c>
      <c r="N42" s="59">
        <v>7.7399999999999997E-2</v>
      </c>
      <c r="O42" s="59">
        <v>7.7399999999999997E-2</v>
      </c>
      <c r="P42" s="59">
        <v>7.7399999999999997E-2</v>
      </c>
      <c r="Q42" s="59">
        <v>7.7399999999999997E-2</v>
      </c>
      <c r="R42" s="59">
        <v>7.7399999999999997E-2</v>
      </c>
      <c r="S42" s="46"/>
      <c r="T42" s="21">
        <f t="shared" si="12"/>
        <v>0.85140000000000016</v>
      </c>
    </row>
    <row r="43" spans="1:21">
      <c r="A43" s="50" t="s">
        <v>508</v>
      </c>
      <c r="B43" s="50"/>
      <c r="F43" s="60">
        <f>F35*F42</f>
        <v>394565677.39408576</v>
      </c>
      <c r="G43" s="60">
        <f t="shared" ref="G43:R43" si="35">G35*G42</f>
        <v>218735078.0543308</v>
      </c>
      <c r="H43" s="60">
        <f t="shared" si="35"/>
        <v>48560318.621600524</v>
      </c>
      <c r="I43" s="60">
        <f t="shared" si="35"/>
        <v>48147578.68197675</v>
      </c>
      <c r="J43" s="60">
        <f t="shared" si="35"/>
        <v>29040930.164939184</v>
      </c>
      <c r="K43" s="60">
        <f t="shared" si="35"/>
        <v>19883981.545517307</v>
      </c>
      <c r="L43" s="60">
        <f t="shared" ref="L43:M43" si="36">L35*L42</f>
        <v>114149.21561248276</v>
      </c>
      <c r="M43" s="60">
        <f t="shared" si="36"/>
        <v>2669892.5244481387</v>
      </c>
      <c r="N43" s="60">
        <f t="shared" si="35"/>
        <v>9864201.5421684794</v>
      </c>
      <c r="O43" s="60">
        <f t="shared" si="35"/>
        <v>8343335.6877289061</v>
      </c>
      <c r="P43" s="60">
        <f t="shared" si="35"/>
        <v>4710248.1540258098</v>
      </c>
      <c r="Q43" s="60">
        <f t="shared" si="35"/>
        <v>4361222.0245479457</v>
      </c>
      <c r="R43" s="60">
        <f t="shared" si="35"/>
        <v>134741.06181147497</v>
      </c>
      <c r="S43" s="46"/>
      <c r="T43" s="21">
        <f t="shared" si="12"/>
        <v>-0.11537802219390869</v>
      </c>
    </row>
    <row r="44" spans="1:21">
      <c r="A44" s="50" t="s">
        <v>514</v>
      </c>
      <c r="B44" s="50"/>
      <c r="F44" s="60">
        <f>F43-F25</f>
        <v>89163194.262461245</v>
      </c>
      <c r="G44" s="60">
        <f t="shared" ref="G44:R44" si="37">G43-G25</f>
        <v>53848480.005420059</v>
      </c>
      <c r="H44" s="60">
        <f t="shared" si="37"/>
        <v>593138.30197826773</v>
      </c>
      <c r="I44" s="60">
        <f t="shared" si="37"/>
        <v>5983145.1599826217</v>
      </c>
      <c r="J44" s="60">
        <f t="shared" si="37"/>
        <v>8209038.3977091201</v>
      </c>
      <c r="K44" s="60">
        <f t="shared" si="37"/>
        <v>5045426.2560222391</v>
      </c>
      <c r="L44" s="60">
        <f t="shared" ref="L44:M44" si="38">L43-L25</f>
        <v>191190.6413020461</v>
      </c>
      <c r="M44" s="60">
        <f t="shared" si="38"/>
        <v>1246411.8570823635</v>
      </c>
      <c r="N44" s="60">
        <f t="shared" si="37"/>
        <v>5589326.4350208808</v>
      </c>
      <c r="O44" s="60">
        <f t="shared" si="37"/>
        <v>3640302.4074766049</v>
      </c>
      <c r="P44" s="60">
        <f t="shared" si="37"/>
        <v>2870818.1045521908</v>
      </c>
      <c r="Q44" s="60">
        <f t="shared" si="37"/>
        <v>1719625.1515048337</v>
      </c>
      <c r="R44" s="60">
        <f t="shared" si="37"/>
        <v>226291.55638138874</v>
      </c>
      <c r="S44" s="46"/>
      <c r="T44" s="21">
        <f t="shared" si="12"/>
        <v>1.1971384286880493E-2</v>
      </c>
    </row>
    <row r="45" spans="1:21">
      <c r="A45" s="5"/>
      <c r="B45" s="5"/>
      <c r="C45" s="38"/>
      <c r="D45" s="38"/>
      <c r="E45" s="38"/>
      <c r="F45" s="65"/>
      <c r="G45" s="56"/>
      <c r="H45" s="56"/>
      <c r="I45" s="66"/>
      <c r="J45" s="47"/>
      <c r="K45" s="47"/>
      <c r="L45" s="47"/>
      <c r="M45" s="47"/>
      <c r="N45" s="47"/>
      <c r="O45" s="47"/>
      <c r="P45" s="47"/>
      <c r="Q45" s="47"/>
      <c r="R45" s="47"/>
      <c r="S45" s="46"/>
      <c r="T45" s="21">
        <f t="shared" si="12"/>
        <v>0</v>
      </c>
    </row>
    <row r="46" spans="1:21">
      <c r="A46" s="5" t="s">
        <v>522</v>
      </c>
      <c r="B46" s="5"/>
      <c r="C46" s="76"/>
      <c r="D46" s="76"/>
      <c r="E46" s="76"/>
      <c r="F46" s="77"/>
      <c r="G46" s="16"/>
      <c r="H46" s="16"/>
      <c r="I46" s="68"/>
      <c r="J46" s="78"/>
      <c r="K46" s="78"/>
      <c r="L46" s="78"/>
      <c r="M46" s="78"/>
      <c r="N46" s="78"/>
      <c r="O46" s="78"/>
      <c r="P46" s="78"/>
      <c r="Q46" s="78"/>
      <c r="R46" s="78"/>
      <c r="S46" s="46"/>
      <c r="T46" s="21">
        <f t="shared" si="12"/>
        <v>0</v>
      </c>
    </row>
    <row r="47" spans="1:21">
      <c r="A47" s="5" t="s">
        <v>523</v>
      </c>
      <c r="D47">
        <v>18</v>
      </c>
      <c r="F47" s="70">
        <v>1030837</v>
      </c>
      <c r="G47" s="18">
        <f t="shared" ref="G47:R47" si="39">INDEX(Alloc,($D47),(G$1))*$F47</f>
        <v>916569.29377686966</v>
      </c>
      <c r="H47" s="18">
        <f t="shared" si="39"/>
        <v>72935.291421053582</v>
      </c>
      <c r="I47" s="18">
        <f t="shared" si="39"/>
        <v>22661.796612450518</v>
      </c>
      <c r="J47" s="18">
        <f t="shared" si="39"/>
        <v>16058.998967511714</v>
      </c>
      <c r="K47" s="18">
        <f t="shared" si="39"/>
        <v>106.07585757000368</v>
      </c>
      <c r="L47" s="18">
        <f t="shared" si="39"/>
        <v>0</v>
      </c>
      <c r="M47" s="18">
        <f t="shared" si="39"/>
        <v>0</v>
      </c>
      <c r="N47" s="18">
        <f t="shared" si="39"/>
        <v>0</v>
      </c>
      <c r="O47" s="18">
        <f t="shared" si="39"/>
        <v>0</v>
      </c>
      <c r="P47" s="18">
        <f t="shared" si="39"/>
        <v>0</v>
      </c>
      <c r="Q47" s="18">
        <f t="shared" si="39"/>
        <v>2505.5433645445028</v>
      </c>
      <c r="R47" s="18">
        <f t="shared" si="39"/>
        <v>0</v>
      </c>
      <c r="T47" s="21">
        <f t="shared" si="12"/>
        <v>0</v>
      </c>
    </row>
    <row r="48" spans="1:21">
      <c r="A48" s="5" t="s">
        <v>524</v>
      </c>
      <c r="D48" t="s">
        <v>533</v>
      </c>
      <c r="F48" s="70">
        <v>288064</v>
      </c>
      <c r="G48" s="18">
        <f>G44/$F44*$F48</f>
        <v>173970.9828992968</v>
      </c>
      <c r="H48" s="18">
        <f t="shared" ref="H48:R48" si="40">H44/$F44*$F48</f>
        <v>1916.281636547453</v>
      </c>
      <c r="I48" s="18">
        <f t="shared" si="40"/>
        <v>19330.046905810101</v>
      </c>
      <c r="J48" s="18">
        <f t="shared" si="40"/>
        <v>26521.351736646549</v>
      </c>
      <c r="K48" s="18">
        <f t="shared" si="40"/>
        <v>16300.511450235146</v>
      </c>
      <c r="L48" s="18">
        <f t="shared" ref="L48:M48" si="41">L44/$F44*$F48</f>
        <v>617.68918612216987</v>
      </c>
      <c r="M48" s="18">
        <f t="shared" si="41"/>
        <v>4026.8452489676756</v>
      </c>
      <c r="N48" s="18">
        <f t="shared" si="40"/>
        <v>18057.717015368515</v>
      </c>
      <c r="O48" s="18">
        <f t="shared" si="40"/>
        <v>11760.907416804273</v>
      </c>
      <c r="P48" s="18">
        <f t="shared" si="40"/>
        <v>9274.895917652093</v>
      </c>
      <c r="Q48" s="18">
        <f t="shared" si="40"/>
        <v>5555.6791537205136</v>
      </c>
      <c r="R48" s="18">
        <f t="shared" si="40"/>
        <v>731.09147150521756</v>
      </c>
      <c r="T48" s="21">
        <f t="shared" si="12"/>
        <v>3.8676545955240726E-5</v>
      </c>
    </row>
    <row r="49" spans="1:20" ht="15.75" customHeight="1">
      <c r="A49" s="5" t="s">
        <v>525</v>
      </c>
      <c r="D49" t="s">
        <v>533</v>
      </c>
      <c r="F49" s="70">
        <v>5539041</v>
      </c>
      <c r="G49" s="18">
        <f>G44/$F44*$F49</f>
        <v>3345202.4796208614</v>
      </c>
      <c r="H49" s="18">
        <f t="shared" ref="H49:R49" si="42">H44/$F44*$F49</f>
        <v>36847.237254163803</v>
      </c>
      <c r="I49" s="18">
        <f t="shared" si="42"/>
        <v>371687.96636582597</v>
      </c>
      <c r="J49" s="18">
        <f t="shared" si="42"/>
        <v>509966.03062064829</v>
      </c>
      <c r="K49" s="18">
        <f t="shared" si="42"/>
        <v>313434.51887018833</v>
      </c>
      <c r="L49" s="18">
        <f t="shared" ref="L49:M49" si="43">L44/$F44*$F49</f>
        <v>11877.241610153749</v>
      </c>
      <c r="M49" s="18">
        <f t="shared" si="43"/>
        <v>77430.227083867343</v>
      </c>
      <c r="N49" s="18">
        <f t="shared" si="42"/>
        <v>347222.9605730804</v>
      </c>
      <c r="O49" s="18">
        <f t="shared" si="42"/>
        <v>226144.7052699503</v>
      </c>
      <c r="P49" s="18">
        <f t="shared" si="42"/>
        <v>178342.41265346439</v>
      </c>
      <c r="Q49" s="18">
        <f t="shared" si="42"/>
        <v>106827.42243148477</v>
      </c>
      <c r="R49" s="18">
        <f t="shared" si="42"/>
        <v>14057.798390002679</v>
      </c>
      <c r="T49" s="21">
        <f t="shared" si="12"/>
        <v>7.4369087815284729E-4</v>
      </c>
    </row>
    <row r="50" spans="1:20" s="90" customFormat="1">
      <c r="A50" s="85" t="s">
        <v>530</v>
      </c>
      <c r="B50" s="86"/>
      <c r="C50" s="86"/>
      <c r="D50" s="86"/>
      <c r="E50" s="87"/>
      <c r="F50" s="88">
        <v>48010929</v>
      </c>
      <c r="G50" s="89">
        <f>($F50/$F44)*G44</f>
        <v>28995322.247966953</v>
      </c>
      <c r="H50" s="89">
        <f t="shared" ref="H50:R50" si="44">($F50/$F44)*H44</f>
        <v>319382.01787201304</v>
      </c>
      <c r="I50" s="89">
        <f t="shared" si="44"/>
        <v>3221692.0877357754</v>
      </c>
      <c r="J50" s="89">
        <f t="shared" si="44"/>
        <v>4420249.4418329401</v>
      </c>
      <c r="K50" s="89">
        <f t="shared" si="44"/>
        <v>2716766.7528775781</v>
      </c>
      <c r="L50" s="89">
        <f t="shared" ref="L50:M50" si="45">($F50/$F44)*L44</f>
        <v>102948.76020252194</v>
      </c>
      <c r="M50" s="89">
        <f t="shared" si="45"/>
        <v>671144.5419843311</v>
      </c>
      <c r="N50" s="89">
        <f t="shared" si="44"/>
        <v>3009635.947313617</v>
      </c>
      <c r="O50" s="89">
        <f t="shared" si="44"/>
        <v>1960161.9465249504</v>
      </c>
      <c r="P50" s="89">
        <f t="shared" si="44"/>
        <v>1545824.4327121209</v>
      </c>
      <c r="Q50" s="89">
        <f t="shared" si="44"/>
        <v>925951.58505073749</v>
      </c>
      <c r="R50" s="89">
        <f t="shared" si="44"/>
        <v>121849.24437257875</v>
      </c>
      <c r="T50" s="21">
        <f t="shared" si="12"/>
        <v>6.4461156725883484E-3</v>
      </c>
    </row>
    <row r="51" spans="1:20">
      <c r="A51" s="5"/>
      <c r="B51" s="5"/>
      <c r="C51" s="76"/>
      <c r="D51" s="76"/>
      <c r="E51" s="76"/>
      <c r="F51" s="77"/>
      <c r="G51" s="80"/>
      <c r="H51" s="91"/>
      <c r="I51" s="80"/>
      <c r="J51" s="79"/>
      <c r="K51" s="78"/>
      <c r="L51" s="78"/>
      <c r="M51" s="78"/>
      <c r="N51" s="78"/>
      <c r="O51" s="78"/>
      <c r="P51" s="78"/>
      <c r="Q51" s="78"/>
      <c r="R51" s="78"/>
      <c r="S51" s="46"/>
      <c r="T51" s="21">
        <f t="shared" si="12"/>
        <v>0</v>
      </c>
    </row>
    <row r="52" spans="1:20" ht="15.75" thickBot="1">
      <c r="A52" s="52" t="s">
        <v>515</v>
      </c>
      <c r="B52" s="52"/>
      <c r="C52" s="57"/>
      <c r="D52" s="57"/>
      <c r="E52" s="57"/>
      <c r="F52" s="61">
        <f>SUM(F44,F47:F50)</f>
        <v>144032065.26246125</v>
      </c>
      <c r="G52" s="61">
        <f t="shared" ref="G52:R52" si="46">SUM(G44,G47:G50)</f>
        <v>87279545.009684026</v>
      </c>
      <c r="H52" s="61">
        <f t="shared" si="46"/>
        <v>1024219.1301620456</v>
      </c>
      <c r="I52" s="61">
        <f t="shared" si="46"/>
        <v>9618517.0576024838</v>
      </c>
      <c r="J52" s="61">
        <f t="shared" si="46"/>
        <v>13181834.220866866</v>
      </c>
      <c r="K52" s="61">
        <f t="shared" si="46"/>
        <v>8092034.1150778104</v>
      </c>
      <c r="L52" s="61">
        <f t="shared" ref="L52:M52" si="47">SUM(L44,L47:L50)</f>
        <v>306634.33230084396</v>
      </c>
      <c r="M52" s="61">
        <f t="shared" si="47"/>
        <v>1999013.4713995296</v>
      </c>
      <c r="N52" s="61">
        <f t="shared" si="46"/>
        <v>8964243.0599229466</v>
      </c>
      <c r="O52" s="61">
        <f t="shared" si="46"/>
        <v>5838369.9666883098</v>
      </c>
      <c r="P52" s="61">
        <f t="shared" si="46"/>
        <v>4604259.8458354287</v>
      </c>
      <c r="Q52" s="61">
        <f t="shared" si="46"/>
        <v>2760465.3815053208</v>
      </c>
      <c r="R52" s="61">
        <f t="shared" si="46"/>
        <v>362929.69061547541</v>
      </c>
      <c r="S52" s="46"/>
      <c r="T52" s="21">
        <f t="shared" si="12"/>
        <v>1.919981837272644E-2</v>
      </c>
    </row>
    <row r="53" spans="1:20" ht="15.75" thickTop="1">
      <c r="A53" s="50"/>
      <c r="B53" s="50"/>
      <c r="F53" s="5"/>
      <c r="G53" s="5"/>
      <c r="H53" s="5"/>
      <c r="I53" s="46"/>
      <c r="J53" s="67"/>
      <c r="K53" s="67"/>
      <c r="L53" s="67"/>
      <c r="M53" s="67"/>
      <c r="N53" s="67"/>
      <c r="O53" s="67"/>
      <c r="P53" s="67"/>
      <c r="Q53" s="67"/>
      <c r="R53" s="67"/>
      <c r="S53" s="46"/>
      <c r="T53" s="21">
        <f t="shared" si="12"/>
        <v>0</v>
      </c>
    </row>
    <row r="54" spans="1:20">
      <c r="A54" s="50" t="s">
        <v>510</v>
      </c>
      <c r="B54" s="50"/>
      <c r="F54" s="60">
        <f>SUM(G54:R54)</f>
        <v>2211366514.8833838</v>
      </c>
      <c r="G54" s="60">
        <f t="shared" ref="G54:R54" si="48">G11+G52</f>
        <v>1208551880.8349791</v>
      </c>
      <c r="H54" s="60">
        <f t="shared" si="48"/>
        <v>284043721.73821115</v>
      </c>
      <c r="I54" s="60">
        <f t="shared" si="48"/>
        <v>273855963.85451603</v>
      </c>
      <c r="J54" s="60">
        <f t="shared" si="48"/>
        <v>172116521.44201398</v>
      </c>
      <c r="K54" s="60">
        <f t="shared" si="48"/>
        <v>114918397.72987646</v>
      </c>
      <c r="L54" s="60">
        <f t="shared" ref="L54:M54" si="49">L11+L52</f>
        <v>582980.81157865352</v>
      </c>
      <c r="M54" s="60">
        <f t="shared" si="49"/>
        <v>12866162.671118675</v>
      </c>
      <c r="N54" s="60">
        <f t="shared" si="48"/>
        <v>59212251.625503466</v>
      </c>
      <c r="O54" s="60">
        <f t="shared" si="48"/>
        <v>51146269.30405502</v>
      </c>
      <c r="P54" s="60">
        <f t="shared" si="48"/>
        <v>12995400.870805439</v>
      </c>
      <c r="Q54" s="60">
        <f t="shared" si="48"/>
        <v>20362469.518430192</v>
      </c>
      <c r="R54" s="60">
        <f t="shared" si="48"/>
        <v>714494.48229564517</v>
      </c>
      <c r="S54" s="68"/>
      <c r="T54" s="21">
        <f t="shared" si="12"/>
        <v>0</v>
      </c>
    </row>
    <row r="55" spans="1:20">
      <c r="A55" s="50" t="s">
        <v>511</v>
      </c>
      <c r="B55" s="50"/>
      <c r="F55" s="60">
        <f>SUM(G55:R55)</f>
        <v>103830975.60172239</v>
      </c>
      <c r="G55" s="60">
        <f t="shared" ref="G55:R55" si="50">SUM(G9:G10)</f>
        <v>54644881.82529477</v>
      </c>
      <c r="H55" s="60">
        <f t="shared" si="50"/>
        <v>16075231.608049087</v>
      </c>
      <c r="I55" s="60">
        <f t="shared" si="50"/>
        <v>11314626.796913553</v>
      </c>
      <c r="J55" s="60">
        <f t="shared" si="50"/>
        <v>7099952.2211471144</v>
      </c>
      <c r="K55" s="60">
        <f t="shared" si="50"/>
        <v>5431688.6147986483</v>
      </c>
      <c r="L55" s="60">
        <f t="shared" ref="L55:M55" si="51">SUM(L9:L10)</f>
        <v>28132.479277809485</v>
      </c>
      <c r="M55" s="60">
        <f t="shared" si="51"/>
        <v>529323.19971914671</v>
      </c>
      <c r="N55" s="60">
        <f t="shared" si="50"/>
        <v>2411386.5655805189</v>
      </c>
      <c r="O55" s="60">
        <f t="shared" si="50"/>
        <v>4947807.3373667076</v>
      </c>
      <c r="P55" s="60">
        <f t="shared" si="50"/>
        <v>877862.02497000911</v>
      </c>
      <c r="Q55" s="60">
        <f t="shared" si="50"/>
        <v>434907.13692486839</v>
      </c>
      <c r="R55" s="60">
        <f t="shared" si="50"/>
        <v>35175.791680169845</v>
      </c>
      <c r="S55" s="46"/>
      <c r="T55" s="21">
        <f t="shared" si="12"/>
        <v>0</v>
      </c>
    </row>
    <row r="56" spans="1:20">
      <c r="A56" s="53" t="s">
        <v>512</v>
      </c>
      <c r="B56" s="53"/>
      <c r="C56" s="69"/>
      <c r="D56" s="69"/>
      <c r="E56" s="69"/>
      <c r="F56" s="62">
        <f>SUM(G56:R56)</f>
        <v>2107535539.2816613</v>
      </c>
      <c r="G56" s="62">
        <f>G54-G55</f>
        <v>1153906999.0096843</v>
      </c>
      <c r="H56" s="62">
        <f t="shared" ref="H56:R56" si="52">H54-H55</f>
        <v>267968490.13016206</v>
      </c>
      <c r="I56" s="62">
        <f t="shared" si="52"/>
        <v>262541337.05760247</v>
      </c>
      <c r="J56" s="62">
        <f t="shared" si="52"/>
        <v>165016569.22086686</v>
      </c>
      <c r="K56" s="62">
        <f t="shared" si="52"/>
        <v>109486709.11507781</v>
      </c>
      <c r="L56" s="62">
        <f t="shared" ref="L56:M56" si="53">L54-L55</f>
        <v>554848.33230084402</v>
      </c>
      <c r="M56" s="62">
        <f t="shared" si="53"/>
        <v>12336839.471399529</v>
      </c>
      <c r="N56" s="62">
        <f t="shared" si="52"/>
        <v>56800865.059922948</v>
      </c>
      <c r="O56" s="62">
        <f t="shared" si="52"/>
        <v>46198461.966688313</v>
      </c>
      <c r="P56" s="62">
        <f t="shared" si="52"/>
        <v>12117538.845835429</v>
      </c>
      <c r="Q56" s="62">
        <f t="shared" si="52"/>
        <v>19927562.381505325</v>
      </c>
      <c r="R56" s="62">
        <f t="shared" si="52"/>
        <v>679318.69061547529</v>
      </c>
      <c r="S56" s="46"/>
      <c r="T56" s="21">
        <f t="shared" si="12"/>
        <v>0</v>
      </c>
    </row>
    <row r="57" spans="1:20">
      <c r="A57" s="51" t="s">
        <v>516</v>
      </c>
      <c r="B57" s="51"/>
      <c r="F57" s="59">
        <f t="shared" ref="F57:R57" si="54">IF(F8=0,0,(F56/F8)-1)</f>
        <v>7.3354627027624852E-2</v>
      </c>
      <c r="G57" s="59">
        <f t="shared" si="54"/>
        <v>8.1827581581904729E-2</v>
      </c>
      <c r="H57" s="59">
        <f t="shared" si="54"/>
        <v>3.8368275382918426E-3</v>
      </c>
      <c r="I57" s="59">
        <f t="shared" si="54"/>
        <v>3.8029455221171737E-2</v>
      </c>
      <c r="J57" s="59">
        <f t="shared" si="54"/>
        <v>8.6816987040988058E-2</v>
      </c>
      <c r="K57" s="59">
        <f t="shared" si="54"/>
        <v>7.9807288845078039E-2</v>
      </c>
      <c r="L57" s="59">
        <f t="shared" ref="L57:M57" si="55">IF(L8=0,0,(L56/L8)-1)</f>
        <v>1.2353627607662903</v>
      </c>
      <c r="M57" s="59">
        <f t="shared" si="55"/>
        <v>0.19336884480349426</v>
      </c>
      <c r="N57" s="59">
        <f t="shared" si="54"/>
        <v>0.18739289450502894</v>
      </c>
      <c r="O57" s="59">
        <f t="shared" si="54"/>
        <v>0.14465700342527255</v>
      </c>
      <c r="P57" s="59">
        <f t="shared" si="54"/>
        <v>0.61281630108976759</v>
      </c>
      <c r="Q57" s="59">
        <f t="shared" si="54"/>
        <v>0.16079977770879528</v>
      </c>
      <c r="R57" s="59">
        <f t="shared" si="54"/>
        <v>1.1470995850534478</v>
      </c>
      <c r="S57" s="46"/>
      <c r="T57" s="21">
        <f t="shared" si="12"/>
        <v>3.8984606805519055</v>
      </c>
    </row>
    <row r="58" spans="1:20">
      <c r="A58" s="5"/>
      <c r="B58" s="5"/>
      <c r="F58" s="5"/>
      <c r="G58" s="5"/>
      <c r="H58" s="5"/>
      <c r="I58" s="46"/>
      <c r="J58" s="48"/>
      <c r="K58" s="48"/>
      <c r="L58" s="48"/>
      <c r="M58" s="48"/>
      <c r="N58" s="48"/>
      <c r="O58" s="48"/>
      <c r="P58" s="48"/>
      <c r="Q58" s="48"/>
      <c r="R58" s="48"/>
      <c r="S58" s="46"/>
      <c r="T58" s="21">
        <f t="shared" si="12"/>
        <v>0</v>
      </c>
    </row>
    <row r="59" spans="1:20">
      <c r="A59" s="5" t="s">
        <v>526</v>
      </c>
      <c r="B59" s="5"/>
      <c r="F59" s="5"/>
      <c r="G59" s="5"/>
      <c r="H59" s="5"/>
      <c r="I59" s="46"/>
      <c r="J59" s="48"/>
      <c r="K59" s="48"/>
      <c r="L59" s="48"/>
      <c r="M59" s="48"/>
      <c r="N59" s="48"/>
      <c r="O59" s="48"/>
      <c r="P59" s="48"/>
      <c r="Q59" s="48"/>
      <c r="R59" s="48"/>
      <c r="S59" s="46"/>
      <c r="T59" s="21">
        <f t="shared" si="12"/>
        <v>0</v>
      </c>
    </row>
    <row r="60" spans="1:20">
      <c r="A60" s="5" t="s">
        <v>527</v>
      </c>
      <c r="B60" s="5"/>
      <c r="F60" s="82">
        <f>SUM(G60:R60)</f>
        <v>144032066.19512072</v>
      </c>
      <c r="G60" s="82">
        <v>87074329.326721296</v>
      </c>
      <c r="H60" s="82">
        <v>16344024.036372812</v>
      </c>
      <c r="I60" s="83">
        <v>15485552.924843471</v>
      </c>
      <c r="J60" s="84">
        <v>9296296.9354939181</v>
      </c>
      <c r="K60" s="84">
        <v>6208051</v>
      </c>
      <c r="L60" s="84">
        <v>15179</v>
      </c>
      <c r="M60" s="84">
        <v>843931</v>
      </c>
      <c r="N60" s="84">
        <v>4036075.9298589071</v>
      </c>
      <c r="O60" s="84">
        <v>2471103.6062626243</v>
      </c>
      <c r="P60" s="84">
        <v>450939.70287600026</v>
      </c>
      <c r="Q60" s="84">
        <v>1401439.7326917185</v>
      </c>
      <c r="R60" s="84">
        <v>405143</v>
      </c>
      <c r="S60" s="46"/>
      <c r="T60" s="21">
        <f t="shared" si="12"/>
        <v>0</v>
      </c>
    </row>
    <row r="61" spans="1:20">
      <c r="A61" s="5" t="s">
        <v>517</v>
      </c>
      <c r="B61" s="5"/>
      <c r="F61" s="60">
        <f>SUM(G61:R61)</f>
        <v>2107535540.195121</v>
      </c>
      <c r="G61" s="60">
        <f>G8+G60</f>
        <v>1153701783.3267212</v>
      </c>
      <c r="H61" s="60">
        <f t="shared" ref="H61:R61" si="56">H8+H60</f>
        <v>283288295.03637284</v>
      </c>
      <c r="I61" s="60">
        <f t="shared" si="56"/>
        <v>268408372.92484346</v>
      </c>
      <c r="J61" s="60">
        <f t="shared" si="56"/>
        <v>161131031.93549392</v>
      </c>
      <c r="K61" s="60">
        <f t="shared" si="56"/>
        <v>107602726</v>
      </c>
      <c r="L61" s="60">
        <f t="shared" ref="L61:M61" si="57">L8+L60</f>
        <v>263393</v>
      </c>
      <c r="M61" s="60">
        <f t="shared" si="57"/>
        <v>11181757</v>
      </c>
      <c r="N61" s="60">
        <f t="shared" si="56"/>
        <v>51872697.929858908</v>
      </c>
      <c r="O61" s="60">
        <f t="shared" si="56"/>
        <v>42831195.606262624</v>
      </c>
      <c r="P61" s="60">
        <f t="shared" si="56"/>
        <v>7964218.7028760007</v>
      </c>
      <c r="Q61" s="60">
        <f t="shared" si="56"/>
        <v>18568536.73269172</v>
      </c>
      <c r="R61" s="60">
        <f t="shared" si="56"/>
        <v>721532</v>
      </c>
      <c r="S61" s="46"/>
      <c r="T61" s="21">
        <f t="shared" si="12"/>
        <v>0</v>
      </c>
    </row>
    <row r="62" spans="1:20" s="76" customFormat="1">
      <c r="A62" s="16" t="s">
        <v>492</v>
      </c>
      <c r="B62" s="16"/>
      <c r="F62" s="81">
        <f>SUM(G62:R62)</f>
        <v>103830975.60172239</v>
      </c>
      <c r="G62" s="81">
        <f>G9+G10</f>
        <v>54644881.82529477</v>
      </c>
      <c r="H62" s="81">
        <f t="shared" ref="H62:R62" si="58">H9+H10</f>
        <v>16075231.608049087</v>
      </c>
      <c r="I62" s="81">
        <f t="shared" si="58"/>
        <v>11314626.796913553</v>
      </c>
      <c r="J62" s="81">
        <f t="shared" si="58"/>
        <v>7099952.2211471144</v>
      </c>
      <c r="K62" s="81">
        <f t="shared" si="58"/>
        <v>5431688.6147986483</v>
      </c>
      <c r="L62" s="81">
        <f t="shared" ref="L62:M62" si="59">L9+L10</f>
        <v>28132.479277809485</v>
      </c>
      <c r="M62" s="81">
        <f t="shared" si="59"/>
        <v>529323.19971914671</v>
      </c>
      <c r="N62" s="81">
        <f t="shared" si="58"/>
        <v>2411386.5655805189</v>
      </c>
      <c r="O62" s="81">
        <f t="shared" si="58"/>
        <v>4947807.3373667076</v>
      </c>
      <c r="P62" s="81">
        <f t="shared" si="58"/>
        <v>877862.02497000911</v>
      </c>
      <c r="Q62" s="81">
        <f t="shared" si="58"/>
        <v>434907.13692486839</v>
      </c>
      <c r="R62" s="81">
        <f t="shared" si="58"/>
        <v>35175.791680169845</v>
      </c>
      <c r="S62" s="68"/>
      <c r="T62" s="21">
        <f t="shared" si="12"/>
        <v>0</v>
      </c>
    </row>
    <row r="63" spans="1:20" s="76" customFormat="1">
      <c r="A63" s="16" t="s">
        <v>528</v>
      </c>
      <c r="B63" s="16"/>
      <c r="F63" s="81">
        <f>SUM(G63:R63)</f>
        <v>2211366515.7968431</v>
      </c>
      <c r="G63" s="81">
        <f>SUM(G61:G62)</f>
        <v>1208346665.1520159</v>
      </c>
      <c r="H63" s="81">
        <f t="shared" ref="H63:R63" si="60">SUM(H61:H62)</f>
        <v>299363526.64442194</v>
      </c>
      <c r="I63" s="81">
        <f t="shared" si="60"/>
        <v>279722999.72175699</v>
      </c>
      <c r="J63" s="81">
        <f t="shared" si="60"/>
        <v>168230984.15664104</v>
      </c>
      <c r="K63" s="81">
        <f t="shared" si="60"/>
        <v>113034414.61479865</v>
      </c>
      <c r="L63" s="81">
        <f t="shared" ref="L63:M63" si="61">SUM(L61:L62)</f>
        <v>291525.4792778095</v>
      </c>
      <c r="M63" s="81">
        <f t="shared" si="61"/>
        <v>11711080.199719146</v>
      </c>
      <c r="N63" s="81">
        <f t="shared" si="60"/>
        <v>54284084.495439425</v>
      </c>
      <c r="O63" s="81">
        <f t="shared" si="60"/>
        <v>47779002.943629332</v>
      </c>
      <c r="P63" s="81">
        <f t="shared" si="60"/>
        <v>8842080.7278460097</v>
      </c>
      <c r="Q63" s="81">
        <f t="shared" si="60"/>
        <v>19003443.869616587</v>
      </c>
      <c r="R63" s="81">
        <f t="shared" si="60"/>
        <v>756707.79168016987</v>
      </c>
      <c r="S63" s="68"/>
      <c r="T63" s="21">
        <f t="shared" si="12"/>
        <v>0</v>
      </c>
    </row>
    <row r="64" spans="1:20" s="76" customFormat="1" ht="15.75" thickBot="1">
      <c r="A64" s="75" t="s">
        <v>518</v>
      </c>
      <c r="B64" s="75"/>
      <c r="F64" s="81">
        <f>SUM(G64:R64)</f>
        <v>144032066.19512036</v>
      </c>
      <c r="G64" s="81">
        <f t="shared" ref="G64:R64" si="62">+G63-G11</f>
        <v>87074329.326720953</v>
      </c>
      <c r="H64" s="81">
        <f t="shared" si="62"/>
        <v>16344024.03637284</v>
      </c>
      <c r="I64" s="81">
        <f t="shared" si="62"/>
        <v>15485552.924843431</v>
      </c>
      <c r="J64" s="81">
        <f t="shared" si="62"/>
        <v>9296296.9354939163</v>
      </c>
      <c r="K64" s="81">
        <f t="shared" si="62"/>
        <v>6208051</v>
      </c>
      <c r="L64" s="81">
        <f t="shared" ref="L64:M64" si="63">+L63-L11</f>
        <v>15179</v>
      </c>
      <c r="M64" s="81">
        <f t="shared" si="63"/>
        <v>843931</v>
      </c>
      <c r="N64" s="81">
        <f t="shared" si="62"/>
        <v>4036075.9298589081</v>
      </c>
      <c r="O64" s="81">
        <f t="shared" si="62"/>
        <v>2471103.6062626243</v>
      </c>
      <c r="P64" s="81">
        <f t="shared" si="62"/>
        <v>450939.70287599973</v>
      </c>
      <c r="Q64" s="81">
        <f t="shared" si="62"/>
        <v>1401439.7326917164</v>
      </c>
      <c r="R64" s="81">
        <f t="shared" si="62"/>
        <v>405143.00000000006</v>
      </c>
      <c r="S64" s="68"/>
      <c r="T64" s="21">
        <f t="shared" si="12"/>
        <v>0</v>
      </c>
    </row>
    <row r="65" spans="1:20" ht="15.75" thickTop="1">
      <c r="A65" s="5"/>
      <c r="B65" s="5"/>
      <c r="C65" s="74"/>
      <c r="D65" s="74"/>
      <c r="E65" s="74"/>
      <c r="F65" s="60"/>
      <c r="G65" s="60"/>
      <c r="H65" s="60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21">
        <f t="shared" si="12"/>
        <v>0</v>
      </c>
    </row>
    <row r="66" spans="1:20">
      <c r="A66" s="73" t="s">
        <v>519</v>
      </c>
      <c r="B66" s="71"/>
      <c r="F66" s="63">
        <f t="shared" ref="F66:R66" si="64">F8/F56</f>
        <v>0.93165853560368839</v>
      </c>
      <c r="G66" s="63">
        <f t="shared" si="64"/>
        <v>0.92436171625218488</v>
      </c>
      <c r="H66" s="63">
        <f t="shared" si="64"/>
        <v>0.99617783744027311</v>
      </c>
      <c r="I66" s="63">
        <f t="shared" si="64"/>
        <v>0.96336379952429307</v>
      </c>
      <c r="J66" s="63">
        <f t="shared" si="64"/>
        <v>0.92011811733145654</v>
      </c>
      <c r="K66" s="63">
        <f t="shared" si="64"/>
        <v>0.92609117416642284</v>
      </c>
      <c r="L66" s="63">
        <f t="shared" ref="L66:M66" si="65">L8/L56</f>
        <v>0.44735468334329609</v>
      </c>
      <c r="M66" s="63">
        <f t="shared" si="65"/>
        <v>0.8379638905058433</v>
      </c>
      <c r="N66" s="63">
        <f t="shared" si="64"/>
        <v>0.84218122293620035</v>
      </c>
      <c r="O66" s="63">
        <f t="shared" si="64"/>
        <v>0.87362414855070059</v>
      </c>
      <c r="P66" s="63">
        <f t="shared" si="64"/>
        <v>0.62003341566197445</v>
      </c>
      <c r="Q66" s="63">
        <f t="shared" si="64"/>
        <v>0.86147500990551162</v>
      </c>
      <c r="R66" s="63">
        <f t="shared" si="64"/>
        <v>0.46574458258074086</v>
      </c>
      <c r="S66" s="46"/>
      <c r="T66" s="21">
        <f t="shared" si="12"/>
        <v>8.7468310625952093</v>
      </c>
    </row>
    <row r="67" spans="1:20">
      <c r="A67" s="73" t="s">
        <v>520</v>
      </c>
      <c r="B67" s="73"/>
      <c r="C67" s="69"/>
      <c r="D67" s="69"/>
      <c r="E67" s="69"/>
      <c r="F67" s="63">
        <f>+F66/$F$66</f>
        <v>1</v>
      </c>
      <c r="G67" s="63">
        <f t="shared" ref="G67" si="66">+G66/$F$66</f>
        <v>0.99216792518647901</v>
      </c>
      <c r="H67" s="63">
        <f t="shared" ref="H67" si="67">+H66/$F$66</f>
        <v>1.0692520911588901</v>
      </c>
      <c r="I67" s="63">
        <f t="shared" ref="I67" si="68">+I66/$F$66</f>
        <v>1.034030991730313</v>
      </c>
      <c r="J67" s="63">
        <f t="shared" ref="J67" si="69">+J66/$F$66</f>
        <v>0.98761303864966576</v>
      </c>
      <c r="K67" s="63">
        <f t="shared" ref="K67:M67" si="70">+K66/$F$66</f>
        <v>0.9940242468409759</v>
      </c>
      <c r="L67" s="63">
        <f t="shared" si="70"/>
        <v>0.48017021928900477</v>
      </c>
      <c r="M67" s="63">
        <f t="shared" si="70"/>
        <v>0.89943241915651684</v>
      </c>
      <c r="N67" s="63">
        <f t="shared" ref="N67" si="71">+N66/$F$66</f>
        <v>0.90395911243435423</v>
      </c>
      <c r="O67" s="63">
        <f t="shared" ref="O67" si="72">+O66/$F$66</f>
        <v>0.93770852212996347</v>
      </c>
      <c r="P67" s="63">
        <f t="shared" ref="P67" si="73">+P66/$F$66</f>
        <v>0.66551573561252286</v>
      </c>
      <c r="Q67" s="63">
        <f t="shared" ref="Q67" si="74">+Q66/$F$66</f>
        <v>0.92466818795074979</v>
      </c>
      <c r="R67" s="63">
        <f t="shared" ref="R67" si="75">+R66/$F$66</f>
        <v>0.49990910272608791</v>
      </c>
      <c r="S67" s="46"/>
      <c r="T67" s="21">
        <f t="shared" si="12"/>
        <v>9.3884515928655237</v>
      </c>
    </row>
    <row r="68" spans="1:20" ht="15.75" thickBot="1">
      <c r="A68" s="54" t="s">
        <v>521</v>
      </c>
      <c r="B68" s="55"/>
      <c r="C68" s="41"/>
      <c r="D68" s="41"/>
      <c r="E68" s="41"/>
      <c r="F68" s="64">
        <f>+F63/F54</f>
        <v>1.0000000004130747</v>
      </c>
      <c r="G68" s="64">
        <f t="shared" ref="G68:R68" si="76">G63/G54</f>
        <v>0.99983019704307496</v>
      </c>
      <c r="H68" s="64">
        <f t="shared" si="76"/>
        <v>1.0539346717908811</v>
      </c>
      <c r="I68" s="64">
        <f t="shared" si="76"/>
        <v>1.0214238017119019</v>
      </c>
      <c r="J68" s="64">
        <f t="shared" si="76"/>
        <v>0.97742496041158966</v>
      </c>
      <c r="K68" s="64">
        <f t="shared" si="76"/>
        <v>0.9836059051266427</v>
      </c>
      <c r="L68" s="64">
        <f t="shared" ref="L68:M68" si="77">L63/L54</f>
        <v>0.50006016233774109</v>
      </c>
      <c r="M68" s="64">
        <f t="shared" si="77"/>
        <v>0.91022323431426833</v>
      </c>
      <c r="N68" s="64">
        <f t="shared" si="76"/>
        <v>0.91677115808341569</v>
      </c>
      <c r="O68" s="64">
        <f t="shared" si="76"/>
        <v>0.93416398876704143</v>
      </c>
      <c r="P68" s="64">
        <f t="shared" si="76"/>
        <v>0.68040076760617763</v>
      </c>
      <c r="Q68" s="64">
        <f t="shared" si="76"/>
        <v>0.93325830898931272</v>
      </c>
      <c r="R68" s="64">
        <f t="shared" si="76"/>
        <v>1.0590813651197066</v>
      </c>
      <c r="S68" s="46"/>
      <c r="T68" s="21">
        <f t="shared" si="12"/>
        <v>9.9701785208886786</v>
      </c>
    </row>
    <row r="69" spans="1:20" ht="15.75" thickTop="1">
      <c r="A69" s="72"/>
      <c r="F69" s="46"/>
      <c r="G69" s="46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6"/>
      <c r="T69" s="21">
        <f t="shared" si="12"/>
        <v>0</v>
      </c>
    </row>
    <row r="70" spans="1:20">
      <c r="A70" s="46"/>
      <c r="B70" s="46"/>
      <c r="C70" s="46"/>
      <c r="D70" s="46"/>
      <c r="E70" s="46"/>
      <c r="F70" s="46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6"/>
    </row>
    <row r="71" spans="1:20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</row>
  </sheetData>
  <conditionalFormatting sqref="F67:G67">
    <cfRule type="cellIs" dxfId="1" priority="1" stopIfTrue="1" operator="lessThan">
      <formula>0.95</formula>
    </cfRule>
    <cfRule type="cellIs" dxfId="0" priority="2" stopIfTrue="1" operator="greaterThan">
      <formula>1.05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86"/>
  <sheetViews>
    <sheetView zoomScale="85" zoomScaleNormal="85" workbookViewId="0">
      <pane xSplit="5" ySplit="8" topLeftCell="Q158" activePane="bottomRight" state="frozen"/>
      <selection pane="topRight" activeCell="F1" sqref="F1"/>
      <selection pane="bottomLeft" activeCell="A9" sqref="A9"/>
      <selection pane="bottomRight" activeCell="U73" sqref="U73"/>
    </sheetView>
  </sheetViews>
  <sheetFormatPr defaultRowHeight="15"/>
  <cols>
    <col min="1" max="1" width="12.7109375" customWidth="1"/>
    <col min="2" max="2" width="46.28515625" bestFit="1" customWidth="1"/>
    <col min="3" max="3" width="16" bestFit="1" customWidth="1"/>
    <col min="4" max="4" width="16" style="26" customWidth="1"/>
    <col min="5" max="5" width="16" customWidth="1"/>
    <col min="6" max="6" width="17.42578125" style="2" bestFit="1" customWidth="1"/>
    <col min="7" max="7" width="17" bestFit="1" customWidth="1"/>
    <col min="8" max="9" width="14.28515625" bestFit="1" customWidth="1"/>
    <col min="10" max="10" width="13.42578125" bestFit="1" customWidth="1"/>
    <col min="11" max="11" width="13.7109375" bestFit="1" customWidth="1"/>
    <col min="12" max="13" width="13.7109375" customWidth="1"/>
    <col min="14" max="14" width="12.85546875" bestFit="1" customWidth="1"/>
    <col min="15" max="17" width="12.5703125" bestFit="1" customWidth="1"/>
    <col min="18" max="18" width="11.28515625" bestFit="1" customWidth="1"/>
    <col min="19" max="19" width="5.140625" bestFit="1" customWidth="1"/>
    <col min="20" max="20" width="3.140625" bestFit="1" customWidth="1"/>
    <col min="21" max="21" width="13.85546875" bestFit="1" customWidth="1"/>
    <col min="22" max="31" width="3.140625" bestFit="1" customWidth="1"/>
  </cols>
  <sheetData>
    <row r="1" spans="1:37">
      <c r="C1">
        <v>2</v>
      </c>
      <c r="D1" s="26">
        <f>C1+1</f>
        <v>3</v>
      </c>
      <c r="F1">
        <f>D1+1</f>
        <v>4</v>
      </c>
      <c r="G1">
        <f t="shared" ref="G1:AK1" si="0">F1+1</f>
        <v>5</v>
      </c>
      <c r="H1">
        <f t="shared" si="0"/>
        <v>6</v>
      </c>
      <c r="I1">
        <f t="shared" si="0"/>
        <v>7</v>
      </c>
      <c r="J1">
        <f t="shared" si="0"/>
        <v>8</v>
      </c>
      <c r="K1">
        <f t="shared" si="0"/>
        <v>9</v>
      </c>
      <c r="L1">
        <f t="shared" ref="L1" si="1">K1+1</f>
        <v>10</v>
      </c>
      <c r="M1">
        <f t="shared" ref="M1" si="2">L1+1</f>
        <v>11</v>
      </c>
      <c r="N1">
        <f t="shared" ref="N1" si="3">M1+1</f>
        <v>12</v>
      </c>
      <c r="O1">
        <f t="shared" ref="O1" si="4">N1+1</f>
        <v>13</v>
      </c>
      <c r="P1">
        <f t="shared" ref="P1" si="5">O1+1</f>
        <v>14</v>
      </c>
      <c r="Q1">
        <f t="shared" ref="Q1" si="6">P1+1</f>
        <v>15</v>
      </c>
      <c r="R1">
        <f t="shared" ref="R1" si="7">Q1+1</f>
        <v>16</v>
      </c>
      <c r="S1">
        <f t="shared" ref="S1" si="8">R1+1</f>
        <v>17</v>
      </c>
      <c r="T1">
        <f t="shared" ref="T1" si="9">S1+1</f>
        <v>18</v>
      </c>
      <c r="U1">
        <f t="shared" ref="U1" si="10">T1+1</f>
        <v>19</v>
      </c>
      <c r="V1">
        <f t="shared" ref="V1" si="11">U1+1</f>
        <v>20</v>
      </c>
      <c r="W1">
        <f t="shared" ref="W1" si="12">V1+1</f>
        <v>21</v>
      </c>
      <c r="X1">
        <f t="shared" ref="X1" si="13">W1+1</f>
        <v>22</v>
      </c>
      <c r="Y1">
        <f t="shared" ref="Y1" si="14">X1+1</f>
        <v>23</v>
      </c>
      <c r="Z1">
        <f t="shared" ref="Z1" si="15">Y1+1</f>
        <v>24</v>
      </c>
      <c r="AA1">
        <f t="shared" ref="AA1" si="16">Z1+1</f>
        <v>25</v>
      </c>
      <c r="AB1">
        <f t="shared" ref="AB1" si="17">AA1+1</f>
        <v>26</v>
      </c>
      <c r="AC1">
        <f t="shared" ref="AC1" si="18">AB1+1</f>
        <v>27</v>
      </c>
      <c r="AD1">
        <f t="shared" ref="AD1" si="19">AC1+1</f>
        <v>28</v>
      </c>
      <c r="AE1">
        <f t="shared" ref="AE1" si="20">AD1+1</f>
        <v>29</v>
      </c>
      <c r="AF1">
        <f t="shared" ref="AF1" si="21">AE1+1</f>
        <v>30</v>
      </c>
      <c r="AG1">
        <f t="shared" ref="AG1" si="22">AF1+1</f>
        <v>31</v>
      </c>
      <c r="AH1">
        <f t="shared" ref="AH1" si="23">AG1+1</f>
        <v>32</v>
      </c>
      <c r="AI1">
        <f t="shared" ref="AI1" si="24">AH1+1</f>
        <v>33</v>
      </c>
      <c r="AJ1">
        <f t="shared" ref="AJ1" si="25">AI1+1</f>
        <v>34</v>
      </c>
      <c r="AK1">
        <f t="shared" ref="AK1" si="26">AJ1+1</f>
        <v>35</v>
      </c>
    </row>
    <row r="7" spans="1:37" ht="51.75">
      <c r="C7" t="s">
        <v>435</v>
      </c>
      <c r="D7" s="26" t="s">
        <v>432</v>
      </c>
      <c r="G7" s="4" t="s">
        <v>293</v>
      </c>
      <c r="H7" s="4" t="s">
        <v>294</v>
      </c>
      <c r="I7" s="4" t="s">
        <v>295</v>
      </c>
      <c r="J7" s="4" t="s">
        <v>296</v>
      </c>
      <c r="K7" s="4" t="s">
        <v>554</v>
      </c>
      <c r="L7" s="4">
        <v>35</v>
      </c>
      <c r="M7" s="4">
        <v>43</v>
      </c>
      <c r="N7" s="4" t="s">
        <v>297</v>
      </c>
      <c r="O7" s="4" t="s">
        <v>298</v>
      </c>
      <c r="P7" s="4" t="s">
        <v>301</v>
      </c>
      <c r="Q7" s="4" t="s">
        <v>299</v>
      </c>
      <c r="R7" s="4" t="s">
        <v>300</v>
      </c>
      <c r="U7" s="4" t="s">
        <v>486</v>
      </c>
    </row>
    <row r="8" spans="1:37">
      <c r="B8" s="1" t="s">
        <v>0</v>
      </c>
      <c r="C8" s="1" t="s">
        <v>292</v>
      </c>
      <c r="D8" s="27" t="s">
        <v>433</v>
      </c>
      <c r="E8" s="1"/>
      <c r="F8" s="3" t="s">
        <v>1</v>
      </c>
    </row>
    <row r="9" spans="1:37">
      <c r="A9" s="1" t="s">
        <v>2</v>
      </c>
    </row>
    <row r="10" spans="1:37"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37">
      <c r="A11" s="1" t="s">
        <v>3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37"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37">
      <c r="B13" t="s">
        <v>4</v>
      </c>
      <c r="F13" s="33"/>
      <c r="G13" s="34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</row>
    <row r="14" spans="1:37">
      <c r="A14">
        <v>300</v>
      </c>
      <c r="B14" t="s">
        <v>5</v>
      </c>
      <c r="D14" s="26">
        <v>73</v>
      </c>
      <c r="F14" s="2">
        <v>70587020.038332</v>
      </c>
      <c r="G14" s="18">
        <f>INDEX(Alloc,($D14),(G$1))*$F14</f>
        <v>35478095.076566234</v>
      </c>
      <c r="H14" s="18">
        <f t="shared" ref="G14:R16" si="27">INDEX(Alloc,($D14),(H$1))*$F14</f>
        <v>9362803.5119244326</v>
      </c>
      <c r="I14" s="18">
        <f t="shared" si="27"/>
        <v>9735008.8685865588</v>
      </c>
      <c r="J14" s="18">
        <f t="shared" si="27"/>
        <v>6577439.7012118511</v>
      </c>
      <c r="K14" s="18">
        <f t="shared" si="27"/>
        <v>4293737.8419116968</v>
      </c>
      <c r="L14" s="18">
        <f t="shared" si="27"/>
        <v>17999.690109774656</v>
      </c>
      <c r="M14" s="18">
        <f t="shared" si="27"/>
        <v>378911.1235657662</v>
      </c>
      <c r="N14" s="18">
        <f t="shared" si="27"/>
        <v>2320195.3486599727</v>
      </c>
      <c r="O14" s="18">
        <f t="shared" si="27"/>
        <v>2108575.4625850534</v>
      </c>
      <c r="P14" s="18">
        <f t="shared" si="27"/>
        <v>0</v>
      </c>
      <c r="Q14" s="18">
        <f t="shared" si="27"/>
        <v>291524.39275831112</v>
      </c>
      <c r="R14" s="18">
        <f t="shared" si="27"/>
        <v>22729.020452342906</v>
      </c>
      <c r="U14" s="21">
        <f>SUM(G14:R14)-F14</f>
        <v>0</v>
      </c>
    </row>
    <row r="15" spans="1:37">
      <c r="A15">
        <v>300.01</v>
      </c>
      <c r="B15" t="s">
        <v>6</v>
      </c>
      <c r="D15" s="101">
        <v>82</v>
      </c>
      <c r="F15" s="2">
        <v>16203260.800000003</v>
      </c>
      <c r="G15" s="18">
        <f t="shared" si="27"/>
        <v>7588609.3268732987</v>
      </c>
      <c r="H15" s="18">
        <f t="shared" si="27"/>
        <v>2002662.7106933298</v>
      </c>
      <c r="I15" s="18">
        <f t="shared" si="27"/>
        <v>2082275.8081548125</v>
      </c>
      <c r="J15" s="18">
        <f t="shared" si="27"/>
        <v>1406885.5770255718</v>
      </c>
      <c r="K15" s="18">
        <f t="shared" si="27"/>
        <v>918411.740088091</v>
      </c>
      <c r="L15" s="18">
        <f t="shared" si="27"/>
        <v>3850.0549692163809</v>
      </c>
      <c r="M15" s="18">
        <f t="shared" si="27"/>
        <v>81047.431665700118</v>
      </c>
      <c r="N15" s="18">
        <f t="shared" si="27"/>
        <v>496279.63465938217</v>
      </c>
      <c r="O15" s="18">
        <f t="shared" si="27"/>
        <v>451015.06682522246</v>
      </c>
      <c r="P15" s="18">
        <f t="shared" si="27"/>
        <v>1105006.0187592981</v>
      </c>
      <c r="Q15" s="18">
        <f t="shared" si="27"/>
        <v>62355.792246524128</v>
      </c>
      <c r="R15" s="18">
        <f t="shared" si="27"/>
        <v>4861.6380395595088</v>
      </c>
      <c r="U15" s="21">
        <f t="shared" ref="U15:U78" si="28">SUM(G15:R15)-F15</f>
        <v>0</v>
      </c>
    </row>
    <row r="16" spans="1:37">
      <c r="A16">
        <v>300.02</v>
      </c>
      <c r="B16" t="s">
        <v>7</v>
      </c>
      <c r="D16" s="26">
        <v>70</v>
      </c>
      <c r="F16" s="2">
        <v>177634269</v>
      </c>
      <c r="G16" s="18">
        <f t="shared" si="27"/>
        <v>105539353.511107</v>
      </c>
      <c r="H16" s="18">
        <f t="shared" si="27"/>
        <v>22077678.226015158</v>
      </c>
      <c r="I16" s="18">
        <f t="shared" si="27"/>
        <v>18891711.487907968</v>
      </c>
      <c r="J16" s="18">
        <f t="shared" si="27"/>
        <v>11213215.891276184</v>
      </c>
      <c r="K16" s="18">
        <f t="shared" si="27"/>
        <v>7644370.7896089796</v>
      </c>
      <c r="L16" s="18">
        <f t="shared" si="27"/>
        <v>45693.462566246533</v>
      </c>
      <c r="M16" s="18">
        <f t="shared" si="27"/>
        <v>1052655.6632618217</v>
      </c>
      <c r="N16" s="18">
        <f t="shared" si="27"/>
        <v>3945179.4923419189</v>
      </c>
      <c r="O16" s="18">
        <f t="shared" si="27"/>
        <v>3121648.0024770945</v>
      </c>
      <c r="P16" s="18">
        <f t="shared" si="27"/>
        <v>1882525.7592752986</v>
      </c>
      <c r="Q16" s="18">
        <f t="shared" si="27"/>
        <v>2168196.8387915632</v>
      </c>
      <c r="R16" s="18">
        <f t="shared" si="27"/>
        <v>52039.875370784459</v>
      </c>
      <c r="U16" s="21">
        <f t="shared" si="28"/>
        <v>0</v>
      </c>
    </row>
    <row r="17" spans="1:21">
      <c r="B17" s="1" t="s">
        <v>8</v>
      </c>
      <c r="C17" s="1"/>
      <c r="F17" s="3">
        <f t="shared" ref="F17:R17" si="29">SUM(F14:F16)</f>
        <v>264424549.838332</v>
      </c>
      <c r="G17" s="3">
        <f t="shared" si="29"/>
        <v>148606057.91454655</v>
      </c>
      <c r="H17" s="3">
        <f t="shared" si="29"/>
        <v>33443144.448632918</v>
      </c>
      <c r="I17" s="3">
        <f t="shared" si="29"/>
        <v>30708996.164649338</v>
      </c>
      <c r="J17" s="3">
        <f t="shared" si="29"/>
        <v>19197541.169513606</v>
      </c>
      <c r="K17" s="3">
        <f t="shared" si="29"/>
        <v>12856520.371608768</v>
      </c>
      <c r="L17" s="3">
        <f t="shared" ref="L17:M17" si="30">SUM(L14:L16)</f>
        <v>67543.207645237562</v>
      </c>
      <c r="M17" s="3">
        <f t="shared" si="30"/>
        <v>1512614.2184932879</v>
      </c>
      <c r="N17" s="3">
        <f t="shared" si="29"/>
        <v>6761654.475661274</v>
      </c>
      <c r="O17" s="3">
        <f t="shared" si="29"/>
        <v>5681238.5318873702</v>
      </c>
      <c r="P17" s="3">
        <f t="shared" si="29"/>
        <v>2987531.7780345967</v>
      </c>
      <c r="Q17" s="3">
        <f t="shared" si="29"/>
        <v>2522077.0237963982</v>
      </c>
      <c r="R17" s="3">
        <f t="shared" si="29"/>
        <v>79630.533862686876</v>
      </c>
      <c r="U17" s="21">
        <f t="shared" si="28"/>
        <v>0</v>
      </c>
    </row>
    <row r="18" spans="1:21">
      <c r="U18" s="21">
        <f t="shared" si="28"/>
        <v>0</v>
      </c>
    </row>
    <row r="19" spans="1:21">
      <c r="B19" s="1" t="s">
        <v>5</v>
      </c>
      <c r="E19" s="2">
        <v>3887841988.9148149</v>
      </c>
      <c r="F19" s="25"/>
      <c r="U19" s="21">
        <f t="shared" si="28"/>
        <v>0</v>
      </c>
    </row>
    <row r="20" spans="1:21">
      <c r="D20" s="28"/>
      <c r="E20" s="23"/>
      <c r="F20" s="24">
        <f>E19*E20</f>
        <v>0</v>
      </c>
      <c r="G20" s="18">
        <f t="shared" ref="G20:R21" si="31">INDEX(Alloc,($D20),(G$1))*$F20</f>
        <v>0</v>
      </c>
      <c r="H20" s="18">
        <f t="shared" si="31"/>
        <v>0</v>
      </c>
      <c r="I20" s="18">
        <f t="shared" si="31"/>
        <v>0</v>
      </c>
      <c r="J20" s="18">
        <f t="shared" si="31"/>
        <v>0</v>
      </c>
      <c r="K20" s="18">
        <f t="shared" si="31"/>
        <v>0</v>
      </c>
      <c r="L20" s="18">
        <f t="shared" si="31"/>
        <v>0</v>
      </c>
      <c r="M20" s="18">
        <f t="shared" si="31"/>
        <v>0</v>
      </c>
      <c r="N20" s="18">
        <f t="shared" si="31"/>
        <v>0</v>
      </c>
      <c r="O20" s="18">
        <f t="shared" si="31"/>
        <v>0</v>
      </c>
      <c r="P20" s="18">
        <f t="shared" si="31"/>
        <v>0</v>
      </c>
      <c r="Q20" s="18">
        <f t="shared" si="31"/>
        <v>0</v>
      </c>
      <c r="R20" s="18">
        <f t="shared" si="31"/>
        <v>0</v>
      </c>
      <c r="U20" s="21">
        <f t="shared" si="28"/>
        <v>0</v>
      </c>
    </row>
    <row r="21" spans="1:21">
      <c r="B21" s="22" t="s">
        <v>552</v>
      </c>
      <c r="D21" s="28">
        <v>88</v>
      </c>
      <c r="E21" s="23">
        <v>1</v>
      </c>
      <c r="F21" s="24">
        <f>E19*E21</f>
        <v>3887841988.9148149</v>
      </c>
      <c r="G21" s="18">
        <f t="shared" si="31"/>
        <v>1954087701.2584198</v>
      </c>
      <c r="H21" s="18">
        <f t="shared" si="31"/>
        <v>515691137.0936389</v>
      </c>
      <c r="I21" s="18">
        <f t="shared" si="31"/>
        <v>536191727.90118676</v>
      </c>
      <c r="J21" s="18">
        <f t="shared" si="31"/>
        <v>362276892.21106029</v>
      </c>
      <c r="K21" s="18">
        <f t="shared" si="31"/>
        <v>236493540.34369928</v>
      </c>
      <c r="L21" s="18">
        <f t="shared" si="31"/>
        <v>991399.70717327786</v>
      </c>
      <c r="M21" s="18">
        <f t="shared" si="31"/>
        <v>20869935.79649473</v>
      </c>
      <c r="N21" s="18">
        <f t="shared" si="31"/>
        <v>127793366.17562997</v>
      </c>
      <c r="O21" s="18">
        <f t="shared" si="31"/>
        <v>116137615.89286335</v>
      </c>
      <c r="P21" s="18">
        <f t="shared" si="31"/>
        <v>0</v>
      </c>
      <c r="Q21" s="18">
        <f t="shared" si="31"/>
        <v>16056787.414218185</v>
      </c>
      <c r="R21" s="18">
        <f t="shared" si="31"/>
        <v>1251885.1204305706</v>
      </c>
      <c r="U21" s="21">
        <f t="shared" si="28"/>
        <v>0</v>
      </c>
    </row>
    <row r="22" spans="1:21">
      <c r="B22" s="1" t="s">
        <v>8</v>
      </c>
      <c r="F22" s="3">
        <f t="shared" ref="F22:R22" si="32">SUM(F20:F21)</f>
        <v>3887841988.9148149</v>
      </c>
      <c r="G22" s="3">
        <f t="shared" si="32"/>
        <v>1954087701.2584198</v>
      </c>
      <c r="H22" s="3">
        <f t="shared" si="32"/>
        <v>515691137.0936389</v>
      </c>
      <c r="I22" s="3">
        <f t="shared" si="32"/>
        <v>536191727.90118676</v>
      </c>
      <c r="J22" s="3">
        <f t="shared" si="32"/>
        <v>362276892.21106029</v>
      </c>
      <c r="K22" s="3">
        <f t="shared" si="32"/>
        <v>236493540.34369928</v>
      </c>
      <c r="L22" s="3">
        <f t="shared" ref="L22:M22" si="33">SUM(L20:L21)</f>
        <v>991399.70717327786</v>
      </c>
      <c r="M22" s="3">
        <f t="shared" si="33"/>
        <v>20869935.79649473</v>
      </c>
      <c r="N22" s="3">
        <f t="shared" si="32"/>
        <v>127793366.17562997</v>
      </c>
      <c r="O22" s="3">
        <f t="shared" si="32"/>
        <v>116137615.89286335</v>
      </c>
      <c r="P22" s="3">
        <f t="shared" si="32"/>
        <v>0</v>
      </c>
      <c r="Q22" s="3">
        <f t="shared" si="32"/>
        <v>16056787.414218185</v>
      </c>
      <c r="R22" s="3">
        <f t="shared" si="32"/>
        <v>1251885.1204305706</v>
      </c>
      <c r="U22" s="21">
        <f t="shared" si="28"/>
        <v>0</v>
      </c>
    </row>
    <row r="23" spans="1:21">
      <c r="U23" s="21">
        <f t="shared" si="28"/>
        <v>0</v>
      </c>
    </row>
    <row r="24" spans="1:21">
      <c r="B24" s="1" t="s">
        <v>6</v>
      </c>
      <c r="E24" s="102">
        <v>1389050215</v>
      </c>
      <c r="U24" s="21">
        <f t="shared" si="28"/>
        <v>0</v>
      </c>
    </row>
    <row r="25" spans="1:21">
      <c r="A25">
        <v>350</v>
      </c>
      <c r="B25" t="s">
        <v>9</v>
      </c>
      <c r="E25" s="102">
        <v>174349685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U25" s="21">
        <f t="shared" si="28"/>
        <v>0</v>
      </c>
    </row>
    <row r="26" spans="1:21">
      <c r="B26" s="1"/>
      <c r="E26" s="23">
        <v>0</v>
      </c>
      <c r="F26" s="2">
        <f>E25*E26</f>
        <v>0</v>
      </c>
      <c r="G26" s="18">
        <f t="shared" ref="G26:R33" si="34">INDEX(Alloc,($D26),(G$1))*$F26</f>
        <v>0</v>
      </c>
      <c r="H26" s="18">
        <f t="shared" si="34"/>
        <v>0</v>
      </c>
      <c r="I26" s="18">
        <f t="shared" si="34"/>
        <v>0</v>
      </c>
      <c r="J26" s="18">
        <f t="shared" si="34"/>
        <v>0</v>
      </c>
      <c r="K26" s="18">
        <f t="shared" si="34"/>
        <v>0</v>
      </c>
      <c r="L26" s="18">
        <f t="shared" si="34"/>
        <v>0</v>
      </c>
      <c r="M26" s="18">
        <f t="shared" si="34"/>
        <v>0</v>
      </c>
      <c r="N26" s="18">
        <f t="shared" si="34"/>
        <v>0</v>
      </c>
      <c r="O26" s="18">
        <f t="shared" si="34"/>
        <v>0</v>
      </c>
      <c r="P26" s="18">
        <f t="shared" si="34"/>
        <v>0</v>
      </c>
      <c r="Q26" s="18">
        <f t="shared" si="34"/>
        <v>0</v>
      </c>
      <c r="R26" s="18">
        <f t="shared" si="34"/>
        <v>0</v>
      </c>
      <c r="U26" s="21">
        <f t="shared" si="28"/>
        <v>0</v>
      </c>
    </row>
    <row r="27" spans="1:21">
      <c r="B27" s="22" t="s">
        <v>552</v>
      </c>
      <c r="D27" s="26">
        <v>88</v>
      </c>
      <c r="E27" s="23">
        <v>1</v>
      </c>
      <c r="F27" s="2">
        <f>E25*E27</f>
        <v>174349685</v>
      </c>
      <c r="G27" s="18">
        <f t="shared" si="34"/>
        <v>87630766.926275</v>
      </c>
      <c r="H27" s="18">
        <f t="shared" si="34"/>
        <v>23126090.917770002</v>
      </c>
      <c r="I27" s="18">
        <f t="shared" si="34"/>
        <v>24045436.806775</v>
      </c>
      <c r="J27" s="18">
        <f t="shared" si="34"/>
        <v>16246252.34767</v>
      </c>
      <c r="K27" s="18">
        <f t="shared" si="34"/>
        <v>10605516.988864999</v>
      </c>
      <c r="L27" s="18">
        <f t="shared" si="34"/>
        <v>44459.169675000005</v>
      </c>
      <c r="M27" s="18">
        <f t="shared" si="34"/>
        <v>935909.10908000008</v>
      </c>
      <c r="N27" s="18">
        <f t="shared" si="34"/>
        <v>5730874.1459500007</v>
      </c>
      <c r="O27" s="18">
        <f t="shared" si="34"/>
        <v>5208173.7903199997</v>
      </c>
      <c r="P27" s="18">
        <f t="shared" si="34"/>
        <v>0</v>
      </c>
      <c r="Q27" s="18">
        <f t="shared" si="34"/>
        <v>720064.19905000005</v>
      </c>
      <c r="R27" s="18">
        <f t="shared" si="34"/>
        <v>56140.598570000002</v>
      </c>
      <c r="U27" s="21">
        <f t="shared" si="28"/>
        <v>0</v>
      </c>
    </row>
    <row r="28" spans="1:21">
      <c r="A28">
        <v>350.01</v>
      </c>
      <c r="B28" t="s">
        <v>10</v>
      </c>
      <c r="E28" s="102">
        <v>1214311299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U28" s="21">
        <f t="shared" si="28"/>
        <v>0</v>
      </c>
    </row>
    <row r="29" spans="1:21">
      <c r="E29" s="23"/>
      <c r="F29" s="2">
        <f>E28*E29</f>
        <v>0</v>
      </c>
      <c r="G29" s="18">
        <f t="shared" si="34"/>
        <v>0</v>
      </c>
      <c r="H29" s="18">
        <f t="shared" si="34"/>
        <v>0</v>
      </c>
      <c r="I29" s="18">
        <f t="shared" si="34"/>
        <v>0</v>
      </c>
      <c r="J29" s="18">
        <f t="shared" si="34"/>
        <v>0</v>
      </c>
      <c r="K29" s="18">
        <f t="shared" si="34"/>
        <v>0</v>
      </c>
      <c r="L29" s="18">
        <f t="shared" si="34"/>
        <v>0</v>
      </c>
      <c r="M29" s="18">
        <f t="shared" si="34"/>
        <v>0</v>
      </c>
      <c r="N29" s="18">
        <f t="shared" si="34"/>
        <v>0</v>
      </c>
      <c r="O29" s="18">
        <f t="shared" si="34"/>
        <v>0</v>
      </c>
      <c r="P29" s="18">
        <f t="shared" si="34"/>
        <v>0</v>
      </c>
      <c r="Q29" s="18">
        <f t="shared" si="34"/>
        <v>0</v>
      </c>
      <c r="R29" s="18">
        <f t="shared" si="34"/>
        <v>0</v>
      </c>
      <c r="U29" s="21">
        <f t="shared" si="28"/>
        <v>0</v>
      </c>
    </row>
    <row r="30" spans="1:21">
      <c r="B30" t="s">
        <v>553</v>
      </c>
      <c r="D30" s="26">
        <v>91</v>
      </c>
      <c r="E30" s="23">
        <v>1</v>
      </c>
      <c r="F30" s="2">
        <f>E28*E30</f>
        <v>1214311299</v>
      </c>
      <c r="G30" s="18">
        <f t="shared" si="34"/>
        <v>562914795.91773939</v>
      </c>
      <c r="H30" s="18">
        <f t="shared" si="34"/>
        <v>148555344.26971099</v>
      </c>
      <c r="I30" s="18">
        <f t="shared" si="34"/>
        <v>154460957.35104412</v>
      </c>
      <c r="J30" s="18">
        <f t="shared" si="34"/>
        <v>104361243.72174884</v>
      </c>
      <c r="K30" s="18">
        <f t="shared" si="34"/>
        <v>68126785.155397609</v>
      </c>
      <c r="L30" s="18">
        <f t="shared" si="34"/>
        <v>285592.89507679548</v>
      </c>
      <c r="M30" s="18">
        <f t="shared" si="34"/>
        <v>6012010.4344009329</v>
      </c>
      <c r="N30" s="18">
        <f t="shared" si="34"/>
        <v>36813484.161467716</v>
      </c>
      <c r="O30" s="18">
        <f t="shared" si="34"/>
        <v>33455807.693074644</v>
      </c>
      <c r="P30" s="18">
        <f t="shared" si="34"/>
        <v>94339161.443939209</v>
      </c>
      <c r="Q30" s="18">
        <f t="shared" si="34"/>
        <v>4625484.9281065306</v>
      </c>
      <c r="R30" s="18">
        <f t="shared" si="34"/>
        <v>360631.02829305152</v>
      </c>
      <c r="U30" s="21">
        <f t="shared" si="28"/>
        <v>0</v>
      </c>
    </row>
    <row r="31" spans="1:21">
      <c r="A31">
        <v>350.02</v>
      </c>
      <c r="B31" t="s">
        <v>11</v>
      </c>
      <c r="E31" s="102">
        <v>389231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U31" s="21">
        <f t="shared" si="28"/>
        <v>0</v>
      </c>
    </row>
    <row r="32" spans="1:21">
      <c r="B32" t="s">
        <v>436</v>
      </c>
      <c r="D32" s="26">
        <v>6</v>
      </c>
      <c r="E32" s="23">
        <v>1</v>
      </c>
      <c r="F32" s="2">
        <f>E31*E32</f>
        <v>389231</v>
      </c>
      <c r="G32" s="18">
        <f t="shared" si="34"/>
        <v>0</v>
      </c>
      <c r="H32" s="18">
        <f t="shared" si="34"/>
        <v>0</v>
      </c>
      <c r="I32" s="18">
        <f t="shared" si="34"/>
        <v>0</v>
      </c>
      <c r="J32" s="18">
        <f t="shared" si="34"/>
        <v>0</v>
      </c>
      <c r="K32" s="18">
        <f t="shared" si="34"/>
        <v>0</v>
      </c>
      <c r="L32" s="18">
        <f t="shared" si="34"/>
        <v>0</v>
      </c>
      <c r="M32" s="18">
        <f t="shared" si="34"/>
        <v>0</v>
      </c>
      <c r="N32" s="18">
        <f t="shared" si="34"/>
        <v>0</v>
      </c>
      <c r="O32" s="18">
        <f t="shared" si="34"/>
        <v>0</v>
      </c>
      <c r="P32" s="18">
        <f t="shared" si="34"/>
        <v>389231</v>
      </c>
      <c r="Q32" s="18">
        <f t="shared" si="34"/>
        <v>0</v>
      </c>
      <c r="R32" s="18">
        <f t="shared" si="34"/>
        <v>0</v>
      </c>
      <c r="U32" s="21">
        <f t="shared" si="28"/>
        <v>0</v>
      </c>
    </row>
    <row r="33" spans="1:21">
      <c r="B33" t="s">
        <v>437</v>
      </c>
      <c r="E33" s="23">
        <v>0</v>
      </c>
      <c r="F33" s="2">
        <f>E31*E33</f>
        <v>0</v>
      </c>
      <c r="G33" s="18">
        <f t="shared" si="34"/>
        <v>0</v>
      </c>
      <c r="H33" s="18">
        <f t="shared" si="34"/>
        <v>0</v>
      </c>
      <c r="I33" s="18">
        <f t="shared" si="34"/>
        <v>0</v>
      </c>
      <c r="J33" s="18">
        <f t="shared" si="34"/>
        <v>0</v>
      </c>
      <c r="K33" s="18">
        <f t="shared" si="34"/>
        <v>0</v>
      </c>
      <c r="L33" s="18">
        <f t="shared" si="34"/>
        <v>0</v>
      </c>
      <c r="M33" s="18">
        <f t="shared" si="34"/>
        <v>0</v>
      </c>
      <c r="N33" s="18">
        <f t="shared" si="34"/>
        <v>0</v>
      </c>
      <c r="O33" s="18">
        <f t="shared" si="34"/>
        <v>0</v>
      </c>
      <c r="P33" s="18">
        <f t="shared" si="34"/>
        <v>0</v>
      </c>
      <c r="Q33" s="18">
        <f t="shared" si="34"/>
        <v>0</v>
      </c>
      <c r="R33" s="18">
        <f t="shared" si="34"/>
        <v>0</v>
      </c>
      <c r="U33" s="21">
        <f t="shared" si="28"/>
        <v>0</v>
      </c>
    </row>
    <row r="34" spans="1:21">
      <c r="B34" s="1" t="s">
        <v>8</v>
      </c>
      <c r="F34" s="3">
        <f>SUM(F25:F33)</f>
        <v>1389050215</v>
      </c>
      <c r="G34" s="3">
        <f t="shared" ref="G34:R34" si="35">SUM(G25:G33)</f>
        <v>650545562.84401441</v>
      </c>
      <c r="H34" s="3">
        <f t="shared" si="35"/>
        <v>171681435.18748099</v>
      </c>
      <c r="I34" s="3">
        <f t="shared" si="35"/>
        <v>178506394.15781912</v>
      </c>
      <c r="J34" s="3">
        <f t="shared" si="35"/>
        <v>120607496.06941885</v>
      </c>
      <c r="K34" s="3">
        <f t="shared" si="35"/>
        <v>78732302.144262612</v>
      </c>
      <c r="L34" s="3">
        <f t="shared" ref="L34:M34" si="36">SUM(L25:L33)</f>
        <v>330052.06475179549</v>
      </c>
      <c r="M34" s="3">
        <f t="shared" si="36"/>
        <v>6947919.5434809327</v>
      </c>
      <c r="N34" s="3">
        <f t="shared" si="35"/>
        <v>42544358.307417721</v>
      </c>
      <c r="O34" s="3">
        <f t="shared" si="35"/>
        <v>38663981.483394645</v>
      </c>
      <c r="P34" s="3">
        <f t="shared" si="35"/>
        <v>94728392.443939209</v>
      </c>
      <c r="Q34" s="3">
        <f t="shared" si="35"/>
        <v>5345549.1271565305</v>
      </c>
      <c r="R34" s="3">
        <f t="shared" si="35"/>
        <v>416771.62686305156</v>
      </c>
      <c r="U34" s="21">
        <f t="shared" si="28"/>
        <v>0</v>
      </c>
    </row>
    <row r="35" spans="1:21">
      <c r="U35" s="21">
        <f t="shared" si="28"/>
        <v>0</v>
      </c>
    </row>
    <row r="36" spans="1:21">
      <c r="B36" s="1" t="s">
        <v>12</v>
      </c>
      <c r="U36" s="21">
        <f t="shared" si="28"/>
        <v>0</v>
      </c>
    </row>
    <row r="37" spans="1:21">
      <c r="A37">
        <v>360.01</v>
      </c>
      <c r="B37" t="s">
        <v>13</v>
      </c>
      <c r="D37" s="26">
        <v>36</v>
      </c>
      <c r="F37" s="2">
        <v>5346857.3397640157</v>
      </c>
      <c r="G37" s="18">
        <f t="shared" ref="G37:R46" si="37">INDEX(Alloc,($D37),(G$1))*$F37</f>
        <v>0</v>
      </c>
      <c r="H37" s="18">
        <f t="shared" si="37"/>
        <v>0</v>
      </c>
      <c r="I37" s="18">
        <f t="shared" si="37"/>
        <v>0</v>
      </c>
      <c r="J37" s="18">
        <f t="shared" si="37"/>
        <v>0</v>
      </c>
      <c r="K37" s="18">
        <f t="shared" si="37"/>
        <v>0</v>
      </c>
      <c r="L37" s="18">
        <f t="shared" si="37"/>
        <v>0</v>
      </c>
      <c r="M37" s="18">
        <f t="shared" si="37"/>
        <v>0</v>
      </c>
      <c r="N37" s="18">
        <f t="shared" si="37"/>
        <v>4604125.9627512153</v>
      </c>
      <c r="O37" s="18">
        <f t="shared" si="37"/>
        <v>742731.37701280019</v>
      </c>
      <c r="P37" s="18">
        <f t="shared" si="37"/>
        <v>0</v>
      </c>
      <c r="Q37" s="18">
        <f t="shared" si="37"/>
        <v>0</v>
      </c>
      <c r="R37" s="18">
        <f t="shared" si="37"/>
        <v>0</v>
      </c>
      <c r="U37" s="21">
        <f t="shared" si="28"/>
        <v>0</v>
      </c>
    </row>
    <row r="38" spans="1:21">
      <c r="A38">
        <v>360.02</v>
      </c>
      <c r="B38" t="s">
        <v>14</v>
      </c>
      <c r="D38" s="26">
        <v>42</v>
      </c>
      <c r="F38" s="2">
        <v>40695723.896902584</v>
      </c>
      <c r="G38" s="18">
        <f t="shared" si="37"/>
        <v>16661052.06712766</v>
      </c>
      <c r="H38" s="18">
        <f t="shared" si="37"/>
        <v>6514455.771899946</v>
      </c>
      <c r="I38" s="18">
        <f t="shared" si="37"/>
        <v>8195036.9604089633</v>
      </c>
      <c r="J38" s="18">
        <f t="shared" si="37"/>
        <v>4653114.1930973371</v>
      </c>
      <c r="K38" s="18">
        <f t="shared" si="37"/>
        <v>4413472.7417712733</v>
      </c>
      <c r="L38" s="18">
        <f t="shared" si="37"/>
        <v>826.25288572807881</v>
      </c>
      <c r="M38" s="18">
        <f t="shared" si="37"/>
        <v>221452.9544370212</v>
      </c>
      <c r="N38" s="18">
        <f t="shared" si="37"/>
        <v>0</v>
      </c>
      <c r="O38" s="18">
        <f t="shared" si="37"/>
        <v>0</v>
      </c>
      <c r="P38" s="18">
        <f t="shared" si="37"/>
        <v>0</v>
      </c>
      <c r="Q38" s="18">
        <f t="shared" si="37"/>
        <v>33623.338130564</v>
      </c>
      <c r="R38" s="18">
        <f t="shared" si="37"/>
        <v>2689.6171440902681</v>
      </c>
      <c r="U38" s="21">
        <f t="shared" si="28"/>
        <v>0</v>
      </c>
    </row>
    <row r="39" spans="1:21">
      <c r="A39">
        <v>361.01</v>
      </c>
      <c r="B39" t="s">
        <v>15</v>
      </c>
      <c r="D39" s="26">
        <v>37</v>
      </c>
      <c r="F39" s="2">
        <v>720950.67220432428</v>
      </c>
      <c r="G39" s="18">
        <f t="shared" si="37"/>
        <v>0</v>
      </c>
      <c r="H39" s="18">
        <f t="shared" si="37"/>
        <v>0</v>
      </c>
      <c r="I39" s="18">
        <f t="shared" si="37"/>
        <v>0</v>
      </c>
      <c r="J39" s="18">
        <f t="shared" si="37"/>
        <v>0</v>
      </c>
      <c r="K39" s="18">
        <f t="shared" si="37"/>
        <v>0</v>
      </c>
      <c r="L39" s="18">
        <f t="shared" si="37"/>
        <v>0</v>
      </c>
      <c r="M39" s="18">
        <f t="shared" si="37"/>
        <v>0</v>
      </c>
      <c r="N39" s="18">
        <f t="shared" si="37"/>
        <v>365041.24012752424</v>
      </c>
      <c r="O39" s="18">
        <f t="shared" si="37"/>
        <v>162866.1520768</v>
      </c>
      <c r="P39" s="18">
        <f t="shared" si="37"/>
        <v>193043.27999999997</v>
      </c>
      <c r="Q39" s="18">
        <f t="shared" si="37"/>
        <v>0</v>
      </c>
      <c r="R39" s="18">
        <f t="shared" si="37"/>
        <v>0</v>
      </c>
      <c r="U39" s="21">
        <f t="shared" si="28"/>
        <v>0</v>
      </c>
    </row>
    <row r="40" spans="1:21">
      <c r="A40">
        <v>361.02</v>
      </c>
      <c r="B40" t="s">
        <v>16</v>
      </c>
      <c r="D40" s="26">
        <v>43</v>
      </c>
      <c r="F40" s="2">
        <v>7250175.1598790055</v>
      </c>
      <c r="G40" s="18">
        <f t="shared" si="37"/>
        <v>3596168.5303501668</v>
      </c>
      <c r="H40" s="18">
        <f t="shared" si="37"/>
        <v>1058931.0908890173</v>
      </c>
      <c r="I40" s="18">
        <f t="shared" si="37"/>
        <v>1271969.2086512116</v>
      </c>
      <c r="J40" s="18">
        <f t="shared" si="37"/>
        <v>793312.45037655835</v>
      </c>
      <c r="K40" s="18">
        <f t="shared" si="37"/>
        <v>458786.98959444842</v>
      </c>
      <c r="L40" s="18">
        <f t="shared" si="37"/>
        <v>0</v>
      </c>
      <c r="M40" s="18">
        <f t="shared" si="37"/>
        <v>63878.178937131051</v>
      </c>
      <c r="N40" s="18">
        <f t="shared" si="37"/>
        <v>0</v>
      </c>
      <c r="O40" s="18">
        <f t="shared" si="37"/>
        <v>0</v>
      </c>
      <c r="P40" s="18">
        <f t="shared" si="37"/>
        <v>0</v>
      </c>
      <c r="Q40" s="18">
        <f t="shared" si="37"/>
        <v>6349.380061216606</v>
      </c>
      <c r="R40" s="18">
        <f t="shared" si="37"/>
        <v>779.33101925499852</v>
      </c>
      <c r="U40" s="21">
        <f t="shared" si="28"/>
        <v>0</v>
      </c>
    </row>
    <row r="41" spans="1:21">
      <c r="A41">
        <v>362.01</v>
      </c>
      <c r="B41" t="s">
        <v>17</v>
      </c>
      <c r="D41" s="26">
        <v>38</v>
      </c>
      <c r="F41" s="2">
        <v>36037590.329062611</v>
      </c>
      <c r="G41" s="18">
        <f t="shared" si="37"/>
        <v>0</v>
      </c>
      <c r="H41" s="18">
        <f t="shared" si="37"/>
        <v>0</v>
      </c>
      <c r="I41" s="18">
        <f t="shared" si="37"/>
        <v>0</v>
      </c>
      <c r="J41" s="18">
        <f t="shared" si="37"/>
        <v>0</v>
      </c>
      <c r="K41" s="18">
        <f t="shared" si="37"/>
        <v>761867.27362632507</v>
      </c>
      <c r="L41" s="18">
        <f t="shared" si="37"/>
        <v>0</v>
      </c>
      <c r="M41" s="18">
        <f t="shared" si="37"/>
        <v>0</v>
      </c>
      <c r="N41" s="18">
        <f t="shared" si="37"/>
        <v>14491048.15719921</v>
      </c>
      <c r="O41" s="18">
        <f t="shared" si="37"/>
        <v>14207847.025270712</v>
      </c>
      <c r="P41" s="18">
        <f t="shared" si="37"/>
        <v>6576827.8729663622</v>
      </c>
      <c r="Q41" s="18">
        <f t="shared" si="37"/>
        <v>0</v>
      </c>
      <c r="R41" s="18">
        <f t="shared" si="37"/>
        <v>0</v>
      </c>
      <c r="U41" s="21">
        <f t="shared" si="28"/>
        <v>0</v>
      </c>
    </row>
    <row r="42" spans="1:21">
      <c r="A42">
        <v>362.02</v>
      </c>
      <c r="B42" t="s">
        <v>18</v>
      </c>
      <c r="D42" s="26">
        <v>44</v>
      </c>
      <c r="F42" s="2">
        <v>381836222.71196634</v>
      </c>
      <c r="G42" s="18">
        <f t="shared" si="37"/>
        <v>207938553.65897152</v>
      </c>
      <c r="H42" s="18">
        <f t="shared" si="37"/>
        <v>53792849.553696178</v>
      </c>
      <c r="I42" s="18">
        <f t="shared" si="37"/>
        <v>57936633.265027665</v>
      </c>
      <c r="J42" s="18">
        <f t="shared" si="37"/>
        <v>32837746.987296835</v>
      </c>
      <c r="K42" s="18">
        <f t="shared" si="37"/>
        <v>25468772.476487</v>
      </c>
      <c r="L42" s="18">
        <f t="shared" si="37"/>
        <v>93053.160155270147</v>
      </c>
      <c r="M42" s="18">
        <f t="shared" si="37"/>
        <v>3291031.4116360145</v>
      </c>
      <c r="N42" s="18">
        <f t="shared" si="37"/>
        <v>0</v>
      </c>
      <c r="O42" s="18">
        <f t="shared" si="37"/>
        <v>0</v>
      </c>
      <c r="P42" s="18">
        <f t="shared" si="37"/>
        <v>0</v>
      </c>
      <c r="Q42" s="18">
        <f t="shared" si="37"/>
        <v>368205.3219365796</v>
      </c>
      <c r="R42" s="18">
        <f t="shared" si="37"/>
        <v>109376.87675931495</v>
      </c>
      <c r="T42" s="21"/>
      <c r="U42" s="21">
        <f t="shared" si="28"/>
        <v>0</v>
      </c>
    </row>
    <row r="43" spans="1:21">
      <c r="A43">
        <v>363.01</v>
      </c>
      <c r="B43" t="s">
        <v>19</v>
      </c>
      <c r="D43" s="26">
        <v>44</v>
      </c>
      <c r="F43" s="2">
        <v>2897295.0557666672</v>
      </c>
      <c r="G43" s="18">
        <f t="shared" si="37"/>
        <v>1577795.1581976237</v>
      </c>
      <c r="H43" s="18">
        <f t="shared" si="37"/>
        <v>408169.12534013449</v>
      </c>
      <c r="I43" s="18">
        <f t="shared" si="37"/>
        <v>439611.30747187947</v>
      </c>
      <c r="J43" s="18">
        <f t="shared" si="37"/>
        <v>249166.09878728064</v>
      </c>
      <c r="K43" s="18">
        <f t="shared" si="37"/>
        <v>193251.82940601997</v>
      </c>
      <c r="L43" s="18">
        <f t="shared" si="37"/>
        <v>706.06832145597537</v>
      </c>
      <c r="M43" s="18">
        <f t="shared" si="37"/>
        <v>24971.672330046335</v>
      </c>
      <c r="N43" s="18">
        <f t="shared" si="37"/>
        <v>0</v>
      </c>
      <c r="O43" s="18">
        <f t="shared" si="37"/>
        <v>0</v>
      </c>
      <c r="P43" s="18">
        <f t="shared" si="37"/>
        <v>0</v>
      </c>
      <c r="Q43" s="18">
        <f t="shared" si="37"/>
        <v>2793.8665723669537</v>
      </c>
      <c r="R43" s="18">
        <f t="shared" si="37"/>
        <v>829.92933985996103</v>
      </c>
      <c r="U43" s="21">
        <f t="shared" si="28"/>
        <v>0</v>
      </c>
    </row>
    <row r="44" spans="1:21">
      <c r="A44">
        <v>364.01</v>
      </c>
      <c r="B44" t="s">
        <v>20</v>
      </c>
      <c r="D44" s="26">
        <v>45</v>
      </c>
      <c r="F44" s="2">
        <v>332823919.61817998</v>
      </c>
      <c r="G44" s="18">
        <f t="shared" si="37"/>
        <v>226093115.02757889</v>
      </c>
      <c r="H44" s="18">
        <f t="shared" si="37"/>
        <v>43352802.788722634</v>
      </c>
      <c r="I44" s="18">
        <f t="shared" si="37"/>
        <v>33490419.039243501</v>
      </c>
      <c r="J44" s="18">
        <f t="shared" si="37"/>
        <v>13955010.378855238</v>
      </c>
      <c r="K44" s="18">
        <f t="shared" si="37"/>
        <v>11887452.742172142</v>
      </c>
      <c r="L44" s="18">
        <f t="shared" si="37"/>
        <v>266306.77650481323</v>
      </c>
      <c r="M44" s="18">
        <f t="shared" si="37"/>
        <v>3324820.0312874797</v>
      </c>
      <c r="N44" s="18">
        <f t="shared" si="37"/>
        <v>0</v>
      </c>
      <c r="O44" s="18">
        <f t="shared" si="37"/>
        <v>0</v>
      </c>
      <c r="P44" s="18">
        <f t="shared" si="37"/>
        <v>0</v>
      </c>
      <c r="Q44" s="18">
        <f t="shared" si="37"/>
        <v>217796.11998069525</v>
      </c>
      <c r="R44" s="18">
        <f t="shared" si="37"/>
        <v>236196.71383467104</v>
      </c>
      <c r="U44" s="21">
        <f t="shared" si="28"/>
        <v>0</v>
      </c>
    </row>
    <row r="45" spans="1:21">
      <c r="A45">
        <v>365.01</v>
      </c>
      <c r="B45" t="s">
        <v>21</v>
      </c>
      <c r="D45" s="26" t="s">
        <v>485</v>
      </c>
      <c r="F45" s="2">
        <v>1638327.3314998201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1638327</v>
      </c>
      <c r="O45" s="18">
        <v>0</v>
      </c>
      <c r="P45" s="18">
        <v>0</v>
      </c>
      <c r="Q45" s="18">
        <v>0</v>
      </c>
      <c r="R45" s="18">
        <v>0</v>
      </c>
      <c r="U45" s="21">
        <f t="shared" si="28"/>
        <v>-0.33149982010945678</v>
      </c>
    </row>
    <row r="46" spans="1:21">
      <c r="A46">
        <v>365.02</v>
      </c>
      <c r="B46" t="s">
        <v>22</v>
      </c>
      <c r="D46" s="26">
        <v>45</v>
      </c>
      <c r="F46" s="2">
        <v>390407001.33487219</v>
      </c>
      <c r="G46" s="18">
        <f t="shared" si="37"/>
        <v>265210310.48982298</v>
      </c>
      <c r="H46" s="18">
        <f t="shared" si="37"/>
        <v>50853429.511989839</v>
      </c>
      <c r="I46" s="18">
        <f t="shared" si="37"/>
        <v>39284718.735237114</v>
      </c>
      <c r="J46" s="18">
        <f t="shared" si="37"/>
        <v>16369417.684450276</v>
      </c>
      <c r="K46" s="18">
        <f t="shared" si="37"/>
        <v>13944144.350879537</v>
      </c>
      <c r="L46" s="18">
        <f t="shared" si="37"/>
        <v>312381.48438872315</v>
      </c>
      <c r="M46" s="18">
        <f t="shared" si="37"/>
        <v>3900059.2862501638</v>
      </c>
      <c r="N46" s="18">
        <f t="shared" si="37"/>
        <v>0</v>
      </c>
      <c r="O46" s="18">
        <f t="shared" si="37"/>
        <v>0</v>
      </c>
      <c r="P46" s="18">
        <f t="shared" si="37"/>
        <v>0</v>
      </c>
      <c r="Q46" s="18">
        <f t="shared" si="37"/>
        <v>255477.82203148084</v>
      </c>
      <c r="R46" s="18">
        <f t="shared" si="37"/>
        <v>277061.96982215898</v>
      </c>
      <c r="U46" s="21">
        <f t="shared" si="28"/>
        <v>0</v>
      </c>
    </row>
    <row r="47" spans="1:21">
      <c r="A47">
        <v>366.01</v>
      </c>
      <c r="B47" t="s">
        <v>23</v>
      </c>
      <c r="D47" s="26">
        <v>40</v>
      </c>
      <c r="F47" s="2">
        <v>34343068.147723362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f t="shared" ref="G47:R57" si="38">INDEX(Alloc,($D47),(N$1))*$F47</f>
        <v>27686863.057723358</v>
      </c>
      <c r="O47" s="18">
        <f t="shared" si="38"/>
        <v>6656205.0899999999</v>
      </c>
      <c r="P47" s="18">
        <f t="shared" si="38"/>
        <v>0</v>
      </c>
      <c r="Q47" s="18">
        <f t="shared" si="38"/>
        <v>0</v>
      </c>
      <c r="R47" s="18">
        <f t="shared" si="38"/>
        <v>0</v>
      </c>
      <c r="U47" s="21">
        <f t="shared" si="28"/>
        <v>0</v>
      </c>
    </row>
    <row r="48" spans="1:21">
      <c r="A48">
        <v>366.02</v>
      </c>
      <c r="B48" t="s">
        <v>24</v>
      </c>
      <c r="D48" s="26">
        <v>47</v>
      </c>
      <c r="F48" s="2">
        <v>624479928.47685969</v>
      </c>
      <c r="G48" s="18">
        <f t="shared" si="38"/>
        <v>416925685.90571171</v>
      </c>
      <c r="H48" s="18">
        <f t="shared" si="38"/>
        <v>77151788.488924995</v>
      </c>
      <c r="I48" s="18">
        <f t="shared" si="38"/>
        <v>71201808.54622519</v>
      </c>
      <c r="J48" s="18">
        <f t="shared" si="38"/>
        <v>30574164.157850333</v>
      </c>
      <c r="K48" s="18">
        <f t="shared" si="38"/>
        <v>20812199.846640788</v>
      </c>
      <c r="L48" s="18">
        <f t="shared" si="38"/>
        <v>231685.14111496869</v>
      </c>
      <c r="M48" s="18">
        <f t="shared" si="38"/>
        <v>7112224.6341171982</v>
      </c>
      <c r="N48" s="18">
        <f t="shared" si="38"/>
        <v>0</v>
      </c>
      <c r="O48" s="18">
        <f t="shared" si="38"/>
        <v>0</v>
      </c>
      <c r="P48" s="18">
        <f t="shared" si="38"/>
        <v>0</v>
      </c>
      <c r="Q48" s="18">
        <f t="shared" si="38"/>
        <v>305518.86740435427</v>
      </c>
      <c r="R48" s="18">
        <f t="shared" si="38"/>
        <v>164852.88887026618</v>
      </c>
      <c r="U48" s="21">
        <f t="shared" si="28"/>
        <v>0</v>
      </c>
    </row>
    <row r="49" spans="1:21">
      <c r="A49">
        <v>367.01</v>
      </c>
      <c r="B49" t="s">
        <v>25</v>
      </c>
      <c r="D49" s="26">
        <v>47</v>
      </c>
      <c r="F49" s="2">
        <v>839507907.99583304</v>
      </c>
      <c r="G49" s="18">
        <f t="shared" si="38"/>
        <v>560486245.27954161</v>
      </c>
      <c r="H49" s="18">
        <f t="shared" si="38"/>
        <v>103717563.36580877</v>
      </c>
      <c r="I49" s="18">
        <f t="shared" si="38"/>
        <v>95718819.152369767</v>
      </c>
      <c r="J49" s="18">
        <f t="shared" si="38"/>
        <v>41101805.551191904</v>
      </c>
      <c r="K49" s="18">
        <f t="shared" si="38"/>
        <v>27978491.473152347</v>
      </c>
      <c r="L49" s="18">
        <f t="shared" si="38"/>
        <v>311461.58469103469</v>
      </c>
      <c r="M49" s="18">
        <f t="shared" si="38"/>
        <v>9561186.1190594006</v>
      </c>
      <c r="N49" s="18">
        <f t="shared" si="38"/>
        <v>0</v>
      </c>
      <c r="O49" s="18">
        <f t="shared" si="38"/>
        <v>0</v>
      </c>
      <c r="P49" s="18">
        <f t="shared" si="38"/>
        <v>0</v>
      </c>
      <c r="Q49" s="18">
        <f t="shared" si="38"/>
        <v>410718.57321894681</v>
      </c>
      <c r="R49" s="18">
        <f t="shared" si="38"/>
        <v>221616.89679939006</v>
      </c>
      <c r="U49" s="21">
        <f t="shared" si="28"/>
        <v>0</v>
      </c>
    </row>
    <row r="50" spans="1:21">
      <c r="A50" t="s">
        <v>26</v>
      </c>
      <c r="B50" t="s">
        <v>27</v>
      </c>
      <c r="D50" s="26">
        <v>21</v>
      </c>
      <c r="F50" s="2">
        <v>158181415.66</v>
      </c>
      <c r="G50" s="18">
        <f t="shared" si="38"/>
        <v>115526683.12460129</v>
      </c>
      <c r="H50" s="18">
        <f t="shared" si="38"/>
        <v>18108248.172830954</v>
      </c>
      <c r="I50" s="18">
        <f t="shared" si="38"/>
        <v>2322391.4985946612</v>
      </c>
      <c r="J50" s="18">
        <f t="shared" si="38"/>
        <v>29481.619275960766</v>
      </c>
      <c r="K50" s="18">
        <f t="shared" si="38"/>
        <v>0</v>
      </c>
      <c r="L50" s="18">
        <f t="shared" si="38"/>
        <v>0</v>
      </c>
      <c r="M50" s="18">
        <f t="shared" si="38"/>
        <v>0</v>
      </c>
      <c r="N50" s="18">
        <f t="shared" si="38"/>
        <v>0</v>
      </c>
      <c r="O50" s="18">
        <f t="shared" si="38"/>
        <v>0</v>
      </c>
      <c r="P50" s="18">
        <f t="shared" si="38"/>
        <v>0</v>
      </c>
      <c r="Q50" s="18">
        <f t="shared" si="38"/>
        <v>22194611.244697127</v>
      </c>
      <c r="R50" s="18">
        <f t="shared" si="38"/>
        <v>0</v>
      </c>
      <c r="U50" s="21">
        <f t="shared" si="28"/>
        <v>0</v>
      </c>
    </row>
    <row r="51" spans="1:21">
      <c r="A51" t="s">
        <v>28</v>
      </c>
      <c r="B51" t="s">
        <v>29</v>
      </c>
      <c r="D51" s="26">
        <v>25</v>
      </c>
      <c r="F51" s="2">
        <v>295925429.44</v>
      </c>
      <c r="G51" s="18">
        <f t="shared" si="38"/>
        <v>217662652.45164084</v>
      </c>
      <c r="H51" s="18">
        <f t="shared" si="38"/>
        <v>42890899.34515518</v>
      </c>
      <c r="I51" s="18">
        <f t="shared" si="38"/>
        <v>25965513.2978139</v>
      </c>
      <c r="J51" s="18">
        <f t="shared" si="38"/>
        <v>8706892.3517976124</v>
      </c>
      <c r="K51" s="18">
        <f t="shared" si="38"/>
        <v>0</v>
      </c>
      <c r="L51" s="18">
        <f t="shared" si="38"/>
        <v>0</v>
      </c>
      <c r="M51" s="18">
        <f t="shared" si="38"/>
        <v>0</v>
      </c>
      <c r="N51" s="18">
        <f t="shared" si="38"/>
        <v>0</v>
      </c>
      <c r="O51" s="18">
        <f t="shared" si="38"/>
        <v>0</v>
      </c>
      <c r="P51" s="18">
        <f t="shared" si="38"/>
        <v>0</v>
      </c>
      <c r="Q51" s="18">
        <f t="shared" si="38"/>
        <v>681987.01044993114</v>
      </c>
      <c r="R51" s="18">
        <f t="shared" si="38"/>
        <v>17484.983142559689</v>
      </c>
      <c r="U51" s="21">
        <f t="shared" si="28"/>
        <v>0</v>
      </c>
    </row>
    <row r="52" spans="1:21">
      <c r="A52">
        <v>368.03</v>
      </c>
      <c r="B52" t="s">
        <v>30</v>
      </c>
      <c r="D52" s="26">
        <v>41</v>
      </c>
      <c r="F52" s="2">
        <v>3221790.9</v>
      </c>
      <c r="G52" s="18">
        <f t="shared" si="38"/>
        <v>0</v>
      </c>
      <c r="H52" s="18">
        <f t="shared" si="38"/>
        <v>0</v>
      </c>
      <c r="I52" s="18">
        <f t="shared" si="38"/>
        <v>0</v>
      </c>
      <c r="J52" s="18">
        <f t="shared" si="38"/>
        <v>0</v>
      </c>
      <c r="K52" s="18">
        <f t="shared" si="38"/>
        <v>813608.53999999992</v>
      </c>
      <c r="L52" s="18">
        <f t="shared" si="38"/>
        <v>0</v>
      </c>
      <c r="M52" s="18">
        <f t="shared" si="38"/>
        <v>47249.630000000005</v>
      </c>
      <c r="N52" s="18">
        <f t="shared" si="38"/>
        <v>2341535.54</v>
      </c>
      <c r="O52" s="18">
        <f t="shared" si="38"/>
        <v>0</v>
      </c>
      <c r="P52" s="18">
        <f t="shared" si="38"/>
        <v>0</v>
      </c>
      <c r="Q52" s="18">
        <f t="shared" si="38"/>
        <v>0</v>
      </c>
      <c r="R52" s="18">
        <f t="shared" si="38"/>
        <v>19397.189999999999</v>
      </c>
      <c r="U52" s="21">
        <f t="shared" si="28"/>
        <v>0</v>
      </c>
    </row>
    <row r="53" spans="1:21">
      <c r="A53" t="s">
        <v>31</v>
      </c>
      <c r="B53" t="s">
        <v>32</v>
      </c>
      <c r="D53" s="26">
        <v>20</v>
      </c>
      <c r="F53" s="2">
        <v>39681227</v>
      </c>
      <c r="G53" s="18">
        <f t="shared" si="38"/>
        <v>34421864.686668307</v>
      </c>
      <c r="H53" s="18">
        <f t="shared" si="38"/>
        <v>5076816.6766513577</v>
      </c>
      <c r="I53" s="18">
        <f t="shared" si="38"/>
        <v>179788.74464848876</v>
      </c>
      <c r="J53" s="18">
        <f t="shared" si="38"/>
        <v>2756.892031849773</v>
      </c>
      <c r="K53" s="18">
        <f t="shared" si="38"/>
        <v>0</v>
      </c>
      <c r="L53" s="18">
        <f t="shared" si="38"/>
        <v>0</v>
      </c>
      <c r="M53" s="18">
        <f t="shared" si="38"/>
        <v>0</v>
      </c>
      <c r="N53" s="18">
        <f t="shared" si="38"/>
        <v>0</v>
      </c>
      <c r="O53" s="18">
        <f t="shared" si="38"/>
        <v>0</v>
      </c>
      <c r="P53" s="18">
        <f t="shared" si="38"/>
        <v>0</v>
      </c>
      <c r="Q53" s="18">
        <f t="shared" si="38"/>
        <v>0</v>
      </c>
      <c r="R53" s="18">
        <f t="shared" si="38"/>
        <v>0</v>
      </c>
      <c r="U53" s="21">
        <f t="shared" si="28"/>
        <v>0</v>
      </c>
    </row>
    <row r="54" spans="1:21">
      <c r="A54" t="s">
        <v>33</v>
      </c>
      <c r="B54" t="s">
        <v>34</v>
      </c>
      <c r="D54" s="26">
        <v>24</v>
      </c>
      <c r="F54" s="2">
        <v>141200591</v>
      </c>
      <c r="G54" s="18">
        <f t="shared" si="38"/>
        <v>141200591</v>
      </c>
      <c r="H54" s="18">
        <f t="shared" si="38"/>
        <v>0</v>
      </c>
      <c r="I54" s="18">
        <f t="shared" si="38"/>
        <v>0</v>
      </c>
      <c r="J54" s="18">
        <f t="shared" si="38"/>
        <v>0</v>
      </c>
      <c r="K54" s="18">
        <f t="shared" si="38"/>
        <v>0</v>
      </c>
      <c r="L54" s="18">
        <f t="shared" si="38"/>
        <v>0</v>
      </c>
      <c r="M54" s="18">
        <f t="shared" si="38"/>
        <v>0</v>
      </c>
      <c r="N54" s="18">
        <f t="shared" si="38"/>
        <v>0</v>
      </c>
      <c r="O54" s="18">
        <f t="shared" si="38"/>
        <v>0</v>
      </c>
      <c r="P54" s="18">
        <f t="shared" si="38"/>
        <v>0</v>
      </c>
      <c r="Q54" s="18">
        <f t="shared" si="38"/>
        <v>0</v>
      </c>
      <c r="R54" s="18">
        <f t="shared" si="38"/>
        <v>0</v>
      </c>
      <c r="U54" s="21">
        <f t="shared" si="28"/>
        <v>0</v>
      </c>
    </row>
    <row r="55" spans="1:21">
      <c r="A55">
        <v>370.01</v>
      </c>
      <c r="B55" t="s">
        <v>35</v>
      </c>
      <c r="D55" s="26">
        <v>19</v>
      </c>
      <c r="F55" s="2">
        <v>136044280.14375001</v>
      </c>
      <c r="G55" s="18">
        <f t="shared" si="38"/>
        <v>88452023.525747895</v>
      </c>
      <c r="H55" s="18">
        <f t="shared" si="38"/>
        <v>25064056.785852611</v>
      </c>
      <c r="I55" s="18">
        <f t="shared" si="38"/>
        <v>6808147.5456820754</v>
      </c>
      <c r="J55" s="18">
        <f t="shared" si="38"/>
        <v>770934.07285703754</v>
      </c>
      <c r="K55" s="18">
        <f t="shared" si="38"/>
        <v>9567586.0425776914</v>
      </c>
      <c r="L55" s="18">
        <f t="shared" si="38"/>
        <v>22484.476366603812</v>
      </c>
      <c r="M55" s="18">
        <f t="shared" si="38"/>
        <v>3344153.1241300781</v>
      </c>
      <c r="N55" s="18">
        <f t="shared" si="38"/>
        <v>809283.09371419554</v>
      </c>
      <c r="O55" s="18">
        <f t="shared" si="38"/>
        <v>418776.31203883816</v>
      </c>
      <c r="P55" s="18">
        <f t="shared" si="38"/>
        <v>588094.24947242101</v>
      </c>
      <c r="Q55" s="18">
        <f t="shared" si="38"/>
        <v>0</v>
      </c>
      <c r="R55" s="18">
        <f t="shared" si="38"/>
        <v>198740.91531056986</v>
      </c>
      <c r="U55" s="21">
        <f t="shared" si="28"/>
        <v>0</v>
      </c>
    </row>
    <row r="56" spans="1:21">
      <c r="A56">
        <v>373</v>
      </c>
      <c r="B56" t="s">
        <v>36</v>
      </c>
      <c r="D56" s="26">
        <v>12</v>
      </c>
      <c r="F56" s="2">
        <v>52258330.571666598</v>
      </c>
      <c r="G56" s="18">
        <f t="shared" si="38"/>
        <v>0</v>
      </c>
      <c r="H56" s="18">
        <f t="shared" si="38"/>
        <v>0</v>
      </c>
      <c r="I56" s="18">
        <f t="shared" si="38"/>
        <v>0</v>
      </c>
      <c r="J56" s="18">
        <f t="shared" si="38"/>
        <v>0</v>
      </c>
      <c r="K56" s="18">
        <f t="shared" si="38"/>
        <v>0</v>
      </c>
      <c r="L56" s="18">
        <f t="shared" si="38"/>
        <v>0</v>
      </c>
      <c r="M56" s="18">
        <f t="shared" si="38"/>
        <v>0</v>
      </c>
      <c r="N56" s="18">
        <f t="shared" si="38"/>
        <v>0</v>
      </c>
      <c r="O56" s="18">
        <f t="shared" si="38"/>
        <v>0</v>
      </c>
      <c r="P56" s="18">
        <f t="shared" si="38"/>
        <v>0</v>
      </c>
      <c r="Q56" s="18">
        <f t="shared" si="38"/>
        <v>52258330.571666598</v>
      </c>
      <c r="R56" s="18">
        <f t="shared" si="38"/>
        <v>0</v>
      </c>
      <c r="U56" s="21">
        <f t="shared" si="28"/>
        <v>0</v>
      </c>
    </row>
    <row r="57" spans="1:21">
      <c r="A57">
        <v>374</v>
      </c>
      <c r="B57" t="s">
        <v>37</v>
      </c>
      <c r="D57" s="26">
        <v>71</v>
      </c>
      <c r="F57" s="2">
        <v>2659127.9012499899</v>
      </c>
      <c r="G57" s="18">
        <f t="shared" si="38"/>
        <v>1756702.8229471559</v>
      </c>
      <c r="H57" s="18">
        <f t="shared" si="38"/>
        <v>329012.73415876768</v>
      </c>
      <c r="I57" s="18">
        <f t="shared" si="38"/>
        <v>286695.59825422231</v>
      </c>
      <c r="J57" s="18">
        <f t="shared" si="38"/>
        <v>122000.75793494435</v>
      </c>
      <c r="K57" s="18">
        <f t="shared" si="38"/>
        <v>89254.316101060962</v>
      </c>
      <c r="L57" s="18">
        <f t="shared" si="38"/>
        <v>1341.8057345300469</v>
      </c>
      <c r="M57" s="18">
        <f t="shared" si="38"/>
        <v>28584.29541111763</v>
      </c>
      <c r="N57" s="18">
        <f t="shared" si="38"/>
        <v>35075.308447458381</v>
      </c>
      <c r="O57" s="18">
        <f t="shared" si="38"/>
        <v>7961.3617562831114</v>
      </c>
      <c r="P57" s="18">
        <f t="shared" si="38"/>
        <v>0</v>
      </c>
      <c r="Q57" s="18">
        <f t="shared" si="38"/>
        <v>1422.7521992381301</v>
      </c>
      <c r="R57" s="18">
        <f t="shared" si="38"/>
        <v>1076.1483052102035</v>
      </c>
      <c r="U57" s="21">
        <f t="shared" si="28"/>
        <v>0</v>
      </c>
    </row>
    <row r="58" spans="1:21">
      <c r="B58" s="1" t="s">
        <v>8</v>
      </c>
      <c r="F58" s="3">
        <f>SUM(F37:F57)</f>
        <v>3527157160.6871805</v>
      </c>
      <c r="G58" s="3">
        <f t="shared" ref="G58:R58" si="39">SUM(G37:G57)</f>
        <v>2297509443.7289076</v>
      </c>
      <c r="H58" s="3">
        <f t="shared" si="39"/>
        <v>428319023.41192037</v>
      </c>
      <c r="I58" s="3">
        <f t="shared" si="39"/>
        <v>343101552.89962864</v>
      </c>
      <c r="J58" s="3">
        <f t="shared" si="39"/>
        <v>150165803.19580317</v>
      </c>
      <c r="K58" s="3">
        <f t="shared" si="39"/>
        <v>116388888.62240864</v>
      </c>
      <c r="L58" s="3">
        <f t="shared" ref="L58:M58" si="40">SUM(L37:L57)</f>
        <v>1240246.7501631279</v>
      </c>
      <c r="M58" s="3">
        <f t="shared" si="40"/>
        <v>30919611.337595645</v>
      </c>
      <c r="N58" s="3">
        <f t="shared" si="39"/>
        <v>51971299.359962955</v>
      </c>
      <c r="O58" s="3">
        <f t="shared" si="39"/>
        <v>22196387.318155434</v>
      </c>
      <c r="P58" s="3">
        <f t="shared" si="39"/>
        <v>7357965.4024387831</v>
      </c>
      <c r="Q58" s="3">
        <f t="shared" si="39"/>
        <v>76736834.86834909</v>
      </c>
      <c r="R58" s="3">
        <f t="shared" si="39"/>
        <v>1250103.460347346</v>
      </c>
      <c r="U58" s="21">
        <f t="shared" si="28"/>
        <v>-0.33150005340576172</v>
      </c>
    </row>
    <row r="59" spans="1:21">
      <c r="U59" s="21">
        <f t="shared" si="28"/>
        <v>0</v>
      </c>
    </row>
    <row r="60" spans="1:21">
      <c r="B60" s="1" t="s">
        <v>7</v>
      </c>
      <c r="U60" s="21">
        <f t="shared" si="28"/>
        <v>0</v>
      </c>
    </row>
    <row r="61" spans="1:21">
      <c r="A61">
        <v>389</v>
      </c>
      <c r="B61" t="s">
        <v>38</v>
      </c>
      <c r="D61" s="26">
        <v>78</v>
      </c>
      <c r="F61" s="2">
        <v>34591566.081577167</v>
      </c>
      <c r="G61" s="18">
        <f t="shared" ref="G61:R71" si="41">INDEX(Alloc,($D61),(G$1))*$F61</f>
        <v>20645838.444942012</v>
      </c>
      <c r="H61" s="18">
        <f t="shared" si="41"/>
        <v>4293178.2151525421</v>
      </c>
      <c r="I61" s="18">
        <f t="shared" si="41"/>
        <v>3643625.2400045004</v>
      </c>
      <c r="J61" s="18">
        <f t="shared" si="41"/>
        <v>2162087.7045860388</v>
      </c>
      <c r="K61" s="18">
        <f t="shared" si="41"/>
        <v>1473697.7202085</v>
      </c>
      <c r="L61" s="18">
        <f t="shared" si="41"/>
        <v>8804.7123158071281</v>
      </c>
      <c r="M61" s="18">
        <f t="shared" si="41"/>
        <v>202877.76075756864</v>
      </c>
      <c r="N61" s="18">
        <f t="shared" si="41"/>
        <v>760832.56400047243</v>
      </c>
      <c r="O61" s="18">
        <f t="shared" si="41"/>
        <v>602022.44370495388</v>
      </c>
      <c r="P61" s="18">
        <f t="shared" si="41"/>
        <v>364183.3178307208</v>
      </c>
      <c r="Q61" s="18">
        <f t="shared" si="41"/>
        <v>424387.87519724667</v>
      </c>
      <c r="R61" s="18">
        <f t="shared" si="41"/>
        <v>10030.082876814291</v>
      </c>
      <c r="U61" s="21">
        <f t="shared" si="28"/>
        <v>0</v>
      </c>
    </row>
    <row r="62" spans="1:21">
      <c r="A62">
        <v>390</v>
      </c>
      <c r="B62" t="s">
        <v>39</v>
      </c>
      <c r="D62" s="26">
        <v>78</v>
      </c>
      <c r="F62" s="2">
        <v>140669439.09722066</v>
      </c>
      <c r="G62" s="18">
        <f t="shared" si="41"/>
        <v>83957994.468731835</v>
      </c>
      <c r="H62" s="18">
        <f t="shared" si="41"/>
        <v>17458561.143074445</v>
      </c>
      <c r="I62" s="18">
        <f t="shared" si="41"/>
        <v>14817100.72285169</v>
      </c>
      <c r="J62" s="18">
        <f t="shared" si="41"/>
        <v>8792306.8867672514</v>
      </c>
      <c r="K62" s="18">
        <f t="shared" si="41"/>
        <v>5992912.5848681638</v>
      </c>
      <c r="L62" s="18">
        <f t="shared" si="41"/>
        <v>35805.084394158454</v>
      </c>
      <c r="M62" s="18">
        <f t="shared" si="41"/>
        <v>825019.0449245515</v>
      </c>
      <c r="N62" s="18">
        <f t="shared" si="41"/>
        <v>3093987.9903803119</v>
      </c>
      <c r="O62" s="18">
        <f t="shared" si="41"/>
        <v>2448173.6178176757</v>
      </c>
      <c r="P62" s="18">
        <f t="shared" si="41"/>
        <v>1480981.3157056281</v>
      </c>
      <c r="Q62" s="18">
        <f t="shared" si="41"/>
        <v>1725808.0834753604</v>
      </c>
      <c r="R62" s="18">
        <f t="shared" si="41"/>
        <v>40788.154229638567</v>
      </c>
      <c r="U62" s="21">
        <f t="shared" si="28"/>
        <v>0</v>
      </c>
    </row>
    <row r="63" spans="1:21">
      <c r="A63">
        <v>391</v>
      </c>
      <c r="B63" t="s">
        <v>40</v>
      </c>
      <c r="D63" s="26">
        <v>78</v>
      </c>
      <c r="F63" s="2">
        <v>83991254.610513493</v>
      </c>
      <c r="G63" s="18">
        <f t="shared" si="41"/>
        <v>50129845.794989504</v>
      </c>
      <c r="H63" s="18">
        <f t="shared" si="41"/>
        <v>10424200.618925732</v>
      </c>
      <c r="I63" s="18">
        <f t="shared" si="41"/>
        <v>8847030.9357140865</v>
      </c>
      <c r="J63" s="18">
        <f t="shared" si="41"/>
        <v>5249732.2167457929</v>
      </c>
      <c r="K63" s="18">
        <f t="shared" si="41"/>
        <v>3578262.983094227</v>
      </c>
      <c r="L63" s="18">
        <f t="shared" si="41"/>
        <v>21378.587836852366</v>
      </c>
      <c r="M63" s="18">
        <f t="shared" si="41"/>
        <v>492604.40011344152</v>
      </c>
      <c r="N63" s="18">
        <f t="shared" si="41"/>
        <v>1847365.9575929753</v>
      </c>
      <c r="O63" s="18">
        <f t="shared" si="41"/>
        <v>1461761.5239281144</v>
      </c>
      <c r="P63" s="18">
        <f t="shared" si="41"/>
        <v>884267.96580084157</v>
      </c>
      <c r="Q63" s="18">
        <f t="shared" si="41"/>
        <v>1030449.7343440768</v>
      </c>
      <c r="R63" s="18">
        <f t="shared" si="41"/>
        <v>24353.891427879826</v>
      </c>
      <c r="U63" s="21">
        <f t="shared" si="28"/>
        <v>0</v>
      </c>
    </row>
    <row r="64" spans="1:21">
      <c r="A64">
        <v>392</v>
      </c>
      <c r="B64" t="s">
        <v>41</v>
      </c>
      <c r="D64" s="26">
        <v>78</v>
      </c>
      <c r="F64" s="2">
        <v>13379543.047083501</v>
      </c>
      <c r="G64" s="18">
        <f t="shared" si="41"/>
        <v>7985526.9797787266</v>
      </c>
      <c r="H64" s="18">
        <f t="shared" si="41"/>
        <v>1660542.4166969545</v>
      </c>
      <c r="I64" s="18">
        <f t="shared" si="41"/>
        <v>1409304.2399732096</v>
      </c>
      <c r="J64" s="18">
        <f t="shared" si="41"/>
        <v>836265.85297869029</v>
      </c>
      <c r="K64" s="18">
        <f t="shared" si="41"/>
        <v>570006.05406008405</v>
      </c>
      <c r="L64" s="18">
        <f t="shared" si="41"/>
        <v>3405.5418933249011</v>
      </c>
      <c r="M64" s="18">
        <f t="shared" si="41"/>
        <v>78470.333692045329</v>
      </c>
      <c r="N64" s="18">
        <f t="shared" si="41"/>
        <v>294279.5945595738</v>
      </c>
      <c r="O64" s="18">
        <f t="shared" si="41"/>
        <v>232854.01944119163</v>
      </c>
      <c r="P64" s="18">
        <f t="shared" si="41"/>
        <v>140861.10951018438</v>
      </c>
      <c r="Q64" s="18">
        <f t="shared" si="41"/>
        <v>164147.40608942602</v>
      </c>
      <c r="R64" s="18">
        <f t="shared" si="41"/>
        <v>3879.4984100943402</v>
      </c>
      <c r="U64" s="21">
        <f t="shared" si="28"/>
        <v>0</v>
      </c>
    </row>
    <row r="65" spans="1:21">
      <c r="A65">
        <v>393</v>
      </c>
      <c r="B65" t="s">
        <v>42</v>
      </c>
      <c r="D65" s="26">
        <v>75</v>
      </c>
      <c r="F65" s="2">
        <v>798002.50228599901</v>
      </c>
      <c r="G65" s="18">
        <f t="shared" si="41"/>
        <v>444332.14598821313</v>
      </c>
      <c r="H65" s="18">
        <f t="shared" si="41"/>
        <v>101126.72570371004</v>
      </c>
      <c r="I65" s="18">
        <f t="shared" si="41"/>
        <v>95879.379204758821</v>
      </c>
      <c r="J65" s="18">
        <f t="shared" si="41"/>
        <v>57379.9187134116</v>
      </c>
      <c r="K65" s="18">
        <f t="shared" si="41"/>
        <v>39121.729240566761</v>
      </c>
      <c r="L65" s="18">
        <f t="shared" si="41"/>
        <v>232.19336309322432</v>
      </c>
      <c r="M65" s="18">
        <f t="shared" si="41"/>
        <v>5323.9871162996669</v>
      </c>
      <c r="N65" s="18">
        <f t="shared" si="41"/>
        <v>20150.177488490259</v>
      </c>
      <c r="O65" s="18">
        <f t="shared" si="41"/>
        <v>16043.167052076657</v>
      </c>
      <c r="P65" s="18">
        <f t="shared" si="41"/>
        <v>9253.147686936416</v>
      </c>
      <c r="Q65" s="18">
        <f t="shared" si="41"/>
        <v>8895.3731535242678</v>
      </c>
      <c r="R65" s="18">
        <f t="shared" si="41"/>
        <v>264.55757491806048</v>
      </c>
      <c r="U65" s="21">
        <f t="shared" si="28"/>
        <v>0</v>
      </c>
    </row>
    <row r="66" spans="1:21">
      <c r="A66">
        <v>394</v>
      </c>
      <c r="B66" t="s">
        <v>43</v>
      </c>
      <c r="D66" s="26">
        <v>79</v>
      </c>
      <c r="F66" s="2">
        <v>13311690.639508801</v>
      </c>
      <c r="G66" s="18">
        <f t="shared" si="41"/>
        <v>7441037.3592716111</v>
      </c>
      <c r="H66" s="18">
        <f t="shared" si="41"/>
        <v>1685016.5391048677</v>
      </c>
      <c r="I66" s="18">
        <f t="shared" si="41"/>
        <v>1591915.7974142411</v>
      </c>
      <c r="J66" s="18">
        <f t="shared" si="41"/>
        <v>947733.87453704269</v>
      </c>
      <c r="K66" s="18">
        <f t="shared" si="41"/>
        <v>647426.65275121329</v>
      </c>
      <c r="L66" s="18">
        <f t="shared" si="41"/>
        <v>3892.0079756624436</v>
      </c>
      <c r="M66" s="18">
        <f t="shared" si="41"/>
        <v>89463.562478601423</v>
      </c>
      <c r="N66" s="18">
        <f t="shared" si="41"/>
        <v>332748.27491016826</v>
      </c>
      <c r="O66" s="18">
        <f t="shared" si="41"/>
        <v>263201.75069188047</v>
      </c>
      <c r="P66" s="18">
        <f t="shared" si="41"/>
        <v>153102.33446524417</v>
      </c>
      <c r="Q66" s="18">
        <f t="shared" si="41"/>
        <v>151732.65729221341</v>
      </c>
      <c r="R66" s="18">
        <f t="shared" si="41"/>
        <v>4419.8286160570069</v>
      </c>
      <c r="U66" s="21">
        <f t="shared" si="28"/>
        <v>0</v>
      </c>
    </row>
    <row r="67" spans="1:21">
      <c r="A67">
        <v>395</v>
      </c>
      <c r="B67" t="s">
        <v>44</v>
      </c>
      <c r="D67" s="26">
        <v>79</v>
      </c>
      <c r="F67" s="2">
        <v>12031126.7299999</v>
      </c>
      <c r="G67" s="18">
        <f t="shared" si="41"/>
        <v>6725221.1530784164</v>
      </c>
      <c r="H67" s="18">
        <f t="shared" si="41"/>
        <v>1522920.5720832881</v>
      </c>
      <c r="I67" s="18">
        <f t="shared" si="41"/>
        <v>1438775.976759501</v>
      </c>
      <c r="J67" s="18">
        <f t="shared" si="41"/>
        <v>856563.35169232334</v>
      </c>
      <c r="K67" s="18">
        <f t="shared" si="41"/>
        <v>585145.21698026091</v>
      </c>
      <c r="L67" s="18">
        <f t="shared" si="41"/>
        <v>3517.6028693447061</v>
      </c>
      <c r="M67" s="18">
        <f t="shared" si="41"/>
        <v>80857.307087857233</v>
      </c>
      <c r="N67" s="18">
        <f t="shared" si="41"/>
        <v>300738.40904559981</v>
      </c>
      <c r="O67" s="18">
        <f t="shared" si="41"/>
        <v>237882.15215379288</v>
      </c>
      <c r="P67" s="18">
        <f t="shared" si="41"/>
        <v>138374.12831268689</v>
      </c>
      <c r="Q67" s="18">
        <f t="shared" si="41"/>
        <v>137136.21195073266</v>
      </c>
      <c r="R67" s="18">
        <f t="shared" si="41"/>
        <v>3994.6479860971358</v>
      </c>
      <c r="U67" s="21">
        <f t="shared" si="28"/>
        <v>0</v>
      </c>
    </row>
    <row r="68" spans="1:21">
      <c r="A68">
        <v>396</v>
      </c>
      <c r="B68" t="s">
        <v>45</v>
      </c>
      <c r="D68" s="26">
        <v>79</v>
      </c>
      <c r="F68" s="2">
        <v>6323256.5831426596</v>
      </c>
      <c r="G68" s="18">
        <f t="shared" si="41"/>
        <v>3534606.5155523238</v>
      </c>
      <c r="H68" s="18">
        <f t="shared" si="41"/>
        <v>800408.6191708761</v>
      </c>
      <c r="I68" s="18">
        <f t="shared" si="41"/>
        <v>756184.34340206638</v>
      </c>
      <c r="J68" s="18">
        <f t="shared" si="41"/>
        <v>450188.08080224338</v>
      </c>
      <c r="K68" s="18">
        <f t="shared" si="41"/>
        <v>307537.55890034628</v>
      </c>
      <c r="L68" s="18">
        <f t="shared" si="41"/>
        <v>1848.7632953780387</v>
      </c>
      <c r="M68" s="18">
        <f t="shared" si="41"/>
        <v>42496.560032369067</v>
      </c>
      <c r="N68" s="18">
        <f t="shared" si="41"/>
        <v>158060.51814412689</v>
      </c>
      <c r="O68" s="18">
        <f t="shared" si="41"/>
        <v>125024.85580738515</v>
      </c>
      <c r="P68" s="18">
        <f t="shared" si="41"/>
        <v>72725.949732376554</v>
      </c>
      <c r="Q68" s="18">
        <f t="shared" si="41"/>
        <v>72075.332133478791</v>
      </c>
      <c r="R68" s="18">
        <f t="shared" si="41"/>
        <v>2099.4861696903172</v>
      </c>
      <c r="U68" s="21">
        <f t="shared" si="28"/>
        <v>0</v>
      </c>
    </row>
    <row r="69" spans="1:21">
      <c r="A69">
        <v>397</v>
      </c>
      <c r="B69" t="s">
        <v>46</v>
      </c>
      <c r="D69" s="26">
        <v>78</v>
      </c>
      <c r="F69" s="2">
        <v>147993975.31044</v>
      </c>
      <c r="G69" s="18">
        <f t="shared" si="41"/>
        <v>88329614.735522568</v>
      </c>
      <c r="H69" s="18">
        <f t="shared" si="41"/>
        <v>18367613.344773877</v>
      </c>
      <c r="I69" s="18">
        <f t="shared" si="41"/>
        <v>15588614.361606151</v>
      </c>
      <c r="J69" s="18">
        <f t="shared" si="41"/>
        <v>9250114.713422168</v>
      </c>
      <c r="K69" s="18">
        <f t="shared" si="41"/>
        <v>6304958.3677491741</v>
      </c>
      <c r="L69" s="18">
        <f t="shared" si="41"/>
        <v>37669.424217687119</v>
      </c>
      <c r="M69" s="18">
        <f t="shared" si="41"/>
        <v>867977.07411644375</v>
      </c>
      <c r="N69" s="18">
        <f t="shared" si="41"/>
        <v>3255089.2731055808</v>
      </c>
      <c r="O69" s="18">
        <f t="shared" si="41"/>
        <v>2575647.9038817626</v>
      </c>
      <c r="P69" s="18">
        <f t="shared" si="41"/>
        <v>1558094.7338553236</v>
      </c>
      <c r="Q69" s="18">
        <f t="shared" si="41"/>
        <v>1815669.4199931351</v>
      </c>
      <c r="R69" s="18">
        <f t="shared" si="41"/>
        <v>42911.958196176638</v>
      </c>
      <c r="U69" s="21">
        <f t="shared" si="28"/>
        <v>0</v>
      </c>
    </row>
    <row r="70" spans="1:21">
      <c r="A70">
        <v>398</v>
      </c>
      <c r="B70" t="s">
        <v>47</v>
      </c>
      <c r="D70" s="26">
        <v>78</v>
      </c>
      <c r="F70" s="2">
        <v>967417.93570825004</v>
      </c>
      <c r="G70" s="18">
        <f t="shared" si="41"/>
        <v>577399.54190767801</v>
      </c>
      <c r="H70" s="18">
        <f t="shared" si="41"/>
        <v>120066.7699385392</v>
      </c>
      <c r="I70" s="18">
        <f t="shared" si="41"/>
        <v>101900.80437141389</v>
      </c>
      <c r="J70" s="18">
        <f t="shared" si="41"/>
        <v>60466.832263624652</v>
      </c>
      <c r="K70" s="18">
        <f t="shared" si="41"/>
        <v>41214.716991415808</v>
      </c>
      <c r="L70" s="18">
        <f t="shared" si="41"/>
        <v>246.24027119719167</v>
      </c>
      <c r="M70" s="18">
        <f t="shared" si="41"/>
        <v>5673.8565710017901</v>
      </c>
      <c r="N70" s="18">
        <f t="shared" si="41"/>
        <v>21278.107696805178</v>
      </c>
      <c r="O70" s="18">
        <f t="shared" si="41"/>
        <v>16836.685230312891</v>
      </c>
      <c r="P70" s="18">
        <f t="shared" si="41"/>
        <v>10185.068600950544</v>
      </c>
      <c r="Q70" s="18">
        <f t="shared" si="41"/>
        <v>11868.801811248084</v>
      </c>
      <c r="R70" s="18">
        <f t="shared" si="41"/>
        <v>280.51005406309537</v>
      </c>
      <c r="U70" s="21">
        <f t="shared" si="28"/>
        <v>0</v>
      </c>
    </row>
    <row r="71" spans="1:21">
      <c r="A71">
        <v>399</v>
      </c>
      <c r="B71" t="s">
        <v>48</v>
      </c>
      <c r="D71" s="26">
        <v>78</v>
      </c>
      <c r="F71" s="2">
        <v>545833.37664433336</v>
      </c>
      <c r="G71" s="18">
        <f t="shared" si="41"/>
        <v>325778.4769119735</v>
      </c>
      <c r="H71" s="18">
        <f t="shared" si="41"/>
        <v>67743.679375090069</v>
      </c>
      <c r="I71" s="18">
        <f t="shared" si="41"/>
        <v>57494.137827930863</v>
      </c>
      <c r="J71" s="18">
        <f t="shared" si="41"/>
        <v>34116.397899195268</v>
      </c>
      <c r="K71" s="18">
        <f t="shared" si="41"/>
        <v>23254.032525658524</v>
      </c>
      <c r="L71" s="18">
        <f t="shared" si="41"/>
        <v>138.93287867872772</v>
      </c>
      <c r="M71" s="18">
        <f t="shared" si="41"/>
        <v>3201.284756497962</v>
      </c>
      <c r="N71" s="18">
        <f t="shared" si="41"/>
        <v>12005.464178463964</v>
      </c>
      <c r="O71" s="18">
        <f t="shared" si="41"/>
        <v>9499.5393526908429</v>
      </c>
      <c r="P71" s="18">
        <f t="shared" si="41"/>
        <v>5746.5860210054843</v>
      </c>
      <c r="Q71" s="18">
        <f t="shared" si="41"/>
        <v>6696.5764539118973</v>
      </c>
      <c r="R71" s="18">
        <f t="shared" si="41"/>
        <v>158.26846323647101</v>
      </c>
      <c r="U71" s="21">
        <f t="shared" si="28"/>
        <v>0</v>
      </c>
    </row>
    <row r="72" spans="1:21">
      <c r="B72" s="1" t="s">
        <v>8</v>
      </c>
      <c r="F72" s="3">
        <f>SUM(F61:F71)</f>
        <v>454603105.91412473</v>
      </c>
      <c r="G72" s="3">
        <f t="shared" ref="G72:R72" si="42">SUM(G61:G71)</f>
        <v>270097195.61667484</v>
      </c>
      <c r="H72" s="3">
        <f t="shared" si="42"/>
        <v>56501378.643999919</v>
      </c>
      <c r="I72" s="3">
        <f t="shared" si="42"/>
        <v>48347825.939129546</v>
      </c>
      <c r="J72" s="3">
        <f t="shared" si="42"/>
        <v>28696955.830407787</v>
      </c>
      <c r="K72" s="3">
        <f t="shared" si="42"/>
        <v>19563537.617369615</v>
      </c>
      <c r="L72" s="3">
        <f t="shared" ref="L72:M72" si="43">SUM(L61:L71)</f>
        <v>116939.0913111843</v>
      </c>
      <c r="M72" s="3">
        <f t="shared" si="43"/>
        <v>2693965.1716466784</v>
      </c>
      <c r="N72" s="3">
        <f t="shared" si="42"/>
        <v>10096536.331102567</v>
      </c>
      <c r="O72" s="3">
        <f t="shared" si="42"/>
        <v>7988947.6590618379</v>
      </c>
      <c r="P72" s="3">
        <f t="shared" si="42"/>
        <v>4817775.6575218989</v>
      </c>
      <c r="Q72" s="3">
        <f t="shared" si="42"/>
        <v>5548867.4718943546</v>
      </c>
      <c r="R72" s="3">
        <f t="shared" si="42"/>
        <v>133180.88400466571</v>
      </c>
      <c r="U72" s="21">
        <f t="shared" si="28"/>
        <v>0</v>
      </c>
    </row>
    <row r="73" spans="1:21">
      <c r="U73" s="21">
        <f t="shared" si="28"/>
        <v>0</v>
      </c>
    </row>
    <row r="74" spans="1:21">
      <c r="B74" s="1" t="s">
        <v>49</v>
      </c>
      <c r="F74" s="3">
        <f>SUM(F17,F22,F34,F58,F72)</f>
        <v>9523077020.3544521</v>
      </c>
      <c r="G74" s="3">
        <f t="shared" ref="G74:R74" si="44">SUM(G17,G22,G34,G58,G72)</f>
        <v>5320845961.3625622</v>
      </c>
      <c r="H74" s="3">
        <f t="shared" si="44"/>
        <v>1205636118.7856729</v>
      </c>
      <c r="I74" s="3">
        <f t="shared" si="44"/>
        <v>1136856497.0624135</v>
      </c>
      <c r="J74" s="3">
        <f t="shared" si="44"/>
        <v>680944688.47620356</v>
      </c>
      <c r="K74" s="3">
        <f t="shared" si="44"/>
        <v>464034789.09934884</v>
      </c>
      <c r="L74" s="3">
        <f t="shared" ref="L74:M74" si="45">SUM(L17,L22,L34,L58,L72)</f>
        <v>2746180.8210446234</v>
      </c>
      <c r="M74" s="3">
        <f t="shared" si="45"/>
        <v>62944046.067711271</v>
      </c>
      <c r="N74" s="3">
        <f t="shared" si="44"/>
        <v>239167214.64977452</v>
      </c>
      <c r="O74" s="3">
        <f t="shared" si="44"/>
        <v>190668170.88536265</v>
      </c>
      <c r="P74" s="3">
        <f t="shared" si="44"/>
        <v>109891665.2819345</v>
      </c>
      <c r="Q74" s="3">
        <f t="shared" si="44"/>
        <v>106210115.90541455</v>
      </c>
      <c r="R74" s="3">
        <f t="shared" si="44"/>
        <v>3131571.6255083205</v>
      </c>
      <c r="U74" s="21">
        <f t="shared" si="28"/>
        <v>-0.33149909973144531</v>
      </c>
    </row>
    <row r="75" spans="1:21">
      <c r="U75" s="21">
        <f t="shared" si="28"/>
        <v>0</v>
      </c>
    </row>
    <row r="76" spans="1:21">
      <c r="A76" s="1" t="s">
        <v>50</v>
      </c>
      <c r="U76" s="21">
        <f t="shared" si="28"/>
        <v>0</v>
      </c>
    </row>
    <row r="77" spans="1:21">
      <c r="U77" s="21">
        <f t="shared" si="28"/>
        <v>0</v>
      </c>
    </row>
    <row r="78" spans="1:21">
      <c r="B78" t="s">
        <v>4</v>
      </c>
      <c r="U78" s="21">
        <f t="shared" si="28"/>
        <v>0</v>
      </c>
    </row>
    <row r="79" spans="1:21">
      <c r="A79">
        <v>111</v>
      </c>
      <c r="B79" t="s">
        <v>51</v>
      </c>
      <c r="D79" s="26">
        <v>73</v>
      </c>
      <c r="F79" s="2">
        <v>-9768706.2646949999</v>
      </c>
      <c r="G79" s="18">
        <f t="shared" ref="G79:R81" si="46">INDEX(Alloc,($D79),(G$1))*$F79</f>
        <v>-4909898.2992296768</v>
      </c>
      <c r="H79" s="18">
        <f t="shared" si="46"/>
        <v>-1295740.736361674</v>
      </c>
      <c r="I79" s="18">
        <f t="shared" si="46"/>
        <v>-1347251.1244954111</v>
      </c>
      <c r="J79" s="18">
        <f t="shared" si="46"/>
        <v>-910267.5871568094</v>
      </c>
      <c r="K79" s="18">
        <f t="shared" si="46"/>
        <v>-594220.63337513211</v>
      </c>
      <c r="L79" s="18">
        <f t="shared" si="46"/>
        <v>-2491.0200974972245</v>
      </c>
      <c r="M79" s="18">
        <f t="shared" si="46"/>
        <v>-52438.415228882761</v>
      </c>
      <c r="N79" s="18">
        <f t="shared" si="46"/>
        <v>-321097.3749205246</v>
      </c>
      <c r="O79" s="18">
        <f t="shared" si="46"/>
        <v>-291810.79353896901</v>
      </c>
      <c r="P79" s="18">
        <f t="shared" si="46"/>
        <v>0</v>
      </c>
      <c r="Q79" s="18">
        <f t="shared" si="46"/>
        <v>-40344.756873190338</v>
      </c>
      <c r="R79" s="18">
        <f t="shared" si="46"/>
        <v>-3145.5234172317901</v>
      </c>
      <c r="U79" s="21">
        <f t="shared" ref="U79:U142" si="47">SUM(G79:R79)-F79</f>
        <v>0</v>
      </c>
    </row>
    <row r="80" spans="1:21">
      <c r="A80">
        <v>111.01</v>
      </c>
      <c r="B80" t="s">
        <v>52</v>
      </c>
      <c r="D80" s="26">
        <v>82</v>
      </c>
      <c r="F80" s="2">
        <v>-9434100.5500000026</v>
      </c>
      <c r="G80" s="18">
        <f t="shared" si="46"/>
        <v>-4418351.6088558249</v>
      </c>
      <c r="H80" s="18">
        <f t="shared" si="46"/>
        <v>-1166019.7051457961</v>
      </c>
      <c r="I80" s="18">
        <f t="shared" si="46"/>
        <v>-1212373.2123700073</v>
      </c>
      <c r="J80" s="18">
        <f t="shared" si="46"/>
        <v>-819137.58963899512</v>
      </c>
      <c r="K80" s="18">
        <f t="shared" si="46"/>
        <v>-534731.17597980762</v>
      </c>
      <c r="L80" s="18">
        <f t="shared" si="46"/>
        <v>-2241.6355665036567</v>
      </c>
      <c r="M80" s="18">
        <f t="shared" si="46"/>
        <v>-47188.626356829911</v>
      </c>
      <c r="N80" s="18">
        <f t="shared" si="46"/>
        <v>-288951.21988617728</v>
      </c>
      <c r="O80" s="18">
        <f t="shared" si="46"/>
        <v>-262596.61820626364</v>
      </c>
      <c r="P80" s="18">
        <f t="shared" si="46"/>
        <v>-643372.83822095895</v>
      </c>
      <c r="Q80" s="18">
        <f t="shared" si="46"/>
        <v>-36305.705449647459</v>
      </c>
      <c r="R80" s="18">
        <f t="shared" si="46"/>
        <v>-2830.6143231928531</v>
      </c>
      <c r="U80" s="21">
        <f t="shared" si="47"/>
        <v>0</v>
      </c>
    </row>
    <row r="81" spans="1:21">
      <c r="A81">
        <v>111.02</v>
      </c>
      <c r="B81" t="s">
        <v>53</v>
      </c>
      <c r="D81" s="26">
        <v>70</v>
      </c>
      <c r="F81" s="2">
        <v>-57900107</v>
      </c>
      <c r="G81" s="18">
        <f t="shared" si="46"/>
        <v>-34400681.216550179</v>
      </c>
      <c r="H81" s="18">
        <f t="shared" si="46"/>
        <v>-7196246.1905244635</v>
      </c>
      <c r="I81" s="18">
        <f t="shared" si="46"/>
        <v>-6157776.4398771534</v>
      </c>
      <c r="J81" s="18">
        <f t="shared" si="46"/>
        <v>-3654961.4191785902</v>
      </c>
      <c r="K81" s="18">
        <f t="shared" si="46"/>
        <v>-2491691.9981584996</v>
      </c>
      <c r="L81" s="18">
        <f t="shared" si="46"/>
        <v>-14893.839948113666</v>
      </c>
      <c r="M81" s="18">
        <f t="shared" si="46"/>
        <v>-343114.39949132473</v>
      </c>
      <c r="N81" s="18">
        <f t="shared" si="46"/>
        <v>-1285936.0754360002</v>
      </c>
      <c r="O81" s="18">
        <f t="shared" si="46"/>
        <v>-1017504.980189155</v>
      </c>
      <c r="P81" s="18">
        <f t="shared" si="46"/>
        <v>-613611.57115632924</v>
      </c>
      <c r="Q81" s="18">
        <f t="shared" si="46"/>
        <v>-706726.40853490529</v>
      </c>
      <c r="R81" s="18">
        <f t="shared" si="46"/>
        <v>-16962.460955296217</v>
      </c>
      <c r="U81" s="21">
        <f t="shared" si="47"/>
        <v>0</v>
      </c>
    </row>
    <row r="82" spans="1:21">
      <c r="B82" s="1" t="s">
        <v>8</v>
      </c>
      <c r="F82" s="3">
        <f>SUM(F79:F81)</f>
        <v>-77102913.814695001</v>
      </c>
      <c r="G82" s="3">
        <f t="shared" ref="G82:S82" si="48">SUM(G79:G81)</f>
        <v>-43728931.124635682</v>
      </c>
      <c r="H82" s="3">
        <f t="shared" si="48"/>
        <v>-9658006.6320319325</v>
      </c>
      <c r="I82" s="3">
        <f t="shared" si="48"/>
        <v>-8717400.776742572</v>
      </c>
      <c r="J82" s="3">
        <f t="shared" si="48"/>
        <v>-5384366.5959743951</v>
      </c>
      <c r="K82" s="3">
        <f t="shared" si="48"/>
        <v>-3620643.8075134391</v>
      </c>
      <c r="L82" s="3">
        <f t="shared" ref="L82:M82" si="49">SUM(L79:L81)</f>
        <v>-19626.495612114548</v>
      </c>
      <c r="M82" s="3">
        <f t="shared" si="49"/>
        <v>-442741.44107703737</v>
      </c>
      <c r="N82" s="3">
        <f t="shared" si="48"/>
        <v>-1895984.6702427021</v>
      </c>
      <c r="O82" s="3">
        <f t="shared" si="48"/>
        <v>-1571912.3919343876</v>
      </c>
      <c r="P82" s="3">
        <f t="shared" si="48"/>
        <v>-1256984.4093772881</v>
      </c>
      <c r="Q82" s="3">
        <f t="shared" si="48"/>
        <v>-783376.87085774308</v>
      </c>
      <c r="R82" s="3">
        <f t="shared" si="48"/>
        <v>-22938.598695720859</v>
      </c>
      <c r="S82" s="3">
        <f t="shared" si="48"/>
        <v>0</v>
      </c>
      <c r="U82" s="21">
        <f t="shared" si="47"/>
        <v>0</v>
      </c>
    </row>
    <row r="83" spans="1:21">
      <c r="U83" s="21">
        <f t="shared" si="47"/>
        <v>0</v>
      </c>
    </row>
    <row r="84" spans="1:21">
      <c r="B84" s="1" t="s">
        <v>5</v>
      </c>
      <c r="F84" s="2">
        <v>0</v>
      </c>
      <c r="U84" s="21">
        <f t="shared" si="47"/>
        <v>0</v>
      </c>
    </row>
    <row r="85" spans="1:21">
      <c r="A85">
        <v>108.01</v>
      </c>
      <c r="B85" t="s">
        <v>54</v>
      </c>
      <c r="D85" s="26">
        <v>89</v>
      </c>
      <c r="F85" s="2">
        <v>-849906233.73617113</v>
      </c>
      <c r="G85" s="18">
        <f t="shared" ref="G85:R87" si="50">INDEX(Alloc,($D85),(G$1))*$F85</f>
        <v>-425508955.54494894</v>
      </c>
      <c r="H85" s="18">
        <f t="shared" si="50"/>
        <v>-113118270.17911567</v>
      </c>
      <c r="I85" s="18">
        <f t="shared" si="50"/>
        <v>-118066424.27192767</v>
      </c>
      <c r="J85" s="18">
        <f t="shared" si="50"/>
        <v>-79665110.913026243</v>
      </c>
      <c r="K85" s="18">
        <f t="shared" si="50"/>
        <v>-51835781.195569068</v>
      </c>
      <c r="L85" s="18">
        <f t="shared" si="50"/>
        <v>-227774.87064129382</v>
      </c>
      <c r="M85" s="18">
        <f t="shared" si="50"/>
        <v>-4539349.1943848897</v>
      </c>
      <c r="N85" s="18">
        <f t="shared" si="50"/>
        <v>-27932168.371739257</v>
      </c>
      <c r="O85" s="18">
        <f t="shared" si="50"/>
        <v>-25342504.077545144</v>
      </c>
      <c r="P85" s="18">
        <f t="shared" si="50"/>
        <v>0</v>
      </c>
      <c r="Q85" s="18">
        <f t="shared" si="50"/>
        <v>-3405574.278580837</v>
      </c>
      <c r="R85" s="18">
        <f t="shared" si="50"/>
        <v>-264320.8386919492</v>
      </c>
      <c r="U85" s="21">
        <f t="shared" si="47"/>
        <v>0</v>
      </c>
    </row>
    <row r="86" spans="1:21">
      <c r="A86">
        <v>108.02</v>
      </c>
      <c r="B86" t="s">
        <v>55</v>
      </c>
      <c r="D86" s="26">
        <v>89</v>
      </c>
      <c r="F86" s="2">
        <v>-142074117.2418308</v>
      </c>
      <c r="G86" s="18">
        <f t="shared" si="50"/>
        <v>-71129975.093591541</v>
      </c>
      <c r="H86" s="18">
        <f t="shared" si="50"/>
        <v>-18909354.634301465</v>
      </c>
      <c r="I86" s="18">
        <f t="shared" si="50"/>
        <v>-19736510.144883405</v>
      </c>
      <c r="J86" s="18">
        <f t="shared" si="50"/>
        <v>-13317175.305545766</v>
      </c>
      <c r="K86" s="18">
        <f t="shared" si="50"/>
        <v>-8665100.4105792586</v>
      </c>
      <c r="L86" s="18">
        <f t="shared" si="50"/>
        <v>-38075.863420810645</v>
      </c>
      <c r="M86" s="18">
        <f t="shared" si="50"/>
        <v>-758817.86018861819</v>
      </c>
      <c r="N86" s="18">
        <f t="shared" si="50"/>
        <v>-4669265.8631527675</v>
      </c>
      <c r="O86" s="18">
        <f t="shared" si="50"/>
        <v>-4236366.0279169101</v>
      </c>
      <c r="P86" s="18">
        <f t="shared" si="50"/>
        <v>0</v>
      </c>
      <c r="Q86" s="18">
        <f t="shared" si="50"/>
        <v>-569290.98778801586</v>
      </c>
      <c r="R86" s="18">
        <f t="shared" si="50"/>
        <v>-44185.050462209372</v>
      </c>
      <c r="U86" s="21">
        <f t="shared" si="47"/>
        <v>0</v>
      </c>
    </row>
    <row r="87" spans="1:21">
      <c r="A87">
        <v>108.03</v>
      </c>
      <c r="B87" t="s">
        <v>56</v>
      </c>
      <c r="D87" s="26">
        <v>89</v>
      </c>
      <c r="F87" s="2">
        <v>-675730421.05950725</v>
      </c>
      <c r="G87" s="18">
        <f t="shared" si="50"/>
        <v>-338307138.2251265</v>
      </c>
      <c r="H87" s="18">
        <f t="shared" si="50"/>
        <v>-89936340.390915096</v>
      </c>
      <c r="I87" s="18">
        <f t="shared" si="50"/>
        <v>-93870442.902323559</v>
      </c>
      <c r="J87" s="18">
        <f t="shared" si="50"/>
        <v>-63338915.287591845</v>
      </c>
      <c r="K87" s="18">
        <f t="shared" si="50"/>
        <v>-41212798.380419336</v>
      </c>
      <c r="L87" s="18">
        <f t="shared" si="50"/>
        <v>-181095.75284394791</v>
      </c>
      <c r="M87" s="18">
        <f t="shared" si="50"/>
        <v>-3609076.178878828</v>
      </c>
      <c r="N87" s="18">
        <f t="shared" si="50"/>
        <v>-22207880.288120698</v>
      </c>
      <c r="O87" s="18">
        <f t="shared" si="50"/>
        <v>-20148929.695152383</v>
      </c>
      <c r="P87" s="18">
        <f t="shared" si="50"/>
        <v>0</v>
      </c>
      <c r="Q87" s="18">
        <f t="shared" si="50"/>
        <v>-2707651.7971854452</v>
      </c>
      <c r="R87" s="18">
        <f t="shared" si="50"/>
        <v>-210152.16094950674</v>
      </c>
      <c r="U87" s="21">
        <f t="shared" si="47"/>
        <v>0</v>
      </c>
    </row>
    <row r="88" spans="1:21">
      <c r="B88" s="1" t="s">
        <v>8</v>
      </c>
      <c r="F88" s="3">
        <f>SUM(F85:F87)</f>
        <v>-1667710772.0375092</v>
      </c>
      <c r="G88" s="3">
        <f t="shared" ref="G88:S88" si="51">SUM(G85:G87)</f>
        <v>-834946068.86366701</v>
      </c>
      <c r="H88" s="3">
        <f t="shared" si="51"/>
        <v>-221963965.20433223</v>
      </c>
      <c r="I88" s="3">
        <f t="shared" si="51"/>
        <v>-231673377.31913465</v>
      </c>
      <c r="J88" s="3">
        <f t="shared" si="51"/>
        <v>-156321201.50616384</v>
      </c>
      <c r="K88" s="3">
        <f t="shared" si="51"/>
        <v>-101713679.98656766</v>
      </c>
      <c r="L88" s="3">
        <f t="shared" ref="L88:M88" si="52">SUM(L85:L87)</f>
        <v>-446946.48690605239</v>
      </c>
      <c r="M88" s="3">
        <f t="shared" si="52"/>
        <v>-8907243.233452335</v>
      </c>
      <c r="N88" s="3">
        <f t="shared" si="51"/>
        <v>-54809314.523012727</v>
      </c>
      <c r="O88" s="3">
        <f t="shared" si="51"/>
        <v>-49727799.800614432</v>
      </c>
      <c r="P88" s="3">
        <f t="shared" si="51"/>
        <v>0</v>
      </c>
      <c r="Q88" s="3">
        <f t="shared" si="51"/>
        <v>-6682517.0635542981</v>
      </c>
      <c r="R88" s="3">
        <f t="shared" si="51"/>
        <v>-518658.05010366533</v>
      </c>
      <c r="S88" s="3">
        <f t="shared" si="51"/>
        <v>0</v>
      </c>
      <c r="U88" s="21">
        <f t="shared" si="47"/>
        <v>0</v>
      </c>
    </row>
    <row r="89" spans="1:21">
      <c r="U89" s="21">
        <f t="shared" si="47"/>
        <v>0</v>
      </c>
    </row>
    <row r="90" spans="1:21">
      <c r="B90" s="1" t="s">
        <v>57</v>
      </c>
      <c r="U90" s="21">
        <f t="shared" si="47"/>
        <v>0</v>
      </c>
    </row>
    <row r="91" spans="1:21">
      <c r="A91" t="s">
        <v>58</v>
      </c>
      <c r="B91" t="s">
        <v>59</v>
      </c>
      <c r="D91" s="26">
        <v>89</v>
      </c>
      <c r="F91" s="2">
        <v>-48274493</v>
      </c>
      <c r="G91" s="18">
        <f t="shared" ref="G91:R92" si="53">INDEX(Alloc,($D91),(G$1))*$F91</f>
        <v>-24168818.018421996</v>
      </c>
      <c r="H91" s="18">
        <f t="shared" si="53"/>
        <v>-6425093.6458349982</v>
      </c>
      <c r="I91" s="18">
        <f t="shared" si="53"/>
        <v>-6706147.7440809989</v>
      </c>
      <c r="J91" s="18">
        <f t="shared" si="53"/>
        <v>-4524961.326861999</v>
      </c>
      <c r="K91" s="18">
        <f t="shared" si="53"/>
        <v>-2944261.3280699993</v>
      </c>
      <c r="L91" s="18">
        <f t="shared" si="53"/>
        <v>-12937.564123999999</v>
      </c>
      <c r="M91" s="18">
        <f t="shared" si="53"/>
        <v>-257834.06711299997</v>
      </c>
      <c r="N91" s="18">
        <f t="shared" si="53"/>
        <v>-1586541.2124449995</v>
      </c>
      <c r="O91" s="18">
        <f t="shared" si="53"/>
        <v>-1439448.8322739997</v>
      </c>
      <c r="P91" s="18">
        <f t="shared" si="53"/>
        <v>0</v>
      </c>
      <c r="Q91" s="18">
        <f t="shared" si="53"/>
        <v>-193435.89345099995</v>
      </c>
      <c r="R91" s="18">
        <f t="shared" si="53"/>
        <v>-15013.367322999999</v>
      </c>
      <c r="U91" s="21">
        <f t="shared" si="47"/>
        <v>0</v>
      </c>
    </row>
    <row r="92" spans="1:21">
      <c r="A92" t="s">
        <v>60</v>
      </c>
      <c r="B92" t="s">
        <v>61</v>
      </c>
      <c r="D92" s="26">
        <v>91</v>
      </c>
      <c r="F92" s="2">
        <v>-383823970.41082251</v>
      </c>
      <c r="G92" s="18">
        <f t="shared" si="53"/>
        <v>-177928173.89583114</v>
      </c>
      <c r="H92" s="18">
        <f t="shared" si="53"/>
        <v>-46955918.231431283</v>
      </c>
      <c r="I92" s="18">
        <f t="shared" si="53"/>
        <v>-48822586.080486163</v>
      </c>
      <c r="J92" s="18">
        <f t="shared" si="53"/>
        <v>-32986884.792458117</v>
      </c>
      <c r="K92" s="18">
        <f t="shared" si="53"/>
        <v>-21533764.193089169</v>
      </c>
      <c r="L92" s="18">
        <f t="shared" si="53"/>
        <v>-90271.250049117007</v>
      </c>
      <c r="M92" s="18">
        <f t="shared" si="53"/>
        <v>-1900298.3147594512</v>
      </c>
      <c r="N92" s="18">
        <f t="shared" si="53"/>
        <v>-11636141.13378226</v>
      </c>
      <c r="O92" s="18">
        <f t="shared" si="53"/>
        <v>-10574834.437126365</v>
      </c>
      <c r="P92" s="18">
        <f t="shared" si="53"/>
        <v>-29819068.257422458</v>
      </c>
      <c r="Q92" s="18">
        <f t="shared" si="53"/>
        <v>-1462040.245893542</v>
      </c>
      <c r="R92" s="18">
        <f t="shared" si="53"/>
        <v>-113989.5784933948</v>
      </c>
      <c r="U92" s="21">
        <f t="shared" si="47"/>
        <v>0</v>
      </c>
    </row>
    <row r="93" spans="1:21">
      <c r="A93" t="s">
        <v>62</v>
      </c>
      <c r="B93" t="s">
        <v>63</v>
      </c>
      <c r="D93" s="26" t="s">
        <v>485</v>
      </c>
      <c r="F93" s="2">
        <v>-184422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  <c r="P93" s="18">
        <v>-184422</v>
      </c>
      <c r="Q93" s="18">
        <v>0</v>
      </c>
      <c r="R93" s="18">
        <v>0</v>
      </c>
      <c r="U93" s="21">
        <f t="shared" si="47"/>
        <v>0</v>
      </c>
    </row>
    <row r="94" spans="1:21">
      <c r="B94" s="1" t="s">
        <v>8</v>
      </c>
      <c r="F94" s="3">
        <f>SUM(F91:F93)</f>
        <v>-432282885.41082251</v>
      </c>
      <c r="G94" s="3">
        <f t="shared" ref="G94:S94" si="54">SUM(G91:G93)</f>
        <v>-202096991.91425315</v>
      </c>
      <c r="H94" s="3">
        <f t="shared" si="54"/>
        <v>-53381011.87726628</v>
      </c>
      <c r="I94" s="3">
        <f t="shared" si="54"/>
        <v>-55528733.824567162</v>
      </c>
      <c r="J94" s="3">
        <f t="shared" si="54"/>
        <v>-37511846.119320117</v>
      </c>
      <c r="K94" s="3">
        <f t="shared" si="54"/>
        <v>-24478025.521159168</v>
      </c>
      <c r="L94" s="3">
        <f t="shared" ref="L94:M94" si="55">SUM(L91:L93)</f>
        <v>-103208.814173117</v>
      </c>
      <c r="M94" s="3">
        <f t="shared" si="55"/>
        <v>-2158132.3818724509</v>
      </c>
      <c r="N94" s="3">
        <f t="shared" si="54"/>
        <v>-13222682.34622726</v>
      </c>
      <c r="O94" s="3">
        <f t="shared" si="54"/>
        <v>-12014283.269400364</v>
      </c>
      <c r="P94" s="3">
        <f t="shared" si="54"/>
        <v>-30003490.257422458</v>
      </c>
      <c r="Q94" s="3">
        <f t="shared" si="54"/>
        <v>-1655476.1393445418</v>
      </c>
      <c r="R94" s="3">
        <f t="shared" si="54"/>
        <v>-129002.9458163948</v>
      </c>
      <c r="S94" s="3">
        <f t="shared" si="54"/>
        <v>0</v>
      </c>
      <c r="U94" s="21">
        <f t="shared" si="47"/>
        <v>0</v>
      </c>
    </row>
    <row r="95" spans="1:21">
      <c r="U95" s="21">
        <f t="shared" si="47"/>
        <v>0</v>
      </c>
    </row>
    <row r="96" spans="1:21">
      <c r="B96" s="1" t="s">
        <v>12</v>
      </c>
      <c r="U96" s="21">
        <f t="shared" si="47"/>
        <v>0</v>
      </c>
    </row>
    <row r="97" spans="1:21">
      <c r="A97" t="s">
        <v>64</v>
      </c>
      <c r="B97" t="s">
        <v>65</v>
      </c>
      <c r="D97" s="26" t="s">
        <v>485</v>
      </c>
      <c r="F97" s="2">
        <v>-10782.6924</v>
      </c>
      <c r="G97" s="18">
        <v>0</v>
      </c>
      <c r="H97" s="18">
        <v>0</v>
      </c>
      <c r="I97" s="18">
        <v>0</v>
      </c>
      <c r="J97" s="18">
        <v>0</v>
      </c>
      <c r="K97" s="18">
        <v>0</v>
      </c>
      <c r="L97" s="18">
        <v>0</v>
      </c>
      <c r="M97" s="18">
        <v>0</v>
      </c>
      <c r="N97" s="18">
        <v>0</v>
      </c>
      <c r="O97" s="18">
        <v>-10783</v>
      </c>
      <c r="P97" s="18">
        <v>0</v>
      </c>
      <c r="Q97" s="18">
        <v>0</v>
      </c>
      <c r="R97" s="18">
        <v>0</v>
      </c>
      <c r="U97" s="21">
        <f t="shared" si="47"/>
        <v>-0.30760000000009313</v>
      </c>
    </row>
    <row r="98" spans="1:21">
      <c r="A98" t="s">
        <v>66</v>
      </c>
      <c r="B98" t="s">
        <v>67</v>
      </c>
      <c r="D98" s="26">
        <v>42</v>
      </c>
      <c r="F98" s="2">
        <v>-3040575.9469045717</v>
      </c>
      <c r="G98" s="18">
        <f>INDEX(Alloc,($D98),(G$1))*$F98</f>
        <v>-1244828.4319446352</v>
      </c>
      <c r="H98" s="18">
        <f t="shared" ref="G98:R117" si="56">INDEX(Alloc,($D98),(H$1))*$F98</f>
        <v>-486726.75235837803</v>
      </c>
      <c r="I98" s="18">
        <f t="shared" si="56"/>
        <v>-612291.16673140111</v>
      </c>
      <c r="J98" s="18">
        <f t="shared" si="56"/>
        <v>-347656.84791784419</v>
      </c>
      <c r="K98" s="18">
        <f t="shared" si="56"/>
        <v>-329752.06670227303</v>
      </c>
      <c r="L98" s="18">
        <f t="shared" si="56"/>
        <v>-61.733381540769258</v>
      </c>
      <c r="M98" s="18">
        <f t="shared" si="56"/>
        <v>-16545.829933827765</v>
      </c>
      <c r="N98" s="18">
        <f t="shared" si="56"/>
        <v>0</v>
      </c>
      <c r="O98" s="18">
        <f t="shared" si="56"/>
        <v>0</v>
      </c>
      <c r="P98" s="18">
        <f t="shared" si="56"/>
        <v>0</v>
      </c>
      <c r="Q98" s="18">
        <f t="shared" si="56"/>
        <v>-2512.1635244388276</v>
      </c>
      <c r="R98" s="18">
        <f t="shared" si="56"/>
        <v>-200.95441023290104</v>
      </c>
      <c r="U98" s="21">
        <f t="shared" si="47"/>
        <v>0</v>
      </c>
    </row>
    <row r="99" spans="1:21">
      <c r="A99" t="s">
        <v>68</v>
      </c>
      <c r="B99" t="s">
        <v>15</v>
      </c>
      <c r="D99" s="26" t="s">
        <v>485</v>
      </c>
      <c r="F99" s="2">
        <v>-220823.63379989978</v>
      </c>
      <c r="G99" s="18">
        <v>0</v>
      </c>
      <c r="H99" s="18">
        <v>0</v>
      </c>
      <c r="I99" s="18">
        <v>0</v>
      </c>
      <c r="J99" s="18">
        <v>0</v>
      </c>
      <c r="K99" s="18">
        <v>-9600</v>
      </c>
      <c r="L99" s="18">
        <v>0</v>
      </c>
      <c r="M99" s="18">
        <v>0</v>
      </c>
      <c r="N99" s="18">
        <v>-74119</v>
      </c>
      <c r="O99" s="18">
        <v>-51225</v>
      </c>
      <c r="P99" s="18">
        <v>-85880</v>
      </c>
      <c r="Q99" s="18">
        <v>0</v>
      </c>
      <c r="R99" s="18">
        <v>0</v>
      </c>
      <c r="U99" s="21">
        <f t="shared" si="47"/>
        <v>-0.36620010022306815</v>
      </c>
    </row>
    <row r="100" spans="1:21">
      <c r="A100" t="s">
        <v>69</v>
      </c>
      <c r="B100" t="s">
        <v>16</v>
      </c>
      <c r="D100" s="26">
        <v>43</v>
      </c>
      <c r="F100" s="2">
        <v>-2036795.6985698356</v>
      </c>
      <c r="G100" s="18">
        <f t="shared" si="56"/>
        <v>-1010273.6047651109</v>
      </c>
      <c r="H100" s="18">
        <f t="shared" si="56"/>
        <v>-297486.09425880527</v>
      </c>
      <c r="I100" s="18">
        <f t="shared" si="56"/>
        <v>-357335.0099499253</v>
      </c>
      <c r="J100" s="18">
        <f t="shared" si="56"/>
        <v>-222865.70336817019</v>
      </c>
      <c r="K100" s="18">
        <f t="shared" si="56"/>
        <v>-128887.28152898462</v>
      </c>
      <c r="L100" s="18">
        <f t="shared" si="56"/>
        <v>0</v>
      </c>
      <c r="M100" s="18">
        <f t="shared" si="56"/>
        <v>-17945.331970958076</v>
      </c>
      <c r="N100" s="18">
        <f t="shared" si="56"/>
        <v>0</v>
      </c>
      <c r="O100" s="18">
        <f t="shared" si="56"/>
        <v>0</v>
      </c>
      <c r="P100" s="18">
        <f t="shared" si="56"/>
        <v>0</v>
      </c>
      <c r="Q100" s="18">
        <f t="shared" si="56"/>
        <v>-1783.7348356542168</v>
      </c>
      <c r="R100" s="18">
        <f t="shared" si="56"/>
        <v>-218.9378922270227</v>
      </c>
      <c r="U100" s="21">
        <f t="shared" si="47"/>
        <v>0</v>
      </c>
    </row>
    <row r="101" spans="1:21">
      <c r="A101" t="s">
        <v>70</v>
      </c>
      <c r="B101" t="s">
        <v>17</v>
      </c>
      <c r="D101" s="26" t="s">
        <v>485</v>
      </c>
      <c r="F101" s="2">
        <v>-11501693.225143986</v>
      </c>
      <c r="G101" s="18">
        <v>0</v>
      </c>
      <c r="H101" s="18">
        <v>0</v>
      </c>
      <c r="I101" s="18">
        <v>0</v>
      </c>
      <c r="J101" s="18">
        <v>0</v>
      </c>
      <c r="K101" s="18">
        <v>-638971</v>
      </c>
      <c r="L101" s="18">
        <v>0</v>
      </c>
      <c r="M101" s="18">
        <v>0</v>
      </c>
      <c r="N101" s="18">
        <v>-3632693</v>
      </c>
      <c r="O101" s="18">
        <v>-3881336</v>
      </c>
      <c r="P101" s="18">
        <v>-3348693</v>
      </c>
      <c r="Q101" s="18">
        <v>0</v>
      </c>
      <c r="R101" s="18">
        <v>0</v>
      </c>
      <c r="U101" s="21">
        <f t="shared" si="47"/>
        <v>0.22514398582279682</v>
      </c>
    </row>
    <row r="102" spans="1:21">
      <c r="A102" t="s">
        <v>71</v>
      </c>
      <c r="B102" t="s">
        <v>18</v>
      </c>
      <c r="D102" s="26">
        <v>44</v>
      </c>
      <c r="F102" s="2">
        <v>-111405536.24335527</v>
      </c>
      <c r="G102" s="18">
        <f t="shared" si="56"/>
        <v>-60668696.93900165</v>
      </c>
      <c r="H102" s="18">
        <f t="shared" si="56"/>
        <v>-15694742.651768455</v>
      </c>
      <c r="I102" s="18">
        <f t="shared" si="56"/>
        <v>-16903743.838608705</v>
      </c>
      <c r="J102" s="18">
        <f t="shared" si="56"/>
        <v>-9580827.0523957834</v>
      </c>
      <c r="K102" s="18">
        <f t="shared" si="56"/>
        <v>-7430835.7521737078</v>
      </c>
      <c r="L102" s="18">
        <f t="shared" si="56"/>
        <v>-27149.433682871524</v>
      </c>
      <c r="M102" s="18">
        <f t="shared" si="56"/>
        <v>-960199.94280010089</v>
      </c>
      <c r="N102" s="18">
        <f t="shared" si="56"/>
        <v>0</v>
      </c>
      <c r="O102" s="18">
        <f t="shared" si="56"/>
        <v>0</v>
      </c>
      <c r="P102" s="18">
        <f t="shared" si="56"/>
        <v>0</v>
      </c>
      <c r="Q102" s="18">
        <f t="shared" si="56"/>
        <v>-107428.54893823144</v>
      </c>
      <c r="R102" s="18">
        <f t="shared" si="56"/>
        <v>-31912.083985773708</v>
      </c>
      <c r="U102" s="21">
        <f t="shared" si="47"/>
        <v>0</v>
      </c>
    </row>
    <row r="103" spans="1:21">
      <c r="A103" t="s">
        <v>72</v>
      </c>
      <c r="B103" t="s">
        <v>19</v>
      </c>
      <c r="D103" s="26">
        <v>44</v>
      </c>
      <c r="F103" s="2">
        <v>-227790.68922477314</v>
      </c>
      <c r="G103" s="18">
        <f t="shared" si="56"/>
        <v>-124049.16987173825</v>
      </c>
      <c r="H103" s="18">
        <f t="shared" si="56"/>
        <v>-32091.010612275706</v>
      </c>
      <c r="I103" s="18">
        <f t="shared" si="56"/>
        <v>-34563.053052090589</v>
      </c>
      <c r="J103" s="18">
        <f t="shared" si="56"/>
        <v>-19589.898951173142</v>
      </c>
      <c r="K103" s="18">
        <f t="shared" si="56"/>
        <v>-15193.815806480561</v>
      </c>
      <c r="L103" s="18">
        <f t="shared" si="56"/>
        <v>-55.512395696155899</v>
      </c>
      <c r="M103" s="18">
        <f t="shared" si="56"/>
        <v>-1963.3190067523997</v>
      </c>
      <c r="N103" s="18">
        <f t="shared" si="56"/>
        <v>0</v>
      </c>
      <c r="O103" s="18">
        <f t="shared" si="56"/>
        <v>0</v>
      </c>
      <c r="P103" s="18">
        <f t="shared" si="56"/>
        <v>0</v>
      </c>
      <c r="Q103" s="18">
        <f t="shared" si="56"/>
        <v>-219.65895080475937</v>
      </c>
      <c r="R103" s="18">
        <f t="shared" si="56"/>
        <v>-65.250577761585987</v>
      </c>
      <c r="U103" s="21">
        <f t="shared" si="47"/>
        <v>0</v>
      </c>
    </row>
    <row r="104" spans="1:21">
      <c r="A104" t="s">
        <v>73</v>
      </c>
      <c r="B104" t="s">
        <v>20</v>
      </c>
      <c r="D104" s="26">
        <v>45</v>
      </c>
      <c r="F104" s="2">
        <v>-144226000.46602783</v>
      </c>
      <c r="G104" s="18">
        <f t="shared" si="56"/>
        <v>-97975246.94361566</v>
      </c>
      <c r="H104" s="18">
        <f t="shared" si="56"/>
        <v>-18786514.389900193</v>
      </c>
      <c r="I104" s="18">
        <f t="shared" si="56"/>
        <v>-14512746.552299058</v>
      </c>
      <c r="J104" s="18">
        <f t="shared" si="56"/>
        <v>-6047267.6835041381</v>
      </c>
      <c r="K104" s="18">
        <f t="shared" si="56"/>
        <v>-5151311.7407525191</v>
      </c>
      <c r="L104" s="18">
        <f t="shared" si="56"/>
        <v>-115401.44505344491</v>
      </c>
      <c r="M104" s="18">
        <f t="shared" si="56"/>
        <v>-1440778.3428908738</v>
      </c>
      <c r="N104" s="18">
        <f t="shared" si="56"/>
        <v>0</v>
      </c>
      <c r="O104" s="18">
        <f t="shared" si="56"/>
        <v>0</v>
      </c>
      <c r="P104" s="18">
        <f t="shared" si="56"/>
        <v>0</v>
      </c>
      <c r="Q104" s="18">
        <f t="shared" si="56"/>
        <v>-94379.825037427931</v>
      </c>
      <c r="R104" s="18">
        <f t="shared" si="56"/>
        <v>-102353.54297453782</v>
      </c>
      <c r="U104" s="21">
        <f t="shared" si="47"/>
        <v>0</v>
      </c>
    </row>
    <row r="105" spans="1:21">
      <c r="A105" t="s">
        <v>74</v>
      </c>
      <c r="B105" t="s">
        <v>75</v>
      </c>
      <c r="D105" s="26" t="s">
        <v>485</v>
      </c>
      <c r="F105" s="2">
        <v>-1499101.6792449784</v>
      </c>
      <c r="G105" s="18">
        <v>0</v>
      </c>
      <c r="H105" s="18">
        <v>0</v>
      </c>
      <c r="I105" s="18">
        <v>0</v>
      </c>
      <c r="J105" s="18">
        <v>0</v>
      </c>
      <c r="K105" s="18">
        <v>0</v>
      </c>
      <c r="L105" s="18">
        <v>0</v>
      </c>
      <c r="M105" s="18">
        <v>0</v>
      </c>
      <c r="N105" s="18">
        <v>-1499102</v>
      </c>
      <c r="O105" s="18">
        <v>0</v>
      </c>
      <c r="P105" s="18">
        <v>0</v>
      </c>
      <c r="Q105" s="18">
        <v>0</v>
      </c>
      <c r="R105" s="18">
        <v>0</v>
      </c>
      <c r="U105" s="21">
        <f t="shared" si="47"/>
        <v>-0.32075502164661884</v>
      </c>
    </row>
    <row r="106" spans="1:21">
      <c r="A106" t="s">
        <v>76</v>
      </c>
      <c r="B106" t="s">
        <v>22</v>
      </c>
      <c r="D106" s="26">
        <v>45</v>
      </c>
      <c r="F106" s="2">
        <v>-118761165.93657961</v>
      </c>
      <c r="G106" s="18">
        <f t="shared" si="56"/>
        <v>-80676539.059189007</v>
      </c>
      <c r="H106" s="18">
        <f t="shared" si="56"/>
        <v>-15469529.388734668</v>
      </c>
      <c r="I106" s="18">
        <f t="shared" si="56"/>
        <v>-11950346.649868388</v>
      </c>
      <c r="J106" s="18">
        <f t="shared" si="56"/>
        <v>-4979549.8627358563</v>
      </c>
      <c r="K106" s="18">
        <f t="shared" si="56"/>
        <v>-4241785.7144881682</v>
      </c>
      <c r="L106" s="18">
        <f t="shared" si="56"/>
        <v>-95025.932363294531</v>
      </c>
      <c r="M106" s="18">
        <f t="shared" si="56"/>
        <v>-1186391.6027970114</v>
      </c>
      <c r="N106" s="18">
        <f t="shared" si="56"/>
        <v>0</v>
      </c>
      <c r="O106" s="18">
        <f t="shared" si="56"/>
        <v>0</v>
      </c>
      <c r="P106" s="18">
        <f t="shared" si="56"/>
        <v>0</v>
      </c>
      <c r="Q106" s="18">
        <f t="shared" si="56"/>
        <v>-77715.932121237114</v>
      </c>
      <c r="R106" s="18">
        <f t="shared" si="56"/>
        <v>-84281.794282017509</v>
      </c>
      <c r="U106" s="21">
        <f t="shared" si="47"/>
        <v>0</v>
      </c>
    </row>
    <row r="107" spans="1:21">
      <c r="A107" t="s">
        <v>77</v>
      </c>
      <c r="B107" t="s">
        <v>78</v>
      </c>
      <c r="D107" s="26" t="s">
        <v>485</v>
      </c>
      <c r="F107" s="2">
        <v>-18068917.610241123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-16494306</v>
      </c>
      <c r="O107" s="18">
        <v>-1574612</v>
      </c>
      <c r="P107" s="18">
        <v>0</v>
      </c>
      <c r="Q107" s="18">
        <v>0</v>
      </c>
      <c r="R107" s="18">
        <v>0</v>
      </c>
      <c r="U107" s="21">
        <f t="shared" si="47"/>
        <v>-0.3897588774561882</v>
      </c>
    </row>
    <row r="108" spans="1:21">
      <c r="A108" t="s">
        <v>79</v>
      </c>
      <c r="B108" t="s">
        <v>80</v>
      </c>
      <c r="D108" s="26">
        <v>47</v>
      </c>
      <c r="F108" s="2">
        <v>-234684157.74860832</v>
      </c>
      <c r="G108" s="18">
        <f t="shared" si="56"/>
        <v>-156683744.31055629</v>
      </c>
      <c r="H108" s="18">
        <f t="shared" si="56"/>
        <v>-28994210.501663983</v>
      </c>
      <c r="I108" s="18">
        <f t="shared" si="56"/>
        <v>-26758164.204900805</v>
      </c>
      <c r="J108" s="18">
        <f t="shared" si="56"/>
        <v>-11489996.134469319</v>
      </c>
      <c r="K108" s="18">
        <f t="shared" si="56"/>
        <v>-7821378.0286224168</v>
      </c>
      <c r="L108" s="18">
        <f t="shared" si="56"/>
        <v>-87068.982886371014</v>
      </c>
      <c r="M108" s="18">
        <f t="shared" si="56"/>
        <v>-2672826.414209642</v>
      </c>
      <c r="N108" s="18">
        <f t="shared" si="56"/>
        <v>0</v>
      </c>
      <c r="O108" s="18">
        <f t="shared" si="56"/>
        <v>0</v>
      </c>
      <c r="P108" s="18">
        <f t="shared" si="56"/>
        <v>0</v>
      </c>
      <c r="Q108" s="18">
        <f t="shared" si="56"/>
        <v>-114816.24116884089</v>
      </c>
      <c r="R108" s="18">
        <f t="shared" si="56"/>
        <v>-61952.930130687062</v>
      </c>
      <c r="U108" s="21">
        <f t="shared" si="47"/>
        <v>0</v>
      </c>
    </row>
    <row r="109" spans="1:21">
      <c r="A109" t="s">
        <v>81</v>
      </c>
      <c r="B109" t="s">
        <v>82</v>
      </c>
      <c r="D109" s="26">
        <v>47</v>
      </c>
      <c r="F109" s="2">
        <v>-339678468.295748</v>
      </c>
      <c r="G109" s="18">
        <f t="shared" si="56"/>
        <v>-226781793.81525803</v>
      </c>
      <c r="H109" s="18">
        <f t="shared" si="56"/>
        <v>-41965802.494429842</v>
      </c>
      <c r="I109" s="18">
        <f t="shared" si="56"/>
        <v>-38729381.304310538</v>
      </c>
      <c r="J109" s="18">
        <f t="shared" si="56"/>
        <v>-16630454.842466876</v>
      </c>
      <c r="K109" s="18">
        <f t="shared" si="56"/>
        <v>-11320549.858207181</v>
      </c>
      <c r="L109" s="18">
        <f t="shared" si="56"/>
        <v>-126022.39122843639</v>
      </c>
      <c r="M109" s="18">
        <f t="shared" si="56"/>
        <v>-3868610.4384245831</v>
      </c>
      <c r="N109" s="18">
        <f t="shared" si="56"/>
        <v>0</v>
      </c>
      <c r="O109" s="18">
        <f t="shared" si="56"/>
        <v>0</v>
      </c>
      <c r="P109" s="18">
        <f t="shared" si="56"/>
        <v>0</v>
      </c>
      <c r="Q109" s="18">
        <f t="shared" si="56"/>
        <v>-166183.37304848753</v>
      </c>
      <c r="R109" s="18">
        <f t="shared" si="56"/>
        <v>-89669.778374079731</v>
      </c>
      <c r="U109" s="21">
        <f t="shared" si="47"/>
        <v>0</v>
      </c>
    </row>
    <row r="110" spans="1:21">
      <c r="A110" t="s">
        <v>83</v>
      </c>
      <c r="B110" t="s">
        <v>84</v>
      </c>
      <c r="D110" s="26" t="s">
        <v>485</v>
      </c>
      <c r="F110" s="2">
        <v>-1714983</v>
      </c>
      <c r="G110" s="18">
        <v>0</v>
      </c>
      <c r="H110" s="18">
        <v>0</v>
      </c>
      <c r="I110" s="18">
        <v>0</v>
      </c>
      <c r="J110" s="18">
        <v>0</v>
      </c>
      <c r="K110" s="18">
        <v>-433090</v>
      </c>
      <c r="L110" s="18">
        <v>0</v>
      </c>
      <c r="M110" s="18">
        <v>-25151</v>
      </c>
      <c r="N110" s="18">
        <v>-1246417</v>
      </c>
      <c r="O110" s="18">
        <v>0</v>
      </c>
      <c r="P110" s="18">
        <v>0</v>
      </c>
      <c r="Q110" s="18">
        <v>0</v>
      </c>
      <c r="R110" s="18">
        <v>-10325</v>
      </c>
      <c r="U110" s="21">
        <f t="shared" si="47"/>
        <v>0</v>
      </c>
    </row>
    <row r="111" spans="1:21">
      <c r="A111" t="s">
        <v>85</v>
      </c>
      <c r="B111" t="s">
        <v>86</v>
      </c>
      <c r="D111" s="26">
        <v>21</v>
      </c>
      <c r="F111" s="2">
        <v>-61577305</v>
      </c>
      <c r="G111" s="18">
        <f t="shared" si="56"/>
        <v>-44972551.122519948</v>
      </c>
      <c r="H111" s="18">
        <f t="shared" si="56"/>
        <v>-7049229.6209489135</v>
      </c>
      <c r="I111" s="18">
        <f t="shared" si="56"/>
        <v>-904067.07413564518</v>
      </c>
      <c r="J111" s="18">
        <f t="shared" si="56"/>
        <v>-11476.687412836089</v>
      </c>
      <c r="K111" s="18">
        <f t="shared" si="56"/>
        <v>0</v>
      </c>
      <c r="L111" s="18">
        <f t="shared" si="56"/>
        <v>0</v>
      </c>
      <c r="M111" s="18">
        <f t="shared" si="56"/>
        <v>0</v>
      </c>
      <c r="N111" s="18">
        <f t="shared" si="56"/>
        <v>0</v>
      </c>
      <c r="O111" s="18">
        <f t="shared" si="56"/>
        <v>0</v>
      </c>
      <c r="P111" s="18">
        <f t="shared" si="56"/>
        <v>0</v>
      </c>
      <c r="Q111" s="18">
        <f t="shared" si="56"/>
        <v>-8639980.4949826598</v>
      </c>
      <c r="R111" s="18">
        <f t="shared" si="56"/>
        <v>0</v>
      </c>
      <c r="U111" s="21">
        <f t="shared" si="47"/>
        <v>0</v>
      </c>
    </row>
    <row r="112" spans="1:21">
      <c r="A112" t="s">
        <v>87</v>
      </c>
      <c r="B112" t="s">
        <v>88</v>
      </c>
      <c r="D112" s="26">
        <v>25</v>
      </c>
      <c r="F112" s="2">
        <v>-116431906.72550035</v>
      </c>
      <c r="G112" s="18">
        <f t="shared" si="56"/>
        <v>-85639404.818411559</v>
      </c>
      <c r="H112" s="18">
        <f t="shared" si="56"/>
        <v>-16875431.088765074</v>
      </c>
      <c r="I112" s="18">
        <f t="shared" si="56"/>
        <v>-10216135.288176628</v>
      </c>
      <c r="J112" s="18">
        <f t="shared" si="56"/>
        <v>-3425728.1643280191</v>
      </c>
      <c r="K112" s="18">
        <f t="shared" si="56"/>
        <v>0</v>
      </c>
      <c r="L112" s="18">
        <f t="shared" si="56"/>
        <v>0</v>
      </c>
      <c r="M112" s="18">
        <f t="shared" si="56"/>
        <v>0</v>
      </c>
      <c r="N112" s="18">
        <f t="shared" si="56"/>
        <v>0</v>
      </c>
      <c r="O112" s="18">
        <f t="shared" si="56"/>
        <v>0</v>
      </c>
      <c r="P112" s="18">
        <f t="shared" si="56"/>
        <v>0</v>
      </c>
      <c r="Q112" s="18">
        <f t="shared" si="56"/>
        <v>-268327.89645341673</v>
      </c>
      <c r="R112" s="18">
        <f t="shared" si="56"/>
        <v>-6879.4693656572827</v>
      </c>
      <c r="U112" s="21">
        <f t="shared" si="47"/>
        <v>0</v>
      </c>
    </row>
    <row r="113" spans="1:21">
      <c r="A113" t="s">
        <v>89</v>
      </c>
      <c r="B113" t="s">
        <v>90</v>
      </c>
      <c r="D113" s="26">
        <v>20</v>
      </c>
      <c r="F113" s="2">
        <v>-29187822</v>
      </c>
      <c r="G113" s="18">
        <f t="shared" si="56"/>
        <v>-25319258.887396809</v>
      </c>
      <c r="H113" s="18">
        <f t="shared" si="56"/>
        <v>-3734290.3102449775</v>
      </c>
      <c r="I113" s="18">
        <f t="shared" si="56"/>
        <v>-132244.94989541383</v>
      </c>
      <c r="J113" s="18">
        <f t="shared" si="56"/>
        <v>-2027.8524627993361</v>
      </c>
      <c r="K113" s="18">
        <f t="shared" si="56"/>
        <v>0</v>
      </c>
      <c r="L113" s="18">
        <f t="shared" si="56"/>
        <v>0</v>
      </c>
      <c r="M113" s="18">
        <f t="shared" si="56"/>
        <v>0</v>
      </c>
      <c r="N113" s="18">
        <f t="shared" si="56"/>
        <v>0</v>
      </c>
      <c r="O113" s="18">
        <f t="shared" si="56"/>
        <v>0</v>
      </c>
      <c r="P113" s="18">
        <f t="shared" si="56"/>
        <v>0</v>
      </c>
      <c r="Q113" s="18">
        <f t="shared" si="56"/>
        <v>0</v>
      </c>
      <c r="R113" s="18">
        <f t="shared" si="56"/>
        <v>0</v>
      </c>
      <c r="U113" s="21">
        <f t="shared" si="47"/>
        <v>0</v>
      </c>
    </row>
    <row r="114" spans="1:21">
      <c r="A114" t="s">
        <v>91</v>
      </c>
      <c r="B114" t="s">
        <v>92</v>
      </c>
      <c r="D114" s="26">
        <v>24</v>
      </c>
      <c r="F114" s="2">
        <v>-86306645.845380351</v>
      </c>
      <c r="G114" s="18">
        <f t="shared" si="56"/>
        <v>-86306645.845380351</v>
      </c>
      <c r="H114" s="18">
        <f t="shared" si="56"/>
        <v>0</v>
      </c>
      <c r="I114" s="18">
        <f t="shared" si="56"/>
        <v>0</v>
      </c>
      <c r="J114" s="18">
        <f t="shared" si="56"/>
        <v>0</v>
      </c>
      <c r="K114" s="18">
        <f t="shared" si="56"/>
        <v>0</v>
      </c>
      <c r="L114" s="18">
        <f t="shared" si="56"/>
        <v>0</v>
      </c>
      <c r="M114" s="18">
        <f t="shared" si="56"/>
        <v>0</v>
      </c>
      <c r="N114" s="18">
        <f t="shared" si="56"/>
        <v>0</v>
      </c>
      <c r="O114" s="18">
        <f t="shared" si="56"/>
        <v>0</v>
      </c>
      <c r="P114" s="18">
        <f t="shared" si="56"/>
        <v>0</v>
      </c>
      <c r="Q114" s="18">
        <f t="shared" si="56"/>
        <v>0</v>
      </c>
      <c r="R114" s="18">
        <f t="shared" si="56"/>
        <v>0</v>
      </c>
      <c r="U114" s="21">
        <f t="shared" si="47"/>
        <v>0</v>
      </c>
    </row>
    <row r="115" spans="1:21">
      <c r="A115" t="s">
        <v>93</v>
      </c>
      <c r="B115" t="s">
        <v>35</v>
      </c>
      <c r="D115" s="26">
        <v>19</v>
      </c>
      <c r="F115" s="2">
        <v>-42422979.190129757</v>
      </c>
      <c r="G115" s="18">
        <f t="shared" si="56"/>
        <v>-27582183.899188787</v>
      </c>
      <c r="H115" s="18">
        <f t="shared" si="56"/>
        <v>-7815778.4974343469</v>
      </c>
      <c r="I115" s="18">
        <f t="shared" si="56"/>
        <v>-2122999.2275207932</v>
      </c>
      <c r="J115" s="18">
        <f t="shared" si="56"/>
        <v>-240402.02274743406</v>
      </c>
      <c r="K115" s="18">
        <f t="shared" si="56"/>
        <v>-2983480.8428195138</v>
      </c>
      <c r="L115" s="18">
        <f t="shared" si="56"/>
        <v>-7011.3824116200367</v>
      </c>
      <c r="M115" s="18">
        <f t="shared" si="56"/>
        <v>-1042814.4295642062</v>
      </c>
      <c r="N115" s="18">
        <f t="shared" si="56"/>
        <v>-252360.48003844279</v>
      </c>
      <c r="O115" s="18">
        <f t="shared" si="56"/>
        <v>-130587.91411274993</v>
      </c>
      <c r="P115" s="18">
        <f t="shared" si="56"/>
        <v>-183386.68910476542</v>
      </c>
      <c r="Q115" s="18">
        <f t="shared" si="56"/>
        <v>0</v>
      </c>
      <c r="R115" s="18">
        <f t="shared" si="56"/>
        <v>-61973.805187097249</v>
      </c>
      <c r="U115" s="21">
        <f t="shared" si="47"/>
        <v>0</v>
      </c>
    </row>
    <row r="116" spans="1:21">
      <c r="A116" t="s">
        <v>94</v>
      </c>
      <c r="B116" t="s">
        <v>36</v>
      </c>
      <c r="D116" s="26">
        <v>12</v>
      </c>
      <c r="F116" s="2">
        <v>-20159019.939354461</v>
      </c>
      <c r="G116" s="18">
        <f t="shared" si="56"/>
        <v>0</v>
      </c>
      <c r="H116" s="18">
        <f t="shared" si="56"/>
        <v>0</v>
      </c>
      <c r="I116" s="18">
        <f t="shared" si="56"/>
        <v>0</v>
      </c>
      <c r="J116" s="18">
        <f t="shared" si="56"/>
        <v>0</v>
      </c>
      <c r="K116" s="18">
        <f t="shared" si="56"/>
        <v>0</v>
      </c>
      <c r="L116" s="18">
        <f t="shared" si="56"/>
        <v>0</v>
      </c>
      <c r="M116" s="18">
        <f t="shared" si="56"/>
        <v>0</v>
      </c>
      <c r="N116" s="18">
        <f t="shared" si="56"/>
        <v>0</v>
      </c>
      <c r="O116" s="18">
        <f t="shared" si="56"/>
        <v>0</v>
      </c>
      <c r="P116" s="18">
        <f t="shared" si="56"/>
        <v>0</v>
      </c>
      <c r="Q116" s="18">
        <f t="shared" si="56"/>
        <v>-20159019.939354461</v>
      </c>
      <c r="R116" s="18">
        <f t="shared" si="56"/>
        <v>0</v>
      </c>
      <c r="U116" s="21">
        <f t="shared" si="47"/>
        <v>0</v>
      </c>
    </row>
    <row r="117" spans="1:21">
      <c r="A117" t="s">
        <v>95</v>
      </c>
      <c r="B117" t="s">
        <v>37</v>
      </c>
      <c r="D117" s="26">
        <v>71</v>
      </c>
      <c r="F117" s="2">
        <v>-288060.25499999902</v>
      </c>
      <c r="G117" s="18">
        <f t="shared" si="56"/>
        <v>-190301.58831378544</v>
      </c>
      <c r="H117" s="18">
        <f t="shared" si="56"/>
        <v>-35641.56957454732</v>
      </c>
      <c r="I117" s="18">
        <f t="shared" si="56"/>
        <v>-31057.403106359463</v>
      </c>
      <c r="J117" s="18">
        <f t="shared" si="56"/>
        <v>-13216.201230641485</v>
      </c>
      <c r="K117" s="18">
        <f t="shared" si="56"/>
        <v>-9668.8169996773067</v>
      </c>
      <c r="L117" s="18">
        <f t="shared" si="56"/>
        <v>-145.35626581462759</v>
      </c>
      <c r="M117" s="18">
        <f t="shared" si="56"/>
        <v>-3096.5037150906687</v>
      </c>
      <c r="N117" s="18">
        <f t="shared" si="56"/>
        <v>-3799.6676620289436</v>
      </c>
      <c r="O117" s="18">
        <f t="shared" si="56"/>
        <v>-862.44512593174079</v>
      </c>
      <c r="P117" s="18">
        <f t="shared" si="56"/>
        <v>0</v>
      </c>
      <c r="Q117" s="18">
        <f t="shared" si="56"/>
        <v>-154.12510286612778</v>
      </c>
      <c r="R117" s="18">
        <f t="shared" si="56"/>
        <v>-116.57790325578051</v>
      </c>
      <c r="U117" s="21">
        <f t="shared" si="47"/>
        <v>0</v>
      </c>
    </row>
    <row r="118" spans="1:21">
      <c r="B118" s="1" t="s">
        <v>8</v>
      </c>
      <c r="F118" s="3">
        <f>SUM(F97:F117)</f>
        <v>-1343450531.8212132</v>
      </c>
      <c r="G118" s="3">
        <f t="shared" ref="G118:S118" si="57">SUM(G97:G117)</f>
        <v>-895175518.43541336</v>
      </c>
      <c r="H118" s="3">
        <f t="shared" si="57"/>
        <v>-157237474.37069446</v>
      </c>
      <c r="I118" s="3">
        <f t="shared" si="57"/>
        <v>-123265075.72255574</v>
      </c>
      <c r="J118" s="3">
        <f t="shared" si="57"/>
        <v>-53011058.953990884</v>
      </c>
      <c r="K118" s="3">
        <f t="shared" si="57"/>
        <v>-40514504.918100916</v>
      </c>
      <c r="L118" s="3">
        <f t="shared" ref="L118:M118" si="58">SUM(L97:L117)</f>
        <v>-457942.16966908996</v>
      </c>
      <c r="M118" s="3">
        <f t="shared" si="58"/>
        <v>-11236323.155313047</v>
      </c>
      <c r="N118" s="3">
        <f t="shared" si="57"/>
        <v>-23202797.14770047</v>
      </c>
      <c r="O118" s="3">
        <f t="shared" si="57"/>
        <v>-5649406.3592386814</v>
      </c>
      <c r="P118" s="3">
        <f t="shared" si="57"/>
        <v>-3617959.6891047657</v>
      </c>
      <c r="Q118" s="3">
        <f t="shared" si="57"/>
        <v>-29632521.933518525</v>
      </c>
      <c r="R118" s="3">
        <f t="shared" si="57"/>
        <v>-449950.12508332764</v>
      </c>
      <c r="S118" s="3">
        <f t="shared" si="57"/>
        <v>0</v>
      </c>
      <c r="U118" s="21">
        <f t="shared" si="47"/>
        <v>-1.1591699123382568</v>
      </c>
    </row>
    <row r="119" spans="1:21">
      <c r="U119" s="21">
        <f t="shared" si="47"/>
        <v>0</v>
      </c>
    </row>
    <row r="120" spans="1:21">
      <c r="B120" s="1" t="s">
        <v>7</v>
      </c>
      <c r="U120" s="21">
        <f t="shared" si="47"/>
        <v>0</v>
      </c>
    </row>
    <row r="121" spans="1:21">
      <c r="A121">
        <v>108.06</v>
      </c>
      <c r="B121" t="s">
        <v>96</v>
      </c>
      <c r="D121" s="26">
        <v>70</v>
      </c>
      <c r="F121" s="2">
        <v>-186848802.70880008</v>
      </c>
      <c r="G121" s="18">
        <f t="shared" ref="G121:R122" si="59">INDEX(Alloc,($D121),(G$1))*$F121</f>
        <v>-111014062.50733714</v>
      </c>
      <c r="H121" s="18">
        <f t="shared" si="59"/>
        <v>-23222927.45844597</v>
      </c>
      <c r="I121" s="18">
        <f t="shared" si="59"/>
        <v>-19871693.07199214</v>
      </c>
      <c r="J121" s="18">
        <f t="shared" si="59"/>
        <v>-11794886.063343136</v>
      </c>
      <c r="K121" s="18">
        <f t="shared" si="59"/>
        <v>-8040912.024135177</v>
      </c>
      <c r="L121" s="18">
        <f t="shared" si="59"/>
        <v>-48063.748173065302</v>
      </c>
      <c r="M121" s="18">
        <f t="shared" si="59"/>
        <v>-1107260.7298826398</v>
      </c>
      <c r="N121" s="18">
        <f t="shared" si="59"/>
        <v>-4149830.2594720572</v>
      </c>
      <c r="O121" s="18">
        <f t="shared" si="59"/>
        <v>-3283579.2047601044</v>
      </c>
      <c r="P121" s="18">
        <f t="shared" si="59"/>
        <v>-1980179.1972305994</v>
      </c>
      <c r="Q121" s="18">
        <f t="shared" si="59"/>
        <v>-2280669.0716035701</v>
      </c>
      <c r="R121" s="18">
        <f t="shared" si="59"/>
        <v>-54739.372424508081</v>
      </c>
      <c r="U121" s="21">
        <f t="shared" si="47"/>
        <v>0</v>
      </c>
    </row>
    <row r="122" spans="1:21">
      <c r="A122">
        <v>108.07</v>
      </c>
      <c r="B122" t="s">
        <v>97</v>
      </c>
      <c r="D122" s="26">
        <v>74</v>
      </c>
      <c r="F122" s="2">
        <v>9889632.4909608345</v>
      </c>
      <c r="G122" s="18">
        <f t="shared" si="59"/>
        <v>5524729.6477436144</v>
      </c>
      <c r="H122" s="18">
        <f t="shared" si="59"/>
        <v>1252078.2869873124</v>
      </c>
      <c r="I122" s="18">
        <f t="shared" si="59"/>
        <v>1181531.7941678308</v>
      </c>
      <c r="J122" s="18">
        <f t="shared" si="59"/>
        <v>706845.4194473495</v>
      </c>
      <c r="K122" s="18">
        <f t="shared" si="59"/>
        <v>481926.20686370175</v>
      </c>
      <c r="L122" s="18">
        <f t="shared" si="59"/>
        <v>2861.1875927184587</v>
      </c>
      <c r="M122" s="18">
        <f t="shared" si="59"/>
        <v>65618.00287230761</v>
      </c>
      <c r="N122" s="18">
        <f t="shared" si="59"/>
        <v>248244.07076292741</v>
      </c>
      <c r="O122" s="18">
        <f t="shared" si="59"/>
        <v>197593.84883463749</v>
      </c>
      <c r="P122" s="18">
        <f t="shared" si="59"/>
        <v>114189.68316639941</v>
      </c>
      <c r="Q122" s="18">
        <f t="shared" si="59"/>
        <v>110754.41070391679</v>
      </c>
      <c r="R122" s="18">
        <f t="shared" si="59"/>
        <v>3259.9318181164308</v>
      </c>
      <c r="U122" s="21">
        <f t="shared" si="47"/>
        <v>0</v>
      </c>
    </row>
    <row r="123" spans="1:21">
      <c r="B123" s="1" t="s">
        <v>8</v>
      </c>
      <c r="F123" s="3">
        <f>SUM(F121:F122)</f>
        <v>-176959170.21783924</v>
      </c>
      <c r="G123" s="3">
        <f t="shared" ref="G123:S123" si="60">SUM(G121:G122)</f>
        <v>-105489332.85959353</v>
      </c>
      <c r="H123" s="3">
        <f t="shared" si="60"/>
        <v>-21970849.171458658</v>
      </c>
      <c r="I123" s="3">
        <f t="shared" si="60"/>
        <v>-18690161.277824309</v>
      </c>
      <c r="J123" s="3">
        <f t="shared" si="60"/>
        <v>-11088040.643895786</v>
      </c>
      <c r="K123" s="3">
        <f t="shared" si="60"/>
        <v>-7558985.8172714757</v>
      </c>
      <c r="L123" s="3">
        <f t="shared" ref="L123:M123" si="61">SUM(L121:L122)</f>
        <v>-45202.560580346842</v>
      </c>
      <c r="M123" s="3">
        <f t="shared" si="61"/>
        <v>-1041642.7270103323</v>
      </c>
      <c r="N123" s="3">
        <f t="shared" si="60"/>
        <v>-3901586.1887091296</v>
      </c>
      <c r="O123" s="3">
        <f t="shared" si="60"/>
        <v>-3085985.3559254669</v>
      </c>
      <c r="P123" s="3">
        <f t="shared" si="60"/>
        <v>-1865989.5140642</v>
      </c>
      <c r="Q123" s="3">
        <f t="shared" si="60"/>
        <v>-2169914.6608996536</v>
      </c>
      <c r="R123" s="3">
        <f t="shared" si="60"/>
        <v>-51479.440606391654</v>
      </c>
      <c r="S123" s="3">
        <f t="shared" si="60"/>
        <v>0</v>
      </c>
      <c r="U123" s="21">
        <f t="shared" si="47"/>
        <v>0</v>
      </c>
    </row>
    <row r="124" spans="1:21">
      <c r="U124" s="21">
        <f t="shared" si="47"/>
        <v>0</v>
      </c>
    </row>
    <row r="125" spans="1:21">
      <c r="B125" s="1" t="s">
        <v>98</v>
      </c>
      <c r="F125" s="3">
        <f>SUM(F82,F88,F94,F118,F123)</f>
        <v>-3697506273.3020792</v>
      </c>
      <c r="G125" s="3">
        <f t="shared" ref="G125:R125" si="62">SUM(G82,G88,G94,G118,G123)</f>
        <v>-2081436843.1975629</v>
      </c>
      <c r="H125" s="3">
        <f t="shared" si="62"/>
        <v>-464211307.25578356</v>
      </c>
      <c r="I125" s="3">
        <f t="shared" si="62"/>
        <v>-437874748.92082441</v>
      </c>
      <c r="J125" s="3">
        <f t="shared" si="62"/>
        <v>-263316513.819345</v>
      </c>
      <c r="K125" s="3">
        <f t="shared" si="62"/>
        <v>-177885840.05061266</v>
      </c>
      <c r="L125" s="3">
        <f t="shared" ref="L125:M125" si="63">SUM(L82,L88,L94,L118,L123)</f>
        <v>-1072926.5269407206</v>
      </c>
      <c r="M125" s="3">
        <f t="shared" si="63"/>
        <v>-23786082.938725203</v>
      </c>
      <c r="N125" s="3">
        <f t="shared" si="62"/>
        <v>-97032364.875892296</v>
      </c>
      <c r="O125" s="3">
        <f t="shared" si="62"/>
        <v>-72049387.177113339</v>
      </c>
      <c r="P125" s="3">
        <f t="shared" si="62"/>
        <v>-36744423.869968712</v>
      </c>
      <c r="Q125" s="3">
        <f t="shared" si="62"/>
        <v>-40923806.668174759</v>
      </c>
      <c r="R125" s="3">
        <f t="shared" si="62"/>
        <v>-1172029.1603055003</v>
      </c>
      <c r="U125" s="21">
        <f t="shared" si="47"/>
        <v>-1.1591696739196777</v>
      </c>
    </row>
    <row r="126" spans="1:21">
      <c r="U126" s="21">
        <f t="shared" si="47"/>
        <v>0</v>
      </c>
    </row>
    <row r="127" spans="1:21">
      <c r="A127" s="1" t="s">
        <v>99</v>
      </c>
      <c r="U127" s="21">
        <f t="shared" si="47"/>
        <v>0</v>
      </c>
    </row>
    <row r="128" spans="1:21">
      <c r="U128" s="21">
        <f t="shared" si="47"/>
        <v>0</v>
      </c>
    </row>
    <row r="129" spans="1:21">
      <c r="U129" s="21">
        <f t="shared" si="47"/>
        <v>0</v>
      </c>
    </row>
    <row r="130" spans="1:21">
      <c r="B130" s="1" t="s">
        <v>100</v>
      </c>
      <c r="H130" s="21"/>
      <c r="U130" s="21">
        <f t="shared" si="47"/>
        <v>0</v>
      </c>
    </row>
    <row r="131" spans="1:21">
      <c r="A131" t="s">
        <v>101</v>
      </c>
      <c r="B131" t="s">
        <v>102</v>
      </c>
      <c r="D131" s="26">
        <v>69</v>
      </c>
      <c r="F131" s="2">
        <v>227005241.70228952</v>
      </c>
      <c r="G131" s="18">
        <f t="shared" ref="G131:R131" si="64">INDEX(Alloc,($D131),(G$1))*$F131</f>
        <v>126835047.22057244</v>
      </c>
      <c r="H131" s="18">
        <f t="shared" si="64"/>
        <v>28739210.863726929</v>
      </c>
      <c r="I131" s="18">
        <f t="shared" si="64"/>
        <v>27099684.624397729</v>
      </c>
      <c r="J131" s="18">
        <f t="shared" si="64"/>
        <v>16231939.872839363</v>
      </c>
      <c r="K131" s="18">
        <f t="shared" si="64"/>
        <v>11061375.355495628</v>
      </c>
      <c r="L131" s="18">
        <f t="shared" si="64"/>
        <v>65461.766163256769</v>
      </c>
      <c r="M131" s="18">
        <f t="shared" si="64"/>
        <v>1500421.3828448493</v>
      </c>
      <c r="N131" s="18">
        <f t="shared" si="64"/>
        <v>5701120.6834389931</v>
      </c>
      <c r="O131" s="18">
        <f t="shared" si="64"/>
        <v>4545030.3642152911</v>
      </c>
      <c r="P131" s="18">
        <f t="shared" si="64"/>
        <v>2619529.7996584419</v>
      </c>
      <c r="Q131" s="18">
        <f t="shared" si="64"/>
        <v>2531771.2942616423</v>
      </c>
      <c r="R131" s="18">
        <f t="shared" si="64"/>
        <v>74648.474674925455</v>
      </c>
      <c r="U131" s="21">
        <f t="shared" si="47"/>
        <v>0</v>
      </c>
    </row>
    <row r="132" spans="1:21">
      <c r="B132" s="1" t="s">
        <v>8</v>
      </c>
      <c r="F132" s="3">
        <f>SUM(F131)</f>
        <v>227005241.70228952</v>
      </c>
      <c r="G132" s="3">
        <f t="shared" ref="G132:S132" si="65">SUM(G131)</f>
        <v>126835047.22057244</v>
      </c>
      <c r="H132" s="3">
        <f t="shared" si="65"/>
        <v>28739210.863726929</v>
      </c>
      <c r="I132" s="3">
        <f t="shared" si="65"/>
        <v>27099684.624397729</v>
      </c>
      <c r="J132" s="3">
        <f t="shared" si="65"/>
        <v>16231939.872839363</v>
      </c>
      <c r="K132" s="3">
        <f t="shared" si="65"/>
        <v>11061375.355495628</v>
      </c>
      <c r="L132" s="3">
        <f t="shared" ref="L132:M132" si="66">SUM(L131)</f>
        <v>65461.766163256769</v>
      </c>
      <c r="M132" s="3">
        <f t="shared" si="66"/>
        <v>1500421.3828448493</v>
      </c>
      <c r="N132" s="3">
        <f t="shared" si="65"/>
        <v>5701120.6834389931</v>
      </c>
      <c r="O132" s="3">
        <f t="shared" si="65"/>
        <v>4545030.3642152911</v>
      </c>
      <c r="P132" s="3">
        <f t="shared" si="65"/>
        <v>2619529.7996584419</v>
      </c>
      <c r="Q132" s="3">
        <f t="shared" si="65"/>
        <v>2531771.2942616423</v>
      </c>
      <c r="R132" s="3">
        <f t="shared" si="65"/>
        <v>74648.474674925455</v>
      </c>
      <c r="S132" s="3">
        <f t="shared" si="65"/>
        <v>0</v>
      </c>
      <c r="U132" s="21">
        <f t="shared" si="47"/>
        <v>0</v>
      </c>
    </row>
    <row r="133" spans="1:21">
      <c r="U133" s="21">
        <f t="shared" si="47"/>
        <v>0</v>
      </c>
    </row>
    <row r="134" spans="1:21">
      <c r="B134" s="1" t="s">
        <v>103</v>
      </c>
      <c r="U134" s="21">
        <f t="shared" si="47"/>
        <v>0</v>
      </c>
    </row>
    <row r="135" spans="1:21">
      <c r="A135">
        <v>182.01</v>
      </c>
      <c r="B135" t="s">
        <v>104</v>
      </c>
      <c r="D135" s="26">
        <v>73</v>
      </c>
      <c r="F135" s="2">
        <v>232176604.58413422</v>
      </c>
      <c r="G135" s="18">
        <f t="shared" ref="G135:R154" si="67">INDEX(Alloc,($D135),(G$1))*$F135</f>
        <v>116695444.1130546</v>
      </c>
      <c r="H135" s="18">
        <f t="shared" si="67"/>
        <v>30796369.185248729</v>
      </c>
      <c r="I135" s="18">
        <f t="shared" si="67"/>
        <v>32020636.421220873</v>
      </c>
      <c r="J135" s="18">
        <f t="shared" si="67"/>
        <v>21634680.368358791</v>
      </c>
      <c r="K135" s="18">
        <f t="shared" si="67"/>
        <v>14123070.6802483</v>
      </c>
      <c r="L135" s="18">
        <f t="shared" si="67"/>
        <v>59205.034168954218</v>
      </c>
      <c r="M135" s="18">
        <f t="shared" si="67"/>
        <v>1246324.0134076325</v>
      </c>
      <c r="N135" s="18">
        <f t="shared" si="67"/>
        <v>7631644.9926804909</v>
      </c>
      <c r="O135" s="18">
        <f t="shared" si="67"/>
        <v>6935579.5321372561</v>
      </c>
      <c r="P135" s="18">
        <f t="shared" si="67"/>
        <v>0</v>
      </c>
      <c r="Q135" s="18">
        <f t="shared" si="67"/>
        <v>958889.37693247409</v>
      </c>
      <c r="R135" s="18">
        <f t="shared" si="67"/>
        <v>74760.866676091231</v>
      </c>
      <c r="U135" s="21">
        <f t="shared" si="47"/>
        <v>0</v>
      </c>
    </row>
    <row r="136" spans="1:21">
      <c r="A136">
        <v>182.02</v>
      </c>
      <c r="B136" t="s">
        <v>105</v>
      </c>
      <c r="D136" s="26">
        <v>82</v>
      </c>
      <c r="F136" s="2">
        <v>776259.08333333337</v>
      </c>
      <c r="G136" s="18">
        <f t="shared" si="67"/>
        <v>363551.94133846503</v>
      </c>
      <c r="H136" s="18">
        <f t="shared" si="67"/>
        <v>95942.732713939447</v>
      </c>
      <c r="I136" s="18">
        <f t="shared" si="67"/>
        <v>99756.803895017874</v>
      </c>
      <c r="J136" s="18">
        <f t="shared" si="67"/>
        <v>67400.4894358522</v>
      </c>
      <c r="K136" s="18">
        <f t="shared" si="67"/>
        <v>43998.887895660671</v>
      </c>
      <c r="L136" s="18">
        <f t="shared" si="67"/>
        <v>184.44683314526742</v>
      </c>
      <c r="M136" s="18">
        <f t="shared" si="67"/>
        <v>3882.7866679364524</v>
      </c>
      <c r="N136" s="18">
        <f t="shared" si="67"/>
        <v>23775.55845288212</v>
      </c>
      <c r="O136" s="18">
        <f t="shared" si="67"/>
        <v>21607.04235182521</v>
      </c>
      <c r="P136" s="18">
        <f t="shared" si="67"/>
        <v>52938.169038167231</v>
      </c>
      <c r="Q136" s="18">
        <f t="shared" si="67"/>
        <v>2987.3153760390369</v>
      </c>
      <c r="R136" s="18">
        <f t="shared" si="67"/>
        <v>232.90933440304357</v>
      </c>
      <c r="U136" s="21">
        <f t="shared" si="47"/>
        <v>0</v>
      </c>
    </row>
    <row r="137" spans="1:21">
      <c r="A137">
        <v>182.03</v>
      </c>
      <c r="B137" t="s">
        <v>106</v>
      </c>
      <c r="D137" s="26">
        <v>68</v>
      </c>
      <c r="F137" s="2">
        <v>51386936.710416667</v>
      </c>
      <c r="G137" s="18">
        <f t="shared" si="67"/>
        <v>33472274.415063646</v>
      </c>
      <c r="H137" s="18">
        <f t="shared" si="67"/>
        <v>6240153.6272107381</v>
      </c>
      <c r="I137" s="18">
        <f t="shared" si="67"/>
        <v>4998625.5169647671</v>
      </c>
      <c r="J137" s="18">
        <f t="shared" si="67"/>
        <v>2187756.3924918729</v>
      </c>
      <c r="K137" s="18">
        <f t="shared" si="67"/>
        <v>1695662.5921461163</v>
      </c>
      <c r="L137" s="18">
        <f t="shared" si="67"/>
        <v>18069.078965992485</v>
      </c>
      <c r="M137" s="18">
        <f t="shared" si="67"/>
        <v>450465.92444876686</v>
      </c>
      <c r="N137" s="18">
        <f t="shared" si="67"/>
        <v>757166.67830565991</v>
      </c>
      <c r="O137" s="18">
        <f t="shared" si="67"/>
        <v>323377.80781022221</v>
      </c>
      <c r="P137" s="18">
        <f t="shared" si="67"/>
        <v>107197.7474387416</v>
      </c>
      <c r="Q137" s="18">
        <f t="shared" si="67"/>
        <v>1117974.2487969853</v>
      </c>
      <c r="R137" s="18">
        <f t="shared" si="67"/>
        <v>18212.680773165222</v>
      </c>
      <c r="U137" s="21">
        <f t="shared" si="47"/>
        <v>0</v>
      </c>
    </row>
    <row r="138" spans="1:21">
      <c r="A138">
        <v>282</v>
      </c>
      <c r="B138" t="s">
        <v>107</v>
      </c>
      <c r="D138" s="26">
        <v>73</v>
      </c>
      <c r="F138" s="2">
        <v>-21595894.950353727</v>
      </c>
      <c r="G138" s="18">
        <f t="shared" si="67"/>
        <v>-10854420.740472037</v>
      </c>
      <c r="H138" s="18">
        <f t="shared" si="67"/>
        <v>-2864522.6980048185</v>
      </c>
      <c r="I138" s="18">
        <f t="shared" si="67"/>
        <v>-2978397.8520780345</v>
      </c>
      <c r="J138" s="18">
        <f t="shared" si="67"/>
        <v>-2012348.6832638606</v>
      </c>
      <c r="K138" s="18">
        <f t="shared" si="67"/>
        <v>-1313656.6939350667</v>
      </c>
      <c r="L138" s="18">
        <f t="shared" si="67"/>
        <v>-5506.9532123401996</v>
      </c>
      <c r="M138" s="18">
        <f t="shared" si="67"/>
        <v>-115926.76409349882</v>
      </c>
      <c r="N138" s="18">
        <f t="shared" si="67"/>
        <v>-709857.06701812695</v>
      </c>
      <c r="O138" s="18">
        <f t="shared" si="67"/>
        <v>-645112.5739569664</v>
      </c>
      <c r="P138" s="18">
        <f t="shared" si="67"/>
        <v>0</v>
      </c>
      <c r="Q138" s="18">
        <f t="shared" si="67"/>
        <v>-89191.04614496087</v>
      </c>
      <c r="R138" s="18">
        <f t="shared" si="67"/>
        <v>-6953.8781740139002</v>
      </c>
      <c r="U138" s="21">
        <f t="shared" si="47"/>
        <v>0</v>
      </c>
    </row>
    <row r="139" spans="1:21">
      <c r="A139">
        <v>282.01</v>
      </c>
      <c r="B139" t="s">
        <v>108</v>
      </c>
      <c r="D139" s="26">
        <v>82</v>
      </c>
      <c r="F139" s="2">
        <v>-1584894.1527864772</v>
      </c>
      <c r="G139" s="18">
        <f t="shared" si="67"/>
        <v>-742266.8003925737</v>
      </c>
      <c r="H139" s="18">
        <f t="shared" si="67"/>
        <v>-195887.01677759667</v>
      </c>
      <c r="I139" s="18">
        <f t="shared" si="67"/>
        <v>-203674.23530165598</v>
      </c>
      <c r="J139" s="18">
        <f t="shared" si="67"/>
        <v>-137612.09871209736</v>
      </c>
      <c r="K139" s="18">
        <f t="shared" si="67"/>
        <v>-89832.86849990522</v>
      </c>
      <c r="L139" s="18">
        <f t="shared" si="67"/>
        <v>-376.58652069696745</v>
      </c>
      <c r="M139" s="18">
        <f t="shared" si="67"/>
        <v>-7927.5154631424348</v>
      </c>
      <c r="N139" s="18">
        <f t="shared" si="67"/>
        <v>-48542.740922781653</v>
      </c>
      <c r="O139" s="18">
        <f t="shared" si="67"/>
        <v>-44115.264887293379</v>
      </c>
      <c r="P139" s="18">
        <f t="shared" si="67"/>
        <v>-108084.26770033078</v>
      </c>
      <c r="Q139" s="18">
        <f t="shared" si="67"/>
        <v>-6099.2248254057868</v>
      </c>
      <c r="R139" s="18">
        <f t="shared" si="67"/>
        <v>-475.53278299773933</v>
      </c>
      <c r="U139" s="21">
        <f t="shared" si="47"/>
        <v>0</v>
      </c>
    </row>
    <row r="140" spans="1:21">
      <c r="A140">
        <v>282.02</v>
      </c>
      <c r="B140" t="s">
        <v>109</v>
      </c>
      <c r="D140" s="26">
        <v>75</v>
      </c>
      <c r="F140" s="2">
        <v>-1211715825.9577425</v>
      </c>
      <c r="G140" s="18">
        <f t="shared" si="67"/>
        <v>-674689981.2135216</v>
      </c>
      <c r="H140" s="18">
        <f t="shared" si="67"/>
        <v>-153554473.33993024</v>
      </c>
      <c r="I140" s="18">
        <f t="shared" si="67"/>
        <v>-145586712.86443192</v>
      </c>
      <c r="J140" s="18">
        <f t="shared" si="67"/>
        <v>-87127741.326669693</v>
      </c>
      <c r="K140" s="18">
        <f t="shared" si="67"/>
        <v>-59403846.884980164</v>
      </c>
      <c r="L140" s="18">
        <f t="shared" si="67"/>
        <v>-352570.79011210595</v>
      </c>
      <c r="M140" s="18">
        <f t="shared" si="67"/>
        <v>-8084134.3573924983</v>
      </c>
      <c r="N140" s="18">
        <f t="shared" si="67"/>
        <v>-30596757.389503073</v>
      </c>
      <c r="O140" s="18">
        <f t="shared" si="67"/>
        <v>-24360524.384067681</v>
      </c>
      <c r="P140" s="18">
        <f t="shared" si="67"/>
        <v>-14050313.702107614</v>
      </c>
      <c r="Q140" s="18">
        <f t="shared" si="67"/>
        <v>-13507055.926576506</v>
      </c>
      <c r="R140" s="18">
        <f t="shared" si="67"/>
        <v>-401713.7784491874</v>
      </c>
      <c r="U140" s="21">
        <f t="shared" si="47"/>
        <v>0</v>
      </c>
    </row>
    <row r="141" spans="1:21">
      <c r="A141">
        <v>235</v>
      </c>
      <c r="B141" t="s">
        <v>110</v>
      </c>
      <c r="D141" s="26">
        <v>9</v>
      </c>
      <c r="F141" s="2">
        <v>-19040677.756270085</v>
      </c>
      <c r="G141" s="18">
        <f t="shared" si="67"/>
        <v>-16610348.796423338</v>
      </c>
      <c r="H141" s="18">
        <f t="shared" si="67"/>
        <v>-1460866.4787124703</v>
      </c>
      <c r="I141" s="18">
        <f t="shared" si="67"/>
        <v>-639730.09634541022</v>
      </c>
      <c r="J141" s="18">
        <f t="shared" si="67"/>
        <v>-282350.80818747677</v>
      </c>
      <c r="K141" s="18">
        <f t="shared" si="67"/>
        <v>-23480.247694574198</v>
      </c>
      <c r="L141" s="18">
        <f t="shared" si="67"/>
        <v>0</v>
      </c>
      <c r="M141" s="18">
        <f t="shared" si="67"/>
        <v>0</v>
      </c>
      <c r="N141" s="18">
        <f t="shared" si="67"/>
        <v>-236.10387396380045</v>
      </c>
      <c r="O141" s="18">
        <f t="shared" si="67"/>
        <v>0</v>
      </c>
      <c r="P141" s="18">
        <f t="shared" si="67"/>
        <v>0</v>
      </c>
      <c r="Q141" s="18">
        <f t="shared" si="67"/>
        <v>-23665.225032851478</v>
      </c>
      <c r="R141" s="18">
        <f t="shared" si="67"/>
        <v>0</v>
      </c>
      <c r="U141" s="21">
        <f t="shared" si="47"/>
        <v>0</v>
      </c>
    </row>
    <row r="142" spans="1:21">
      <c r="A142">
        <v>235.01</v>
      </c>
      <c r="B142" t="s">
        <v>111</v>
      </c>
      <c r="D142" s="26">
        <v>82</v>
      </c>
      <c r="F142" s="2">
        <v>-5962277.1433333335</v>
      </c>
      <c r="G142" s="18">
        <f t="shared" si="67"/>
        <v>-2792363.370421268</v>
      </c>
      <c r="H142" s="18">
        <f t="shared" si="67"/>
        <v>-736915.2575617875</v>
      </c>
      <c r="I142" s="18">
        <f t="shared" si="67"/>
        <v>-766210.30854958424</v>
      </c>
      <c r="J142" s="18">
        <f t="shared" si="67"/>
        <v>-517688.4963293866</v>
      </c>
      <c r="K142" s="18">
        <f t="shared" si="67"/>
        <v>-337945.88593526918</v>
      </c>
      <c r="L142" s="18">
        <f t="shared" si="67"/>
        <v>-1416.6959988409089</v>
      </c>
      <c r="M142" s="18">
        <f t="shared" si="67"/>
        <v>-29822.83969324705</v>
      </c>
      <c r="N142" s="18">
        <f t="shared" si="67"/>
        <v>-182614.89208588502</v>
      </c>
      <c r="O142" s="18">
        <f t="shared" si="67"/>
        <v>-165958.99167598286</v>
      </c>
      <c r="P142" s="18">
        <f t="shared" si="67"/>
        <v>-406606.55964349641</v>
      </c>
      <c r="Q142" s="18">
        <f t="shared" si="67"/>
        <v>-22944.919510639033</v>
      </c>
      <c r="R142" s="18">
        <f t="shared" si="67"/>
        <v>-1788.9259279481282</v>
      </c>
      <c r="U142" s="21">
        <f t="shared" si="47"/>
        <v>0</v>
      </c>
    </row>
    <row r="143" spans="1:21">
      <c r="A143">
        <v>252</v>
      </c>
      <c r="B143" t="s">
        <v>112</v>
      </c>
      <c r="D143" s="26">
        <v>10</v>
      </c>
      <c r="F143" s="2">
        <v>-54720677.887500003</v>
      </c>
      <c r="G143" s="18">
        <f t="shared" si="67"/>
        <v>-21173102.935833331</v>
      </c>
      <c r="H143" s="18">
        <f t="shared" si="67"/>
        <v>-31313866.958082631</v>
      </c>
      <c r="I143" s="18">
        <f t="shared" si="67"/>
        <v>-2025260.4454428731</v>
      </c>
      <c r="J143" s="18">
        <f t="shared" si="67"/>
        <v>-208447.54814116366</v>
      </c>
      <c r="K143" s="18">
        <f t="shared" si="67"/>
        <v>0</v>
      </c>
      <c r="L143" s="18">
        <f t="shared" si="67"/>
        <v>0</v>
      </c>
      <c r="M143" s="18">
        <f t="shared" si="67"/>
        <v>0</v>
      </c>
      <c r="N143" s="18">
        <f t="shared" si="67"/>
        <v>0</v>
      </c>
      <c r="O143" s="18">
        <f t="shared" si="67"/>
        <v>0</v>
      </c>
      <c r="P143" s="18">
        <f t="shared" si="67"/>
        <v>0</v>
      </c>
      <c r="Q143" s="18">
        <f t="shared" si="67"/>
        <v>0</v>
      </c>
      <c r="R143" s="18">
        <f t="shared" si="67"/>
        <v>0</v>
      </c>
      <c r="U143" s="21">
        <f t="shared" ref="U143:U186" si="68">SUM(G143:R143)-F143</f>
        <v>0</v>
      </c>
    </row>
    <row r="144" spans="1:21">
      <c r="A144">
        <v>253</v>
      </c>
      <c r="B144" t="s">
        <v>113</v>
      </c>
      <c r="D144" s="26">
        <v>78</v>
      </c>
      <c r="F144" s="2">
        <v>-6362920.1743808333</v>
      </c>
      <c r="G144" s="18">
        <f t="shared" si="67"/>
        <v>-3797683.5639220462</v>
      </c>
      <c r="H144" s="18">
        <f t="shared" si="67"/>
        <v>-789705.50835959474</v>
      </c>
      <c r="I144" s="18">
        <f t="shared" si="67"/>
        <v>-670223.96421234205</v>
      </c>
      <c r="J144" s="18">
        <f t="shared" si="67"/>
        <v>-397703.63220467436</v>
      </c>
      <c r="K144" s="18">
        <f t="shared" si="67"/>
        <v>-271078.24296650547</v>
      </c>
      <c r="L144" s="18">
        <f t="shared" si="67"/>
        <v>-1619.5763294367221</v>
      </c>
      <c r="M144" s="18">
        <f t="shared" si="67"/>
        <v>-37318.200448433832</v>
      </c>
      <c r="N144" s="18">
        <f t="shared" si="67"/>
        <v>-139950.78625199315</v>
      </c>
      <c r="O144" s="18">
        <f t="shared" si="67"/>
        <v>-110738.57550845086</v>
      </c>
      <c r="P144" s="18">
        <f t="shared" si="67"/>
        <v>-66989.432474182642</v>
      </c>
      <c r="Q144" s="18">
        <f t="shared" si="67"/>
        <v>-78063.71548738092</v>
      </c>
      <c r="R144" s="18">
        <f t="shared" si="67"/>
        <v>-1844.9762157944936</v>
      </c>
      <c r="U144" s="21">
        <f t="shared" si="68"/>
        <v>0</v>
      </c>
    </row>
    <row r="145" spans="1:21">
      <c r="A145">
        <v>114.01</v>
      </c>
      <c r="B145" t="s">
        <v>114</v>
      </c>
      <c r="D145" s="26">
        <v>73</v>
      </c>
      <c r="F145" s="2">
        <v>274406870.52357036</v>
      </c>
      <c r="G145" s="18">
        <f t="shared" si="67"/>
        <v>137921009.22820428</v>
      </c>
      <c r="H145" s="18">
        <f t="shared" si="67"/>
        <v>36397876.119987413</v>
      </c>
      <c r="I145" s="18">
        <f t="shared" si="67"/>
        <v>37844823.548258208</v>
      </c>
      <c r="J145" s="18">
        <f t="shared" si="67"/>
        <v>25569781.00912733</v>
      </c>
      <c r="K145" s="18">
        <f t="shared" si="67"/>
        <v>16691895.52707826</v>
      </c>
      <c r="L145" s="18">
        <f t="shared" si="67"/>
        <v>69973.751983510432</v>
      </c>
      <c r="M145" s="18">
        <f t="shared" si="67"/>
        <v>1473016.0809705257</v>
      </c>
      <c r="N145" s="18">
        <f t="shared" si="67"/>
        <v>9019753.8341097571</v>
      </c>
      <c r="O145" s="18">
        <f t="shared" si="67"/>
        <v>8197082.0362800928</v>
      </c>
      <c r="P145" s="18">
        <f t="shared" si="67"/>
        <v>0</v>
      </c>
      <c r="Q145" s="18">
        <f t="shared" si="67"/>
        <v>1133300.3752623454</v>
      </c>
      <c r="R145" s="18">
        <f t="shared" si="67"/>
        <v>88359.012308589663</v>
      </c>
      <c r="U145" s="21">
        <f t="shared" si="68"/>
        <v>0</v>
      </c>
    </row>
    <row r="146" spans="1:21">
      <c r="A146">
        <v>114.02</v>
      </c>
      <c r="B146" t="s">
        <v>115</v>
      </c>
      <c r="D146" s="26">
        <v>82</v>
      </c>
      <c r="F146" s="2">
        <v>946172.25</v>
      </c>
      <c r="G146" s="18">
        <f t="shared" si="67"/>
        <v>443128.80288754549</v>
      </c>
      <c r="H146" s="18">
        <f t="shared" si="67"/>
        <v>116943.36753302191</v>
      </c>
      <c r="I146" s="18">
        <f t="shared" si="67"/>
        <v>121592.29002364802</v>
      </c>
      <c r="J146" s="18">
        <f t="shared" si="67"/>
        <v>82153.592930309023</v>
      </c>
      <c r="K146" s="18">
        <f t="shared" si="67"/>
        <v>53629.680671779606</v>
      </c>
      <c r="L146" s="18">
        <f t="shared" si="67"/>
        <v>224.81988149244276</v>
      </c>
      <c r="M146" s="18">
        <f t="shared" si="67"/>
        <v>4732.6789170644415</v>
      </c>
      <c r="N146" s="18">
        <f t="shared" si="67"/>
        <v>28979.723547672918</v>
      </c>
      <c r="O146" s="18">
        <f t="shared" si="67"/>
        <v>26336.547058597058</v>
      </c>
      <c r="P146" s="18">
        <f t="shared" si="67"/>
        <v>64525.655911989466</v>
      </c>
      <c r="Q146" s="18">
        <f t="shared" si="67"/>
        <v>3641.2004335834845</v>
      </c>
      <c r="R146" s="18">
        <f t="shared" si="67"/>
        <v>283.89020329633951</v>
      </c>
      <c r="U146" s="21">
        <f t="shared" si="68"/>
        <v>0</v>
      </c>
    </row>
    <row r="147" spans="1:21">
      <c r="A147">
        <v>114.03</v>
      </c>
      <c r="B147" t="s">
        <v>116</v>
      </c>
      <c r="D147" s="26">
        <v>68</v>
      </c>
      <c r="F147" s="2">
        <v>302358.00999999995</v>
      </c>
      <c r="G147" s="18">
        <f t="shared" si="67"/>
        <v>196949.08726211352</v>
      </c>
      <c r="H147" s="18">
        <f t="shared" si="67"/>
        <v>36716.732959784589</v>
      </c>
      <c r="I147" s="18">
        <f t="shared" si="67"/>
        <v>29411.647410738078</v>
      </c>
      <c r="J147" s="18">
        <f t="shared" si="67"/>
        <v>12872.64257307892</v>
      </c>
      <c r="K147" s="18">
        <f t="shared" si="67"/>
        <v>9977.1887528919815</v>
      </c>
      <c r="L147" s="18">
        <f t="shared" si="67"/>
        <v>106.31750223754572</v>
      </c>
      <c r="M147" s="18">
        <f t="shared" si="67"/>
        <v>2650.5176063847744</v>
      </c>
      <c r="N147" s="18">
        <f t="shared" si="67"/>
        <v>4455.1285744262295</v>
      </c>
      <c r="O147" s="18">
        <f t="shared" si="67"/>
        <v>1902.737868938606</v>
      </c>
      <c r="P147" s="18">
        <f t="shared" si="67"/>
        <v>630.74586007556729</v>
      </c>
      <c r="Q147" s="18">
        <f t="shared" si="67"/>
        <v>6578.1011816759919</v>
      </c>
      <c r="R147" s="18">
        <f t="shared" si="67"/>
        <v>107.16244765419577</v>
      </c>
      <c r="U147" s="21">
        <f t="shared" si="68"/>
        <v>0</v>
      </c>
    </row>
    <row r="148" spans="1:21">
      <c r="A148">
        <v>115.01</v>
      </c>
      <c r="B148" t="s">
        <v>117</v>
      </c>
      <c r="D148" s="26">
        <v>73</v>
      </c>
      <c r="F148" s="2">
        <v>-110171960.3233543</v>
      </c>
      <c r="G148" s="18">
        <f t="shared" si="67"/>
        <v>-55374079.837922715</v>
      </c>
      <c r="H148" s="18">
        <f t="shared" si="67"/>
        <v>-14613429.16121036</v>
      </c>
      <c r="I148" s="18">
        <f t="shared" si="67"/>
        <v>-15194365.90799541</v>
      </c>
      <c r="J148" s="18">
        <f t="shared" si="67"/>
        <v>-10266043.606850799</v>
      </c>
      <c r="K148" s="18">
        <f t="shared" si="67"/>
        <v>-6701650.1745093185</v>
      </c>
      <c r="L148" s="18">
        <f t="shared" si="67"/>
        <v>-28093.849882455343</v>
      </c>
      <c r="M148" s="18">
        <f t="shared" si="67"/>
        <v>-591403.08301576599</v>
      </c>
      <c r="N148" s="18">
        <f t="shared" si="67"/>
        <v>-3621352.3358286554</v>
      </c>
      <c r="O148" s="18">
        <f t="shared" si="67"/>
        <v>-3291056.7987792394</v>
      </c>
      <c r="P148" s="18">
        <f t="shared" si="67"/>
        <v>0</v>
      </c>
      <c r="Q148" s="18">
        <f t="shared" si="67"/>
        <v>-455010.19613545318</v>
      </c>
      <c r="R148" s="18">
        <f t="shared" si="67"/>
        <v>-35475.371224120085</v>
      </c>
      <c r="U148" s="21">
        <f t="shared" si="68"/>
        <v>0</v>
      </c>
    </row>
    <row r="149" spans="1:21">
      <c r="A149">
        <v>115.02</v>
      </c>
      <c r="B149" t="s">
        <v>118</v>
      </c>
      <c r="D149" s="26">
        <v>82</v>
      </c>
      <c r="F149" s="2">
        <v>-880239</v>
      </c>
      <c r="G149" s="18">
        <f t="shared" si="67"/>
        <v>-412249.72971351695</v>
      </c>
      <c r="H149" s="18">
        <f t="shared" si="67"/>
        <v>-108794.26330026027</v>
      </c>
      <c r="I149" s="18">
        <f t="shared" si="67"/>
        <v>-113119.22937723645</v>
      </c>
      <c r="J149" s="18">
        <f t="shared" si="67"/>
        <v>-76428.786077146404</v>
      </c>
      <c r="K149" s="18">
        <f t="shared" si="67"/>
        <v>-49892.539635194975</v>
      </c>
      <c r="L149" s="18">
        <f t="shared" si="67"/>
        <v>-209.15348940430911</v>
      </c>
      <c r="M149" s="18">
        <f t="shared" si="67"/>
        <v>-4402.886004401299</v>
      </c>
      <c r="N149" s="18">
        <f t="shared" si="67"/>
        <v>-26960.294889096633</v>
      </c>
      <c r="O149" s="18">
        <f t="shared" si="67"/>
        <v>-24501.306021511849</v>
      </c>
      <c r="P149" s="18">
        <f t="shared" si="67"/>
        <v>-60029.237630160569</v>
      </c>
      <c r="Q149" s="18">
        <f t="shared" si="67"/>
        <v>-3387.4663185874379</v>
      </c>
      <c r="R149" s="18">
        <f t="shared" si="67"/>
        <v>-264.10754348308842</v>
      </c>
      <c r="U149" s="21">
        <f t="shared" si="68"/>
        <v>0</v>
      </c>
    </row>
    <row r="150" spans="1:21">
      <c r="A150">
        <v>115.03</v>
      </c>
      <c r="B150" t="s">
        <v>119</v>
      </c>
      <c r="D150" s="26">
        <v>68</v>
      </c>
      <c r="F150" s="2">
        <v>-302358.00999999995</v>
      </c>
      <c r="G150" s="18">
        <f t="shared" si="67"/>
        <v>-196949.08726211352</v>
      </c>
      <c r="H150" s="18">
        <f t="shared" si="67"/>
        <v>-36716.732959784589</v>
      </c>
      <c r="I150" s="18">
        <f t="shared" si="67"/>
        <v>-29411.647410738078</v>
      </c>
      <c r="J150" s="18">
        <f t="shared" si="67"/>
        <v>-12872.64257307892</v>
      </c>
      <c r="K150" s="18">
        <f t="shared" si="67"/>
        <v>-9977.1887528919815</v>
      </c>
      <c r="L150" s="18">
        <f t="shared" si="67"/>
        <v>-106.31750223754572</v>
      </c>
      <c r="M150" s="18">
        <f t="shared" si="67"/>
        <v>-2650.5176063847744</v>
      </c>
      <c r="N150" s="18">
        <f t="shared" si="67"/>
        <v>-4455.1285744262295</v>
      </c>
      <c r="O150" s="18">
        <f t="shared" si="67"/>
        <v>-1902.737868938606</v>
      </c>
      <c r="P150" s="18">
        <f t="shared" si="67"/>
        <v>-630.74586007556729</v>
      </c>
      <c r="Q150" s="18">
        <f t="shared" si="67"/>
        <v>-6578.1011816759919</v>
      </c>
      <c r="R150" s="18">
        <f t="shared" si="67"/>
        <v>-107.16244765419577</v>
      </c>
      <c r="U150" s="21">
        <f t="shared" si="68"/>
        <v>0</v>
      </c>
    </row>
    <row r="151" spans="1:21">
      <c r="A151">
        <v>230</v>
      </c>
      <c r="B151" t="s">
        <v>120</v>
      </c>
      <c r="D151" s="26">
        <v>73</v>
      </c>
      <c r="F151" s="2">
        <v>-66549569.550243177</v>
      </c>
      <c r="G151" s="18">
        <f t="shared" si="67"/>
        <v>-33448811.899495468</v>
      </c>
      <c r="H151" s="18">
        <f t="shared" si="67"/>
        <v>-8827268.0042833537</v>
      </c>
      <c r="I151" s="18">
        <f t="shared" si="67"/>
        <v>-9178183.884521788</v>
      </c>
      <c r="J151" s="18">
        <f t="shared" si="67"/>
        <v>-6201221.9898307584</v>
      </c>
      <c r="K151" s="18">
        <f t="shared" si="67"/>
        <v>-4048143.7661717418</v>
      </c>
      <c r="L151" s="18">
        <f t="shared" si="67"/>
        <v>-16970.140235312007</v>
      </c>
      <c r="M151" s="18">
        <f t="shared" si="67"/>
        <v>-357238.0893457054</v>
      </c>
      <c r="N151" s="18">
        <f t="shared" si="67"/>
        <v>-2187484.3511164929</v>
      </c>
      <c r="O151" s="18">
        <f t="shared" si="67"/>
        <v>-1987968.7416048639</v>
      </c>
      <c r="P151" s="18">
        <f t="shared" si="67"/>
        <v>0</v>
      </c>
      <c r="Q151" s="18">
        <f t="shared" si="67"/>
        <v>-274849.72224250424</v>
      </c>
      <c r="R151" s="18">
        <f t="shared" si="67"/>
        <v>-21428.961395178303</v>
      </c>
      <c r="U151" s="21">
        <f t="shared" si="68"/>
        <v>0</v>
      </c>
    </row>
    <row r="152" spans="1:21">
      <c r="A152">
        <v>230.01</v>
      </c>
      <c r="B152" t="s">
        <v>121</v>
      </c>
      <c r="D152" s="26">
        <v>82</v>
      </c>
      <c r="F152" s="2">
        <v>-6071941.4970833324</v>
      </c>
      <c r="G152" s="18">
        <f t="shared" si="67"/>
        <v>-2843723.3989960579</v>
      </c>
      <c r="H152" s="18">
        <f t="shared" si="67"/>
        <v>-750469.36340864305</v>
      </c>
      <c r="I152" s="18">
        <f t="shared" si="67"/>
        <v>-780303.23920404573</v>
      </c>
      <c r="J152" s="18">
        <f t="shared" si="67"/>
        <v>-527210.35736150073</v>
      </c>
      <c r="K152" s="18">
        <f t="shared" si="67"/>
        <v>-344161.73539892607</v>
      </c>
      <c r="L152" s="18">
        <f t="shared" si="67"/>
        <v>-1442.7533335535049</v>
      </c>
      <c r="M152" s="18">
        <f t="shared" si="67"/>
        <v>-30371.372135353777</v>
      </c>
      <c r="N152" s="18">
        <f t="shared" si="67"/>
        <v>-185973.73362315181</v>
      </c>
      <c r="O152" s="18">
        <f t="shared" si="67"/>
        <v>-169011.48070553059</v>
      </c>
      <c r="P152" s="18">
        <f t="shared" si="67"/>
        <v>-414085.28706958937</v>
      </c>
      <c r="Q152" s="18">
        <f t="shared" si="67"/>
        <v>-23366.946147356764</v>
      </c>
      <c r="R152" s="18">
        <f t="shared" si="67"/>
        <v>-1821.829699624426</v>
      </c>
      <c r="U152" s="21">
        <f t="shared" si="68"/>
        <v>0</v>
      </c>
    </row>
    <row r="153" spans="1:21">
      <c r="A153">
        <v>230.02</v>
      </c>
      <c r="B153" t="s">
        <v>122</v>
      </c>
      <c r="D153" s="26">
        <v>68</v>
      </c>
      <c r="F153" s="2">
        <v>-8827087.1591666676</v>
      </c>
      <c r="G153" s="18">
        <f>INDEX(Alloc,($D153),(G$1))*$F153</f>
        <v>-5749762.5387235414</v>
      </c>
      <c r="H153" s="18">
        <f t="shared" si="67"/>
        <v>-1071914.0598784406</v>
      </c>
      <c r="I153" s="18">
        <f t="shared" si="67"/>
        <v>-858648.24678950524</v>
      </c>
      <c r="J153" s="18">
        <f t="shared" si="67"/>
        <v>-375805.94594258349</v>
      </c>
      <c r="K153" s="18">
        <f t="shared" si="67"/>
        <v>-291275.61305630673</v>
      </c>
      <c r="L153" s="18">
        <f t="shared" si="67"/>
        <v>-3103.8498328379442</v>
      </c>
      <c r="M153" s="18">
        <f t="shared" si="67"/>
        <v>-77379.626650090126</v>
      </c>
      <c r="N153" s="18">
        <f t="shared" si="67"/>
        <v>-130063.72224686317</v>
      </c>
      <c r="O153" s="18">
        <f t="shared" si="67"/>
        <v>-55548.827729644472</v>
      </c>
      <c r="P153" s="18">
        <f t="shared" si="67"/>
        <v>-18414.093551451064</v>
      </c>
      <c r="Q153" s="18">
        <f t="shared" si="67"/>
        <v>-192042.11746356988</v>
      </c>
      <c r="R153" s="18">
        <f t="shared" si="67"/>
        <v>-3128.5173018344108</v>
      </c>
      <c r="U153" s="21">
        <f t="shared" si="68"/>
        <v>0</v>
      </c>
    </row>
    <row r="154" spans="1:21">
      <c r="A154">
        <v>230.03</v>
      </c>
      <c r="B154" t="s">
        <v>123</v>
      </c>
      <c r="D154" s="26">
        <v>70</v>
      </c>
      <c r="F154" s="2">
        <v>-1037096.4044746666</v>
      </c>
      <c r="G154" s="18">
        <f t="shared" si="67"/>
        <v>-616178.87512994383</v>
      </c>
      <c r="H154" s="18">
        <f t="shared" si="67"/>
        <v>-128897.88010076454</v>
      </c>
      <c r="I154" s="18">
        <f t="shared" si="67"/>
        <v>-110296.99488043103</v>
      </c>
      <c r="J154" s="18">
        <f t="shared" si="67"/>
        <v>-65467.017985368147</v>
      </c>
      <c r="K154" s="18">
        <f t="shared" si="67"/>
        <v>-44630.743296354827</v>
      </c>
      <c r="L154" s="18">
        <f t="shared" si="67"/>
        <v>-266.77580853192268</v>
      </c>
      <c r="M154" s="18">
        <f t="shared" si="67"/>
        <v>-6145.8040144198221</v>
      </c>
      <c r="N154" s="18">
        <f t="shared" si="67"/>
        <v>-23033.457955767499</v>
      </c>
      <c r="O154" s="18">
        <f t="shared" si="67"/>
        <v>-18225.367985748966</v>
      </c>
      <c r="P154" s="18">
        <f t="shared" si="67"/>
        <v>-10990.901177268639</v>
      </c>
      <c r="Q154" s="18">
        <f t="shared" si="67"/>
        <v>-12658.757560479891</v>
      </c>
      <c r="R154" s="18">
        <f t="shared" si="67"/>
        <v>-303.82857958759251</v>
      </c>
      <c r="U154" s="21">
        <f t="shared" si="68"/>
        <v>0</v>
      </c>
    </row>
    <row r="155" spans="1:21">
      <c r="B155" s="1" t="s">
        <v>8</v>
      </c>
      <c r="F155" s="3">
        <f>SUM(F135:F154)</f>
        <v>-954828218.80523431</v>
      </c>
      <c r="G155" s="3">
        <f t="shared" ref="G155:S155" si="69">SUM(G135:G154)</f>
        <v>-540209565.20041895</v>
      </c>
      <c r="H155" s="3">
        <f t="shared" si="69"/>
        <v>-142769724.95691708</v>
      </c>
      <c r="I155" s="3">
        <f t="shared" si="69"/>
        <v>-104019692.68876773</v>
      </c>
      <c r="J155" s="3">
        <f t="shared" si="69"/>
        <v>-58654298.445212364</v>
      </c>
      <c r="K155" s="3">
        <f t="shared" si="69"/>
        <v>-40311338.028039202</v>
      </c>
      <c r="L155" s="3">
        <f t="shared" ref="L155:M155" si="70">SUM(L135:L154)</f>
        <v>-263919.99292242085</v>
      </c>
      <c r="M155" s="3">
        <f t="shared" si="70"/>
        <v>-6163649.0538446326</v>
      </c>
      <c r="N155" s="3">
        <f t="shared" si="69"/>
        <v>-20391506.088219386</v>
      </c>
      <c r="O155" s="3">
        <f t="shared" si="69"/>
        <v>-15368779.347284924</v>
      </c>
      <c r="P155" s="3">
        <f t="shared" si="69"/>
        <v>-14910851.908965195</v>
      </c>
      <c r="Q155" s="3">
        <f t="shared" si="69"/>
        <v>-11471542.746644268</v>
      </c>
      <c r="R155" s="3">
        <f t="shared" si="69"/>
        <v>-293350.34799822402</v>
      </c>
      <c r="S155" s="3">
        <f t="shared" si="69"/>
        <v>0</v>
      </c>
      <c r="U155" s="21">
        <f t="shared" si="68"/>
        <v>0</v>
      </c>
    </row>
    <row r="156" spans="1:21">
      <c r="U156" s="21">
        <f t="shared" si="68"/>
        <v>0</v>
      </c>
    </row>
    <row r="157" spans="1:21">
      <c r="B157" s="1" t="s">
        <v>124</v>
      </c>
      <c r="F157" s="3">
        <f>SUM(F129,F132,F155)</f>
        <v>-727822977.10294485</v>
      </c>
      <c r="G157" s="3">
        <f t="shared" ref="G157:R157" si="71">SUM(G129,G132,G155)</f>
        <v>-413374517.97984648</v>
      </c>
      <c r="H157" s="3">
        <f t="shared" si="71"/>
        <v>-114030514.09319015</v>
      </c>
      <c r="I157" s="3">
        <f t="shared" si="71"/>
        <v>-76920008.064370006</v>
      </c>
      <c r="J157" s="3">
        <f t="shared" si="71"/>
        <v>-42422358.572373003</v>
      </c>
      <c r="K157" s="3">
        <f t="shared" si="71"/>
        <v>-29249962.672543574</v>
      </c>
      <c r="L157" s="3">
        <f t="shared" ref="L157:M157" si="72">SUM(L129,L132,L155)</f>
        <v>-198458.22675916407</v>
      </c>
      <c r="M157" s="3">
        <f t="shared" si="72"/>
        <v>-4663227.6709997831</v>
      </c>
      <c r="N157" s="3">
        <f t="shared" si="71"/>
        <v>-14690385.404780392</v>
      </c>
      <c r="O157" s="3">
        <f t="shared" si="71"/>
        <v>-10823748.983069632</v>
      </c>
      <c r="P157" s="3">
        <f t="shared" si="71"/>
        <v>-12291322.109306753</v>
      </c>
      <c r="Q157" s="3">
        <f t="shared" si="71"/>
        <v>-8939771.452382626</v>
      </c>
      <c r="R157" s="3">
        <f t="shared" si="71"/>
        <v>-218701.87332329858</v>
      </c>
      <c r="U157" s="21">
        <f t="shared" si="68"/>
        <v>0</v>
      </c>
    </row>
    <row r="158" spans="1:21"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U158" s="21">
        <f t="shared" si="68"/>
        <v>0</v>
      </c>
    </row>
    <row r="159" spans="1:21">
      <c r="A159" s="1" t="s">
        <v>125</v>
      </c>
      <c r="F159" s="3">
        <f>SUM(F74,F125,F157)</f>
        <v>5097747769.9494286</v>
      </c>
      <c r="G159" s="3">
        <f t="shared" ref="G159:R159" si="73">SUM(G74,G125,G157)</f>
        <v>2826034600.1851525</v>
      </c>
      <c r="H159" s="3">
        <f t="shared" si="73"/>
        <v>627394297.43669915</v>
      </c>
      <c r="I159" s="3">
        <f t="shared" si="73"/>
        <v>622061740.07721901</v>
      </c>
      <c r="J159" s="3">
        <f t="shared" si="73"/>
        <v>375205816.08448553</v>
      </c>
      <c r="K159" s="3">
        <f t="shared" si="73"/>
        <v>256898986.37619263</v>
      </c>
      <c r="L159" s="3">
        <f t="shared" ref="L159:M159" si="74">SUM(L74,L125,L157)</f>
        <v>1474796.0673447386</v>
      </c>
      <c r="M159" s="3">
        <f t="shared" si="74"/>
        <v>34494735.457986288</v>
      </c>
      <c r="N159" s="3">
        <f t="shared" si="73"/>
        <v>127444464.36910182</v>
      </c>
      <c r="O159" s="3">
        <f t="shared" si="73"/>
        <v>107795034.72517969</v>
      </c>
      <c r="P159" s="3">
        <f t="shared" si="73"/>
        <v>60855919.302659035</v>
      </c>
      <c r="Q159" s="3">
        <f t="shared" si="73"/>
        <v>56346537.784857169</v>
      </c>
      <c r="R159" s="3">
        <f t="shared" si="73"/>
        <v>1740840.5918795217</v>
      </c>
      <c r="U159" s="21">
        <f t="shared" si="68"/>
        <v>-1.4906721115112305</v>
      </c>
    </row>
    <row r="160" spans="1:21">
      <c r="U160" s="21">
        <f t="shared" si="68"/>
        <v>0</v>
      </c>
    </row>
    <row r="161" spans="21:21">
      <c r="U161" s="21">
        <f t="shared" si="68"/>
        <v>0</v>
      </c>
    </row>
    <row r="162" spans="21:21">
      <c r="U162" s="21">
        <f t="shared" si="68"/>
        <v>0</v>
      </c>
    </row>
    <row r="163" spans="21:21">
      <c r="U163" s="21">
        <f t="shared" si="68"/>
        <v>0</v>
      </c>
    </row>
    <row r="164" spans="21:21">
      <c r="U164" s="21">
        <f t="shared" si="68"/>
        <v>0</v>
      </c>
    </row>
    <row r="165" spans="21:21">
      <c r="U165" s="21">
        <f t="shared" si="68"/>
        <v>0</v>
      </c>
    </row>
    <row r="166" spans="21:21">
      <c r="U166" s="21">
        <f t="shared" si="68"/>
        <v>0</v>
      </c>
    </row>
    <row r="167" spans="21:21">
      <c r="U167" s="21">
        <f t="shared" si="68"/>
        <v>0</v>
      </c>
    </row>
    <row r="168" spans="21:21">
      <c r="U168" s="21">
        <f t="shared" si="68"/>
        <v>0</v>
      </c>
    </row>
    <row r="169" spans="21:21">
      <c r="U169" s="21">
        <f t="shared" si="68"/>
        <v>0</v>
      </c>
    </row>
    <row r="170" spans="21:21">
      <c r="U170" s="21">
        <f t="shared" si="68"/>
        <v>0</v>
      </c>
    </row>
    <row r="171" spans="21:21">
      <c r="U171" s="21">
        <f t="shared" si="68"/>
        <v>0</v>
      </c>
    </row>
    <row r="172" spans="21:21">
      <c r="U172" s="21">
        <f t="shared" si="68"/>
        <v>0</v>
      </c>
    </row>
    <row r="173" spans="21:21">
      <c r="U173" s="21">
        <f t="shared" si="68"/>
        <v>0</v>
      </c>
    </row>
    <row r="174" spans="21:21">
      <c r="U174" s="21">
        <f t="shared" si="68"/>
        <v>0</v>
      </c>
    </row>
    <row r="175" spans="21:21">
      <c r="U175" s="21">
        <f t="shared" si="68"/>
        <v>0</v>
      </c>
    </row>
    <row r="176" spans="21:21">
      <c r="U176" s="21">
        <f t="shared" si="68"/>
        <v>0</v>
      </c>
    </row>
    <row r="177" spans="21:21">
      <c r="U177" s="21">
        <f t="shared" si="68"/>
        <v>0</v>
      </c>
    </row>
    <row r="178" spans="21:21">
      <c r="U178" s="21">
        <f t="shared" si="68"/>
        <v>0</v>
      </c>
    </row>
    <row r="179" spans="21:21">
      <c r="U179" s="21">
        <f t="shared" si="68"/>
        <v>0</v>
      </c>
    </row>
    <row r="180" spans="21:21">
      <c r="U180" s="21">
        <f t="shared" si="68"/>
        <v>0</v>
      </c>
    </row>
    <row r="181" spans="21:21">
      <c r="U181" s="21">
        <f t="shared" si="68"/>
        <v>0</v>
      </c>
    </row>
    <row r="182" spans="21:21">
      <c r="U182" s="21">
        <f t="shared" si="68"/>
        <v>0</v>
      </c>
    </row>
    <row r="183" spans="21:21">
      <c r="U183" s="21">
        <f t="shared" si="68"/>
        <v>0</v>
      </c>
    </row>
    <row r="184" spans="21:21">
      <c r="U184" s="21">
        <f t="shared" si="68"/>
        <v>0</v>
      </c>
    </row>
    <row r="185" spans="21:21">
      <c r="U185" s="21">
        <f t="shared" si="68"/>
        <v>0</v>
      </c>
    </row>
    <row r="186" spans="21:21">
      <c r="U186" s="21">
        <f t="shared" si="68"/>
        <v>0</v>
      </c>
    </row>
  </sheetData>
  <pageMargins left="0.7" right="0.7" top="0.75" bottom="0.75" header="0.3" footer="0.3"/>
  <pageSetup scale="9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58"/>
  <sheetViews>
    <sheetView workbookViewId="0">
      <pane xSplit="5" ySplit="8" topLeftCell="T149" activePane="bottomRight" state="frozen"/>
      <selection pane="topRight" activeCell="F1" sqref="F1"/>
      <selection pane="bottomLeft" activeCell="A9" sqref="A9"/>
      <selection pane="bottomRight" activeCell="U20" sqref="U20"/>
    </sheetView>
  </sheetViews>
  <sheetFormatPr defaultRowHeight="15"/>
  <cols>
    <col min="2" max="2" width="36" bestFit="1" customWidth="1"/>
    <col min="3" max="3" width="17.5703125" bestFit="1" customWidth="1"/>
    <col min="4" max="5" width="17.5703125" customWidth="1"/>
    <col min="6" max="6" width="17.5703125" style="2" customWidth="1"/>
    <col min="7" max="7" width="14.28515625" bestFit="1" customWidth="1"/>
    <col min="8" max="18" width="13.7109375" customWidth="1"/>
    <col min="20" max="20" width="14.5703125" bestFit="1" customWidth="1"/>
  </cols>
  <sheetData>
    <row r="1" spans="1:37">
      <c r="C1">
        <v>2</v>
      </c>
      <c r="D1">
        <f>C1+1</f>
        <v>3</v>
      </c>
      <c r="F1">
        <v>4</v>
      </c>
      <c r="G1">
        <f t="shared" ref="G1:AG1" si="0">F1+1</f>
        <v>5</v>
      </c>
      <c r="H1">
        <f t="shared" si="0"/>
        <v>6</v>
      </c>
      <c r="I1">
        <f t="shared" si="0"/>
        <v>7</v>
      </c>
      <c r="J1">
        <f t="shared" si="0"/>
        <v>8</v>
      </c>
      <c r="K1">
        <f t="shared" si="0"/>
        <v>9</v>
      </c>
      <c r="L1">
        <f t="shared" ref="L1" si="1">K1+1</f>
        <v>10</v>
      </c>
      <c r="M1">
        <f t="shared" ref="M1" si="2">L1+1</f>
        <v>11</v>
      </c>
      <c r="N1">
        <f t="shared" ref="N1" si="3">M1+1</f>
        <v>12</v>
      </c>
      <c r="O1">
        <f t="shared" ref="O1" si="4">N1+1</f>
        <v>13</v>
      </c>
      <c r="P1">
        <f t="shared" ref="P1" si="5">O1+1</f>
        <v>14</v>
      </c>
      <c r="Q1">
        <f t="shared" ref="Q1" si="6">P1+1</f>
        <v>15</v>
      </c>
      <c r="R1">
        <f t="shared" ref="R1" si="7">Q1+1</f>
        <v>16</v>
      </c>
      <c r="S1">
        <f t="shared" ref="S1" si="8">R1+1</f>
        <v>17</v>
      </c>
      <c r="T1">
        <f t="shared" ref="T1" si="9">S1+1</f>
        <v>18</v>
      </c>
      <c r="U1">
        <f t="shared" ref="U1" si="10">T1+1</f>
        <v>19</v>
      </c>
      <c r="V1">
        <f t="shared" ref="V1" si="11">U1+1</f>
        <v>20</v>
      </c>
      <c r="W1">
        <f t="shared" ref="W1" si="12">V1+1</f>
        <v>21</v>
      </c>
      <c r="X1">
        <f t="shared" ref="X1" si="13">W1+1</f>
        <v>22</v>
      </c>
      <c r="Y1">
        <f t="shared" ref="Y1" si="14">X1+1</f>
        <v>23</v>
      </c>
      <c r="Z1">
        <f t="shared" ref="Z1" si="15">Y1+1</f>
        <v>24</v>
      </c>
      <c r="AA1">
        <f t="shared" ref="AA1" si="16">Z1+1</f>
        <v>25</v>
      </c>
      <c r="AB1">
        <f t="shared" ref="AB1" si="17">AA1+1</f>
        <v>26</v>
      </c>
      <c r="AC1">
        <f t="shared" ref="AC1" si="18">AB1+1</f>
        <v>27</v>
      </c>
      <c r="AD1">
        <f t="shared" ref="AD1" si="19">AC1+1</f>
        <v>28</v>
      </c>
      <c r="AE1">
        <f t="shared" ref="AE1" si="20">AD1+1</f>
        <v>29</v>
      </c>
      <c r="AF1">
        <f t="shared" ref="AF1" si="21">AE1+1</f>
        <v>30</v>
      </c>
      <c r="AG1">
        <f t="shared" ref="AG1" si="22">AF1+1</f>
        <v>31</v>
      </c>
      <c r="AH1">
        <f t="shared" ref="AH1" si="23">AG1+1</f>
        <v>32</v>
      </c>
      <c r="AI1">
        <f t="shared" ref="AI1" si="24">AH1+1</f>
        <v>33</v>
      </c>
      <c r="AJ1">
        <f t="shared" ref="AJ1" si="25">AI1+1</f>
        <v>34</v>
      </c>
      <c r="AK1">
        <f t="shared" ref="AK1" si="26">AJ1+1</f>
        <v>35</v>
      </c>
    </row>
    <row r="7" spans="1:37" ht="51.75">
      <c r="C7" t="s">
        <v>435</v>
      </c>
      <c r="D7" t="s">
        <v>432</v>
      </c>
      <c r="G7" s="4" t="s">
        <v>293</v>
      </c>
      <c r="H7" s="4" t="s">
        <v>294</v>
      </c>
      <c r="I7" s="4" t="s">
        <v>295</v>
      </c>
      <c r="J7" s="4" t="s">
        <v>296</v>
      </c>
      <c r="K7" s="4" t="s">
        <v>554</v>
      </c>
      <c r="L7" s="4">
        <v>35</v>
      </c>
      <c r="M7" s="4">
        <v>43</v>
      </c>
      <c r="N7" s="4" t="s">
        <v>297</v>
      </c>
      <c r="O7" s="4" t="s">
        <v>298</v>
      </c>
      <c r="P7" s="4" t="s">
        <v>301</v>
      </c>
      <c r="Q7" s="4" t="s">
        <v>299</v>
      </c>
      <c r="R7" s="4" t="s">
        <v>300</v>
      </c>
      <c r="T7" s="4" t="s">
        <v>488</v>
      </c>
    </row>
    <row r="8" spans="1:37">
      <c r="B8" s="1" t="s">
        <v>0</v>
      </c>
      <c r="C8" s="1" t="s">
        <v>292</v>
      </c>
      <c r="D8" s="1" t="s">
        <v>433</v>
      </c>
      <c r="E8" s="1"/>
      <c r="F8" s="3" t="s">
        <v>1</v>
      </c>
    </row>
    <row r="9" spans="1:37">
      <c r="A9" s="1" t="s">
        <v>126</v>
      </c>
    </row>
    <row r="11" spans="1:37">
      <c r="A11" s="1" t="s">
        <v>127</v>
      </c>
    </row>
    <row r="13" spans="1:37">
      <c r="B13" t="s">
        <v>128</v>
      </c>
    </row>
    <row r="14" spans="1:37">
      <c r="A14" t="s">
        <v>129</v>
      </c>
      <c r="B14" t="s">
        <v>130</v>
      </c>
      <c r="E14" s="102">
        <v>77830126.592808247</v>
      </c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37">
      <c r="B15" t="s">
        <v>436</v>
      </c>
      <c r="E15" s="23">
        <v>0</v>
      </c>
      <c r="F15" s="2">
        <f>E14*E15</f>
        <v>0</v>
      </c>
      <c r="G15" s="18">
        <f t="shared" ref="G15:R16" si="27">INDEX(Alloc,($D15),(G$1))*$F15</f>
        <v>0</v>
      </c>
      <c r="H15" s="18">
        <f t="shared" si="27"/>
        <v>0</v>
      </c>
      <c r="I15" s="18">
        <f t="shared" si="27"/>
        <v>0</v>
      </c>
      <c r="J15" s="18">
        <f t="shared" si="27"/>
        <v>0</v>
      </c>
      <c r="K15" s="18">
        <f t="shared" si="27"/>
        <v>0</v>
      </c>
      <c r="L15" s="18">
        <f t="shared" si="27"/>
        <v>0</v>
      </c>
      <c r="M15" s="18">
        <f t="shared" si="27"/>
        <v>0</v>
      </c>
      <c r="N15" s="18">
        <f t="shared" si="27"/>
        <v>0</v>
      </c>
      <c r="O15" s="18">
        <f t="shared" si="27"/>
        <v>0</v>
      </c>
      <c r="P15" s="18">
        <f t="shared" si="27"/>
        <v>0</v>
      </c>
      <c r="Q15" s="18">
        <f t="shared" si="27"/>
        <v>0</v>
      </c>
      <c r="R15" s="18">
        <f t="shared" si="27"/>
        <v>0</v>
      </c>
      <c r="T15" s="21">
        <f>SUM(G15:R15)-F15</f>
        <v>0</v>
      </c>
    </row>
    <row r="16" spans="1:37">
      <c r="B16" t="s">
        <v>437</v>
      </c>
      <c r="D16">
        <v>90</v>
      </c>
      <c r="E16" s="23">
        <v>1</v>
      </c>
      <c r="F16" s="2">
        <f>E14*E16</f>
        <v>77830126.592808247</v>
      </c>
      <c r="G16" s="18">
        <f t="shared" si="27"/>
        <v>38932730.911641732</v>
      </c>
      <c r="H16" s="18">
        <f t="shared" si="27"/>
        <v>10692755.34892825</v>
      </c>
      <c r="I16" s="18">
        <f t="shared" si="27"/>
        <v>10995464.944416046</v>
      </c>
      <c r="J16" s="18">
        <f t="shared" si="27"/>
        <v>7247296.3566759843</v>
      </c>
      <c r="K16" s="18">
        <f t="shared" si="27"/>
        <v>4414171.8083691103</v>
      </c>
      <c r="L16" s="18">
        <f t="shared" si="27"/>
        <v>17108.482179507137</v>
      </c>
      <c r="M16" s="18">
        <f t="shared" si="27"/>
        <v>399131.33434946666</v>
      </c>
      <c r="N16" s="18">
        <f t="shared" si="27"/>
        <v>2498045.9463461456</v>
      </c>
      <c r="O16" s="18">
        <f t="shared" si="27"/>
        <v>2303190.4938639281</v>
      </c>
      <c r="P16" s="18">
        <f t="shared" si="27"/>
        <v>0</v>
      </c>
      <c r="Q16" s="18">
        <f t="shared" si="27"/>
        <v>307005.9564887103</v>
      </c>
      <c r="R16" s="18">
        <f t="shared" si="27"/>
        <v>23225.009549375907</v>
      </c>
      <c r="T16" s="21">
        <f t="shared" ref="T16:T77" si="28">SUM(G16:R16)-F16</f>
        <v>0</v>
      </c>
    </row>
    <row r="17" spans="1:20">
      <c r="A17" t="s">
        <v>131</v>
      </c>
      <c r="B17" t="s">
        <v>132</v>
      </c>
      <c r="E17" s="102">
        <v>126746562.74003057</v>
      </c>
      <c r="T17" s="21">
        <f t="shared" si="28"/>
        <v>0</v>
      </c>
    </row>
    <row r="18" spans="1:20">
      <c r="B18" t="s">
        <v>436</v>
      </c>
      <c r="E18" s="23">
        <v>0</v>
      </c>
      <c r="F18" s="2">
        <f>E17*E18</f>
        <v>0</v>
      </c>
      <c r="G18" s="18">
        <f t="shared" ref="G18:R19" si="29">INDEX(Alloc,($D18),(G$1))*$F18</f>
        <v>0</v>
      </c>
      <c r="H18" s="18">
        <f t="shared" si="29"/>
        <v>0</v>
      </c>
      <c r="I18" s="18">
        <f t="shared" si="29"/>
        <v>0</v>
      </c>
      <c r="J18" s="18">
        <f t="shared" si="29"/>
        <v>0</v>
      </c>
      <c r="K18" s="18">
        <f t="shared" si="29"/>
        <v>0</v>
      </c>
      <c r="L18" s="18">
        <f t="shared" si="29"/>
        <v>0</v>
      </c>
      <c r="M18" s="18">
        <f t="shared" si="29"/>
        <v>0</v>
      </c>
      <c r="N18" s="18">
        <f t="shared" si="29"/>
        <v>0</v>
      </c>
      <c r="O18" s="18">
        <f t="shared" si="29"/>
        <v>0</v>
      </c>
      <c r="P18" s="18">
        <f t="shared" si="29"/>
        <v>0</v>
      </c>
      <c r="Q18" s="18">
        <f t="shared" si="29"/>
        <v>0</v>
      </c>
      <c r="R18" s="18">
        <f t="shared" si="29"/>
        <v>0</v>
      </c>
      <c r="T18" s="21">
        <f t="shared" si="28"/>
        <v>0</v>
      </c>
    </row>
    <row r="19" spans="1:20">
      <c r="B19" t="s">
        <v>437</v>
      </c>
      <c r="D19">
        <v>90</v>
      </c>
      <c r="E19" s="23">
        <v>1</v>
      </c>
      <c r="F19" s="2">
        <f>E17*E19</f>
        <v>126746562.74003057</v>
      </c>
      <c r="G19" s="18">
        <f t="shared" si="29"/>
        <v>63402053.127189673</v>
      </c>
      <c r="H19" s="18">
        <f t="shared" si="29"/>
        <v>17413179.780462585</v>
      </c>
      <c r="I19" s="18">
        <f t="shared" si="29"/>
        <v>17906143.140746374</v>
      </c>
      <c r="J19" s="18">
        <f t="shared" si="29"/>
        <v>11802240.887680972</v>
      </c>
      <c r="K19" s="18">
        <f t="shared" si="29"/>
        <v>7188490.222839077</v>
      </c>
      <c r="L19" s="18">
        <f t="shared" si="29"/>
        <v>27861.207541090738</v>
      </c>
      <c r="M19" s="18">
        <f t="shared" si="29"/>
        <v>649986.41175679828</v>
      </c>
      <c r="N19" s="18">
        <f t="shared" si="29"/>
        <v>4068074.29367971</v>
      </c>
      <c r="O19" s="18">
        <f t="shared" si="29"/>
        <v>3750751.6846277472</v>
      </c>
      <c r="P19" s="18">
        <f t="shared" si="29"/>
        <v>0</v>
      </c>
      <c r="Q19" s="18">
        <f t="shared" si="29"/>
        <v>499959.99530154956</v>
      </c>
      <c r="R19" s="18">
        <f t="shared" si="29"/>
        <v>37821.988205011978</v>
      </c>
      <c r="T19" s="21">
        <f t="shared" si="28"/>
        <v>0</v>
      </c>
    </row>
    <row r="20" spans="1:20">
      <c r="B20" s="1" t="s">
        <v>8</v>
      </c>
      <c r="C20" s="1"/>
      <c r="D20" s="1"/>
      <c r="E20" s="1"/>
      <c r="F20" s="3">
        <f>SUM(F15:F19)</f>
        <v>204576689.33283883</v>
      </c>
      <c r="G20" s="3">
        <f>SUM(G15:G19)</f>
        <v>102334784.03883141</v>
      </c>
      <c r="H20" s="3">
        <f t="shared" ref="H20:R20" si="30">SUM(H15:H19)</f>
        <v>28105935.129390836</v>
      </c>
      <c r="I20" s="3">
        <f t="shared" si="30"/>
        <v>28901608.08516242</v>
      </c>
      <c r="J20" s="3">
        <f t="shared" si="30"/>
        <v>19049537.244356956</v>
      </c>
      <c r="K20" s="3">
        <f t="shared" si="30"/>
        <v>11602662.031208187</v>
      </c>
      <c r="L20" s="3">
        <f t="shared" ref="L20:M20" si="31">SUM(L15:L19)</f>
        <v>44969.689720597875</v>
      </c>
      <c r="M20" s="3">
        <f t="shared" si="31"/>
        <v>1049117.7461062649</v>
      </c>
      <c r="N20" s="3">
        <f t="shared" si="30"/>
        <v>6566120.2400258556</v>
      </c>
      <c r="O20" s="3">
        <f t="shared" si="30"/>
        <v>6053942.1784916753</v>
      </c>
      <c r="P20" s="3">
        <f t="shared" si="30"/>
        <v>0</v>
      </c>
      <c r="Q20" s="3">
        <f t="shared" si="30"/>
        <v>806965.95179025992</v>
      </c>
      <c r="R20" s="3">
        <f t="shared" si="30"/>
        <v>61046.997754387885</v>
      </c>
      <c r="T20" s="21">
        <f t="shared" si="28"/>
        <v>0</v>
      </c>
    </row>
    <row r="21" spans="1:20">
      <c r="T21" s="21">
        <f t="shared" si="28"/>
        <v>0</v>
      </c>
    </row>
    <row r="22" spans="1:20">
      <c r="B22" s="1" t="s">
        <v>133</v>
      </c>
      <c r="C22" s="1"/>
      <c r="D22" s="1"/>
      <c r="E22" s="1"/>
      <c r="T22" s="21">
        <f t="shared" si="28"/>
        <v>0</v>
      </c>
    </row>
    <row r="23" spans="1:20">
      <c r="A23">
        <v>555</v>
      </c>
      <c r="B23" t="s">
        <v>134</v>
      </c>
      <c r="E23" s="102">
        <v>446618684.04567456</v>
      </c>
      <c r="T23" s="21">
        <f t="shared" si="28"/>
        <v>0</v>
      </c>
    </row>
    <row r="24" spans="1:20">
      <c r="E24" s="23">
        <v>0</v>
      </c>
      <c r="F24" s="2">
        <f>E23*E24</f>
        <v>0</v>
      </c>
      <c r="G24" s="18">
        <f t="shared" ref="G24:R25" si="32">INDEX(Alloc,($D24),(G$1))*$F24</f>
        <v>0</v>
      </c>
      <c r="H24" s="18">
        <f t="shared" si="32"/>
        <v>0</v>
      </c>
      <c r="I24" s="18">
        <f t="shared" si="32"/>
        <v>0</v>
      </c>
      <c r="J24" s="18">
        <f t="shared" si="32"/>
        <v>0</v>
      </c>
      <c r="K24" s="18">
        <f t="shared" si="32"/>
        <v>0</v>
      </c>
      <c r="L24" s="18">
        <f t="shared" si="32"/>
        <v>0</v>
      </c>
      <c r="M24" s="18">
        <f t="shared" si="32"/>
        <v>0</v>
      </c>
      <c r="N24" s="18">
        <f t="shared" si="32"/>
        <v>0</v>
      </c>
      <c r="O24" s="18">
        <f t="shared" si="32"/>
        <v>0</v>
      </c>
      <c r="P24" s="18">
        <f t="shared" si="32"/>
        <v>0</v>
      </c>
      <c r="Q24" s="18">
        <f t="shared" si="32"/>
        <v>0</v>
      </c>
      <c r="R24" s="18">
        <f t="shared" si="32"/>
        <v>0</v>
      </c>
      <c r="T24" s="21">
        <f t="shared" si="28"/>
        <v>0</v>
      </c>
    </row>
    <row r="25" spans="1:20">
      <c r="B25" t="s">
        <v>552</v>
      </c>
      <c r="D25">
        <v>88</v>
      </c>
      <c r="E25" s="23">
        <v>1</v>
      </c>
      <c r="F25" s="2">
        <f>E23*E25</f>
        <v>446618684.04567456</v>
      </c>
      <c r="G25" s="18">
        <f t="shared" si="32"/>
        <v>224477249.88161674</v>
      </c>
      <c r="H25" s="18">
        <f t="shared" si="32"/>
        <v>59240395.489186369</v>
      </c>
      <c r="I25" s="18">
        <f t="shared" si="32"/>
        <v>61595415.810159214</v>
      </c>
      <c r="J25" s="18">
        <f t="shared" si="32"/>
        <v>41616822.21674405</v>
      </c>
      <c r="K25" s="18">
        <f t="shared" si="32"/>
        <v>27167367.931814339</v>
      </c>
      <c r="L25" s="18">
        <f t="shared" si="32"/>
        <v>113887.76443164703</v>
      </c>
      <c r="M25" s="18">
        <f t="shared" si="32"/>
        <v>2397449.0959571814</v>
      </c>
      <c r="N25" s="18">
        <f t="shared" si="32"/>
        <v>14680356.144581323</v>
      </c>
      <c r="O25" s="18">
        <f t="shared" si="32"/>
        <v>13341393.329812391</v>
      </c>
      <c r="P25" s="18">
        <f t="shared" si="32"/>
        <v>0</v>
      </c>
      <c r="Q25" s="18">
        <f t="shared" si="32"/>
        <v>1844535.165108636</v>
      </c>
      <c r="R25" s="18">
        <f t="shared" si="32"/>
        <v>143811.21626270722</v>
      </c>
      <c r="T25" s="21">
        <f t="shared" si="28"/>
        <v>0</v>
      </c>
    </row>
    <row r="26" spans="1:20">
      <c r="A26">
        <v>555.01</v>
      </c>
      <c r="B26" t="s">
        <v>135</v>
      </c>
      <c r="F26" s="2">
        <v>0</v>
      </c>
      <c r="T26" s="21">
        <f t="shared" si="28"/>
        <v>0</v>
      </c>
    </row>
    <row r="27" spans="1:20">
      <c r="E27" s="23">
        <v>0</v>
      </c>
      <c r="T27" s="21">
        <f t="shared" si="28"/>
        <v>0</v>
      </c>
    </row>
    <row r="28" spans="1:20">
      <c r="D28">
        <v>88</v>
      </c>
      <c r="E28" s="23">
        <v>1</v>
      </c>
      <c r="T28" s="21">
        <f t="shared" si="28"/>
        <v>0</v>
      </c>
    </row>
    <row r="29" spans="1:20">
      <c r="B29" s="1" t="s">
        <v>8</v>
      </c>
      <c r="C29" s="1"/>
      <c r="D29" s="1"/>
      <c r="E29" s="1"/>
      <c r="F29" s="3">
        <f>SUM(F23:F26)</f>
        <v>446618684.04567456</v>
      </c>
      <c r="G29" s="3">
        <f t="shared" ref="G29:R29" si="33">SUM(G23:G26)</f>
        <v>224477249.88161674</v>
      </c>
      <c r="H29" s="3">
        <f t="shared" si="33"/>
        <v>59240395.489186369</v>
      </c>
      <c r="I29" s="3">
        <f t="shared" si="33"/>
        <v>61595415.810159214</v>
      </c>
      <c r="J29" s="3">
        <f t="shared" si="33"/>
        <v>41616822.21674405</v>
      </c>
      <c r="K29" s="3">
        <f t="shared" si="33"/>
        <v>27167367.931814339</v>
      </c>
      <c r="L29" s="3">
        <f t="shared" ref="L29:M29" si="34">SUM(L23:L26)</f>
        <v>113887.76443164703</v>
      </c>
      <c r="M29" s="3">
        <f t="shared" si="34"/>
        <v>2397449.0959571814</v>
      </c>
      <c r="N29" s="3">
        <f t="shared" si="33"/>
        <v>14680356.144581323</v>
      </c>
      <c r="O29" s="3">
        <f t="shared" si="33"/>
        <v>13341393.329812391</v>
      </c>
      <c r="P29" s="3">
        <f t="shared" si="33"/>
        <v>0</v>
      </c>
      <c r="Q29" s="3">
        <f t="shared" si="33"/>
        <v>1844535.165108636</v>
      </c>
      <c r="R29" s="3">
        <f t="shared" si="33"/>
        <v>143811.21626270722</v>
      </c>
      <c r="T29" s="21">
        <f t="shared" si="28"/>
        <v>0</v>
      </c>
    </row>
    <row r="30" spans="1:20">
      <c r="T30" s="21">
        <f t="shared" si="28"/>
        <v>0</v>
      </c>
    </row>
    <row r="31" spans="1:20">
      <c r="B31" s="1" t="s">
        <v>136</v>
      </c>
      <c r="C31" s="1"/>
      <c r="D31" s="1"/>
      <c r="E31" s="1"/>
      <c r="T31" s="21">
        <f t="shared" si="28"/>
        <v>0</v>
      </c>
    </row>
    <row r="32" spans="1:20">
      <c r="A32">
        <v>565</v>
      </c>
      <c r="B32" t="s">
        <v>137</v>
      </c>
      <c r="E32" s="102">
        <v>108560757.9292345</v>
      </c>
      <c r="T32" s="21">
        <f t="shared" si="28"/>
        <v>0</v>
      </c>
    </row>
    <row r="33" spans="1:20">
      <c r="E33" s="23">
        <v>0</v>
      </c>
      <c r="F33" s="2">
        <f>E32*E33</f>
        <v>0</v>
      </c>
      <c r="G33" s="18">
        <f t="shared" ref="G33:R34" si="35">INDEX(Alloc,($D33),(G$1))*$F33</f>
        <v>0</v>
      </c>
      <c r="H33" s="18">
        <f t="shared" si="35"/>
        <v>0</v>
      </c>
      <c r="I33" s="18">
        <f t="shared" si="35"/>
        <v>0</v>
      </c>
      <c r="J33" s="18">
        <f t="shared" si="35"/>
        <v>0</v>
      </c>
      <c r="K33" s="18">
        <f t="shared" si="35"/>
        <v>0</v>
      </c>
      <c r="L33" s="18">
        <f t="shared" si="35"/>
        <v>0</v>
      </c>
      <c r="M33" s="18">
        <f t="shared" si="35"/>
        <v>0</v>
      </c>
      <c r="N33" s="18">
        <f t="shared" si="35"/>
        <v>0</v>
      </c>
      <c r="O33" s="18">
        <f t="shared" si="35"/>
        <v>0</v>
      </c>
      <c r="P33" s="18">
        <f t="shared" si="35"/>
        <v>0</v>
      </c>
      <c r="Q33" s="18">
        <f t="shared" si="35"/>
        <v>0</v>
      </c>
      <c r="R33" s="18">
        <f t="shared" si="35"/>
        <v>0</v>
      </c>
      <c r="T33" s="21">
        <f t="shared" si="28"/>
        <v>0</v>
      </c>
    </row>
    <row r="34" spans="1:20">
      <c r="B34" t="s">
        <v>552</v>
      </c>
      <c r="D34">
        <v>88</v>
      </c>
      <c r="E34" s="23">
        <v>1</v>
      </c>
      <c r="F34" s="2">
        <f>E32*E34</f>
        <v>108560757.9292345</v>
      </c>
      <c r="G34" s="18">
        <f t="shared" si="35"/>
        <v>54564265.346602201</v>
      </c>
      <c r="H34" s="18">
        <f t="shared" si="35"/>
        <v>14399716.053249525</v>
      </c>
      <c r="I34" s="18">
        <f t="shared" si="35"/>
        <v>14972156.929810379</v>
      </c>
      <c r="J34" s="18">
        <f t="shared" si="35"/>
        <v>10115908.545361931</v>
      </c>
      <c r="K34" s="18">
        <f t="shared" si="35"/>
        <v>6603642.3440774055</v>
      </c>
      <c r="L34" s="18">
        <f t="shared" si="35"/>
        <v>27682.993271954801</v>
      </c>
      <c r="M34" s="18">
        <f t="shared" si="35"/>
        <v>582754.14856413088</v>
      </c>
      <c r="N34" s="18">
        <f t="shared" si="35"/>
        <v>3568392.1131339385</v>
      </c>
      <c r="O34" s="18">
        <f t="shared" si="35"/>
        <v>3242926.9608620931</v>
      </c>
      <c r="P34" s="18">
        <f t="shared" si="35"/>
        <v>0</v>
      </c>
      <c r="Q34" s="18">
        <f t="shared" si="35"/>
        <v>448355.93024773849</v>
      </c>
      <c r="R34" s="18">
        <f t="shared" si="35"/>
        <v>34956.564053213515</v>
      </c>
      <c r="T34" s="21">
        <f t="shared" si="28"/>
        <v>0</v>
      </c>
    </row>
    <row r="35" spans="1:20">
      <c r="B35" s="1" t="s">
        <v>8</v>
      </c>
      <c r="C35" s="1"/>
      <c r="D35" s="1"/>
      <c r="E35" s="1"/>
      <c r="F35" s="3">
        <f>F34+F33</f>
        <v>108560757.9292345</v>
      </c>
      <c r="G35" s="3">
        <f t="shared" ref="G35:R35" si="36">G34+G33</f>
        <v>54564265.346602201</v>
      </c>
      <c r="H35" s="3">
        <f t="shared" si="36"/>
        <v>14399716.053249525</v>
      </c>
      <c r="I35" s="3">
        <f t="shared" si="36"/>
        <v>14972156.929810379</v>
      </c>
      <c r="J35" s="3">
        <f t="shared" si="36"/>
        <v>10115908.545361931</v>
      </c>
      <c r="K35" s="3">
        <f t="shared" si="36"/>
        <v>6603642.3440774055</v>
      </c>
      <c r="L35" s="3">
        <f t="shared" ref="L35:M35" si="37">L34+L33</f>
        <v>27682.993271954801</v>
      </c>
      <c r="M35" s="3">
        <f t="shared" si="37"/>
        <v>582754.14856413088</v>
      </c>
      <c r="N35" s="3">
        <f t="shared" si="36"/>
        <v>3568392.1131339385</v>
      </c>
      <c r="O35" s="3">
        <f t="shared" si="36"/>
        <v>3242926.9608620931</v>
      </c>
      <c r="P35" s="3">
        <f t="shared" si="36"/>
        <v>0</v>
      </c>
      <c r="Q35" s="3">
        <f t="shared" si="36"/>
        <v>448355.93024773849</v>
      </c>
      <c r="R35" s="3">
        <f t="shared" si="36"/>
        <v>34956.564053213515</v>
      </c>
      <c r="T35" s="21">
        <f t="shared" si="28"/>
        <v>0</v>
      </c>
    </row>
    <row r="36" spans="1:20">
      <c r="T36" s="21">
        <f t="shared" si="28"/>
        <v>0</v>
      </c>
    </row>
    <row r="37" spans="1:20">
      <c r="B37" s="1" t="s">
        <v>138</v>
      </c>
      <c r="C37" s="1"/>
      <c r="D37" s="1"/>
      <c r="E37" s="27">
        <v>135811609.12364358</v>
      </c>
      <c r="T37" s="21">
        <f t="shared" si="28"/>
        <v>0</v>
      </c>
    </row>
    <row r="38" spans="1:20">
      <c r="B38" s="1"/>
      <c r="C38" s="1"/>
      <c r="D38" s="1"/>
      <c r="E38" s="23">
        <v>0</v>
      </c>
      <c r="F38" s="2">
        <f>E37*E38</f>
        <v>0</v>
      </c>
      <c r="G38" s="18">
        <f t="shared" ref="G38:R39" si="38">INDEX(Alloc,($D38),(G$1))*$F38</f>
        <v>0</v>
      </c>
      <c r="H38" s="18">
        <f t="shared" si="38"/>
        <v>0</v>
      </c>
      <c r="I38" s="18">
        <f t="shared" si="38"/>
        <v>0</v>
      </c>
      <c r="J38" s="18">
        <f t="shared" si="38"/>
        <v>0</v>
      </c>
      <c r="K38" s="18">
        <f t="shared" si="38"/>
        <v>0</v>
      </c>
      <c r="L38" s="18">
        <f t="shared" si="38"/>
        <v>0</v>
      </c>
      <c r="M38" s="18">
        <f t="shared" si="38"/>
        <v>0</v>
      </c>
      <c r="N38" s="18">
        <f t="shared" si="38"/>
        <v>0</v>
      </c>
      <c r="O38" s="18">
        <f t="shared" si="38"/>
        <v>0</v>
      </c>
      <c r="P38" s="18">
        <f t="shared" si="38"/>
        <v>0</v>
      </c>
      <c r="Q38" s="18">
        <f t="shared" si="38"/>
        <v>0</v>
      </c>
      <c r="R38" s="18">
        <f t="shared" si="38"/>
        <v>0</v>
      </c>
      <c r="T38" s="21">
        <f t="shared" si="28"/>
        <v>0</v>
      </c>
    </row>
    <row r="39" spans="1:20">
      <c r="B39" t="s">
        <v>552</v>
      </c>
      <c r="C39" s="1"/>
      <c r="D39" s="1">
        <v>88</v>
      </c>
      <c r="E39" s="23">
        <v>1</v>
      </c>
      <c r="F39" s="2">
        <f>E37*E39</f>
        <v>135811609.12364358</v>
      </c>
      <c r="G39" s="18">
        <f t="shared" si="38"/>
        <v>68260951.919680119</v>
      </c>
      <c r="H39" s="18">
        <f t="shared" si="38"/>
        <v>18014323.457378332</v>
      </c>
      <c r="I39" s="18">
        <f t="shared" si="38"/>
        <v>18730458.072287306</v>
      </c>
      <c r="J39" s="18">
        <f t="shared" si="38"/>
        <v>12655197.361359356</v>
      </c>
      <c r="K39" s="18">
        <f t="shared" si="38"/>
        <v>8261284.3713821154</v>
      </c>
      <c r="L39" s="18">
        <f t="shared" si="38"/>
        <v>34631.960326529115</v>
      </c>
      <c r="M39" s="18">
        <f t="shared" si="38"/>
        <v>729036.71777571877</v>
      </c>
      <c r="N39" s="18">
        <f t="shared" si="38"/>
        <v>4464127.5918941647</v>
      </c>
      <c r="O39" s="18">
        <f t="shared" si="38"/>
        <v>4056964.387741481</v>
      </c>
      <c r="P39" s="18">
        <f t="shared" si="38"/>
        <v>0</v>
      </c>
      <c r="Q39" s="18">
        <f t="shared" si="38"/>
        <v>560901.94568064797</v>
      </c>
      <c r="R39" s="18">
        <f t="shared" si="38"/>
        <v>43731.338137813233</v>
      </c>
      <c r="T39" s="21">
        <f t="shared" si="28"/>
        <v>0</v>
      </c>
    </row>
    <row r="40" spans="1:20">
      <c r="B40" s="1" t="s">
        <v>8</v>
      </c>
      <c r="C40" s="1"/>
      <c r="D40" s="1"/>
      <c r="E40" s="1"/>
      <c r="F40" s="3">
        <f>F39+F38</f>
        <v>135811609.12364358</v>
      </c>
      <c r="G40" s="3">
        <f t="shared" ref="G40:R40" si="39">G39+G38</f>
        <v>68260951.919680119</v>
      </c>
      <c r="H40" s="3">
        <f t="shared" si="39"/>
        <v>18014323.457378332</v>
      </c>
      <c r="I40" s="3">
        <f t="shared" si="39"/>
        <v>18730458.072287306</v>
      </c>
      <c r="J40" s="3">
        <f t="shared" si="39"/>
        <v>12655197.361359356</v>
      </c>
      <c r="K40" s="3">
        <f t="shared" si="39"/>
        <v>8261284.3713821154</v>
      </c>
      <c r="L40" s="3">
        <f t="shared" ref="L40:M40" si="40">L39+L38</f>
        <v>34631.960326529115</v>
      </c>
      <c r="M40" s="3">
        <f t="shared" si="40"/>
        <v>729036.71777571877</v>
      </c>
      <c r="N40" s="3">
        <f t="shared" si="39"/>
        <v>4464127.5918941647</v>
      </c>
      <c r="O40" s="3">
        <f t="shared" si="39"/>
        <v>4056964.387741481</v>
      </c>
      <c r="P40" s="3">
        <f t="shared" si="39"/>
        <v>0</v>
      </c>
      <c r="Q40" s="3">
        <f t="shared" si="39"/>
        <v>560901.94568064797</v>
      </c>
      <c r="R40" s="3">
        <f t="shared" si="39"/>
        <v>43731.338137813233</v>
      </c>
      <c r="T40" s="21">
        <f t="shared" si="28"/>
        <v>0</v>
      </c>
    </row>
    <row r="41" spans="1:20">
      <c r="T41" s="21">
        <f t="shared" si="28"/>
        <v>0</v>
      </c>
    </row>
    <row r="42" spans="1:20">
      <c r="B42" t="s">
        <v>139</v>
      </c>
      <c r="T42" s="21">
        <f t="shared" si="28"/>
        <v>0</v>
      </c>
    </row>
    <row r="43" spans="1:20">
      <c r="A43">
        <v>565.01</v>
      </c>
      <c r="B43" t="s">
        <v>140</v>
      </c>
      <c r="D43">
        <v>82</v>
      </c>
      <c r="F43" s="2">
        <v>20352250.477554012</v>
      </c>
      <c r="G43" s="18">
        <f t="shared" ref="G43:R43" si="41">INDEX(Alloc,($D43),(G$1))*$F43</f>
        <v>9531740.5368694607</v>
      </c>
      <c r="H43" s="18">
        <f t="shared" si="41"/>
        <v>2515462.3882921101</v>
      </c>
      <c r="I43" s="18">
        <f t="shared" si="41"/>
        <v>2615461.1305718133</v>
      </c>
      <c r="J43" s="18">
        <f t="shared" si="41"/>
        <v>1767131.197251515</v>
      </c>
      <c r="K43" s="18">
        <f t="shared" si="41"/>
        <v>1153579.2706489707</v>
      </c>
      <c r="L43" s="18">
        <f t="shared" si="41"/>
        <v>4835.8959380474371</v>
      </c>
      <c r="M43" s="18">
        <f t="shared" si="41"/>
        <v>101800.35057034761</v>
      </c>
      <c r="N43" s="18">
        <f t="shared" si="41"/>
        <v>623356.4685632129</v>
      </c>
      <c r="O43" s="18">
        <f t="shared" si="41"/>
        <v>566501.50377001194</v>
      </c>
      <c r="P43" s="18">
        <f t="shared" si="41"/>
        <v>1387952.6812895574</v>
      </c>
      <c r="Q43" s="18">
        <f t="shared" si="41"/>
        <v>78322.549898572222</v>
      </c>
      <c r="R43" s="18">
        <f t="shared" si="41"/>
        <v>6106.5038903971563</v>
      </c>
      <c r="T43" s="21">
        <f t="shared" si="28"/>
        <v>0</v>
      </c>
    </row>
    <row r="44" spans="1:20">
      <c r="B44" s="1" t="s">
        <v>8</v>
      </c>
      <c r="C44" s="1"/>
      <c r="D44" s="1"/>
      <c r="E44" s="1"/>
      <c r="F44" s="3">
        <f>F43</f>
        <v>20352250.477554012</v>
      </c>
      <c r="G44" s="3">
        <f t="shared" ref="G44:R44" si="42">G43</f>
        <v>9531740.5368694607</v>
      </c>
      <c r="H44" s="3">
        <f t="shared" si="42"/>
        <v>2515462.3882921101</v>
      </c>
      <c r="I44" s="3">
        <f t="shared" si="42"/>
        <v>2615461.1305718133</v>
      </c>
      <c r="J44" s="3">
        <f t="shared" si="42"/>
        <v>1767131.197251515</v>
      </c>
      <c r="K44" s="3">
        <f t="shared" si="42"/>
        <v>1153579.2706489707</v>
      </c>
      <c r="L44" s="3">
        <f t="shared" ref="L44:M44" si="43">L43</f>
        <v>4835.8959380474371</v>
      </c>
      <c r="M44" s="3">
        <f t="shared" si="43"/>
        <v>101800.35057034761</v>
      </c>
      <c r="N44" s="3">
        <f t="shared" si="42"/>
        <v>623356.4685632129</v>
      </c>
      <c r="O44" s="3">
        <f t="shared" si="42"/>
        <v>566501.50377001194</v>
      </c>
      <c r="P44" s="3">
        <f t="shared" si="42"/>
        <v>1387952.6812895574</v>
      </c>
      <c r="Q44" s="3">
        <f t="shared" si="42"/>
        <v>78322.549898572222</v>
      </c>
      <c r="R44" s="3">
        <f t="shared" si="42"/>
        <v>6106.5038903971563</v>
      </c>
      <c r="T44" s="21">
        <f t="shared" si="28"/>
        <v>0</v>
      </c>
    </row>
    <row r="45" spans="1:20">
      <c r="T45" s="21">
        <f t="shared" si="28"/>
        <v>0</v>
      </c>
    </row>
    <row r="46" spans="1:20">
      <c r="B46" s="1" t="s">
        <v>141</v>
      </c>
      <c r="C46" s="1"/>
      <c r="D46" s="1"/>
      <c r="E46" s="1"/>
      <c r="T46" s="21">
        <f t="shared" si="28"/>
        <v>0</v>
      </c>
    </row>
    <row r="47" spans="1:20">
      <c r="A47">
        <v>581</v>
      </c>
      <c r="B47" t="s">
        <v>142</v>
      </c>
      <c r="D47">
        <v>67</v>
      </c>
      <c r="F47" s="2">
        <v>3035320.7842005244</v>
      </c>
      <c r="G47" s="18">
        <f t="shared" ref="G47:R50" si="44">INDEX(Alloc,($D47),(G$1))*$F47</f>
        <v>1853371.9797840354</v>
      </c>
      <c r="H47" s="18">
        <f t="shared" si="44"/>
        <v>420997.36348377692</v>
      </c>
      <c r="I47" s="18">
        <f t="shared" si="44"/>
        <v>265462.60514887085</v>
      </c>
      <c r="J47" s="18">
        <f t="shared" si="44"/>
        <v>105090.50736999599</v>
      </c>
      <c r="K47" s="18">
        <f t="shared" si="44"/>
        <v>144042.09121610431</v>
      </c>
      <c r="L47" s="18">
        <f t="shared" si="44"/>
        <v>1202.2148222261139</v>
      </c>
      <c r="M47" s="18">
        <f t="shared" si="44"/>
        <v>42668.606535914849</v>
      </c>
      <c r="N47" s="18">
        <f t="shared" si="44"/>
        <v>33326.265603091771</v>
      </c>
      <c r="O47" s="18">
        <f t="shared" si="44"/>
        <v>18709.115260459235</v>
      </c>
      <c r="P47" s="18">
        <f t="shared" si="44"/>
        <v>9978.6389228679291</v>
      </c>
      <c r="Q47" s="18">
        <f t="shared" si="44"/>
        <v>138186.4999240675</v>
      </c>
      <c r="R47" s="18">
        <f t="shared" si="44"/>
        <v>2284.8961291138462</v>
      </c>
      <c r="T47" s="21">
        <f t="shared" si="28"/>
        <v>0</v>
      </c>
    </row>
    <row r="48" spans="1:20">
      <c r="A48">
        <v>582</v>
      </c>
      <c r="B48" t="s">
        <v>143</v>
      </c>
      <c r="D48">
        <v>56</v>
      </c>
      <c r="F48" s="2">
        <v>1492878.8055387251</v>
      </c>
      <c r="G48" s="18">
        <f t="shared" si="44"/>
        <v>742872.72837883292</v>
      </c>
      <c r="H48" s="18">
        <f t="shared" si="44"/>
        <v>192178.12287357051</v>
      </c>
      <c r="I48" s="18">
        <f t="shared" si="44"/>
        <v>206982.03420834467</v>
      </c>
      <c r="J48" s="18">
        <f t="shared" si="44"/>
        <v>117314.78491609923</v>
      </c>
      <c r="K48" s="18">
        <f t="shared" si="44"/>
        <v>93710.505220916864</v>
      </c>
      <c r="L48" s="18">
        <f t="shared" si="44"/>
        <v>332.43789452430661</v>
      </c>
      <c r="M48" s="18">
        <f t="shared" si="44"/>
        <v>11757.403525813197</v>
      </c>
      <c r="N48" s="18">
        <f t="shared" si="44"/>
        <v>51770.122914592954</v>
      </c>
      <c r="O48" s="18">
        <f t="shared" si="44"/>
        <v>50758.370193158065</v>
      </c>
      <c r="P48" s="18">
        <f t="shared" si="44"/>
        <v>23496.104883374916</v>
      </c>
      <c r="Q48" s="18">
        <f t="shared" si="44"/>
        <v>1315.4351961071843</v>
      </c>
      <c r="R48" s="18">
        <f t="shared" si="44"/>
        <v>390.75533339048974</v>
      </c>
      <c r="T48" s="21">
        <f t="shared" si="28"/>
        <v>0</v>
      </c>
    </row>
    <row r="49" spans="1:20">
      <c r="A49">
        <v>583</v>
      </c>
      <c r="B49" t="s">
        <v>144</v>
      </c>
      <c r="D49">
        <v>57</v>
      </c>
      <c r="F49" s="2">
        <v>3558270.7185164536</v>
      </c>
      <c r="G49" s="18">
        <f t="shared" si="44"/>
        <v>2411732.3198109046</v>
      </c>
      <c r="H49" s="18">
        <f t="shared" si="44"/>
        <v>462443.7839568755</v>
      </c>
      <c r="I49" s="18">
        <f t="shared" si="44"/>
        <v>357241.86466758029</v>
      </c>
      <c r="J49" s="18">
        <f t="shared" si="44"/>
        <v>148857.9143592075</v>
      </c>
      <c r="K49" s="18">
        <f t="shared" si="44"/>
        <v>126803.30391761033</v>
      </c>
      <c r="L49" s="18">
        <f t="shared" si="44"/>
        <v>2840.6909241927788</v>
      </c>
      <c r="M49" s="18">
        <f t="shared" si="44"/>
        <v>35465.812066115366</v>
      </c>
      <c r="N49" s="18">
        <f t="shared" si="44"/>
        <v>8042.2931555133</v>
      </c>
      <c r="O49" s="18">
        <f t="shared" si="44"/>
        <v>0</v>
      </c>
      <c r="P49" s="18">
        <f t="shared" si="44"/>
        <v>0</v>
      </c>
      <c r="Q49" s="18">
        <f t="shared" si="44"/>
        <v>2323.22838146922</v>
      </c>
      <c r="R49" s="18">
        <f t="shared" si="44"/>
        <v>2519.5072769850526</v>
      </c>
      <c r="T49" s="21">
        <f t="shared" si="28"/>
        <v>0</v>
      </c>
    </row>
    <row r="50" spans="1:20">
      <c r="A50">
        <v>584</v>
      </c>
      <c r="B50" t="s">
        <v>145</v>
      </c>
      <c r="D50">
        <v>58</v>
      </c>
      <c r="F50" s="2">
        <v>2731424.8905119007</v>
      </c>
      <c r="G50" s="18">
        <f t="shared" si="44"/>
        <v>1781800.8484574696</v>
      </c>
      <c r="H50" s="18">
        <f t="shared" si="44"/>
        <v>329720.92350449867</v>
      </c>
      <c r="I50" s="18">
        <f t="shared" si="44"/>
        <v>304292.70051752485</v>
      </c>
      <c r="J50" s="18">
        <f t="shared" si="44"/>
        <v>130663.74531228989</v>
      </c>
      <c r="K50" s="18">
        <f t="shared" si="44"/>
        <v>88944.376896455826</v>
      </c>
      <c r="L50" s="18">
        <f t="shared" si="44"/>
        <v>990.14475473453774</v>
      </c>
      <c r="M50" s="18">
        <f t="shared" si="44"/>
        <v>30395.267828032214</v>
      </c>
      <c r="N50" s="18">
        <f t="shared" si="44"/>
        <v>50472.553601381238</v>
      </c>
      <c r="O50" s="18">
        <f t="shared" si="44"/>
        <v>12134.118173170777</v>
      </c>
      <c r="P50" s="18">
        <f t="shared" si="44"/>
        <v>0</v>
      </c>
      <c r="Q50" s="18">
        <f t="shared" si="44"/>
        <v>1305.6853908587309</v>
      </c>
      <c r="R50" s="18">
        <f t="shared" si="44"/>
        <v>704.52607548419019</v>
      </c>
      <c r="T50" s="21">
        <f t="shared" si="28"/>
        <v>0</v>
      </c>
    </row>
    <row r="51" spans="1:20">
      <c r="A51">
        <v>585</v>
      </c>
      <c r="B51" t="s">
        <v>146</v>
      </c>
      <c r="D51" t="s">
        <v>485</v>
      </c>
      <c r="F51" s="2">
        <v>544794.00514714757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544794</v>
      </c>
      <c r="R51" s="18">
        <v>0</v>
      </c>
      <c r="T51" s="21">
        <f t="shared" si="28"/>
        <v>-5.1471475744619966E-3</v>
      </c>
    </row>
    <row r="52" spans="1:20">
      <c r="A52">
        <v>586</v>
      </c>
      <c r="B52" t="s">
        <v>147</v>
      </c>
      <c r="D52">
        <v>19</v>
      </c>
      <c r="F52" s="2">
        <v>-871734.24124363111</v>
      </c>
      <c r="G52" s="18">
        <f t="shared" ref="G52:R56" si="45">INDEX(Alloc,($D52),(G$1))*$F52</f>
        <v>-566776.18149919691</v>
      </c>
      <c r="H52" s="18">
        <f t="shared" si="45"/>
        <v>-160603.56599789232</v>
      </c>
      <c r="I52" s="18">
        <f t="shared" si="45"/>
        <v>-43624.732541043239</v>
      </c>
      <c r="J52" s="18">
        <f t="shared" si="45"/>
        <v>-4939.9330007904518</v>
      </c>
      <c r="K52" s="18">
        <f t="shared" si="45"/>
        <v>-61306.453682189473</v>
      </c>
      <c r="L52" s="18">
        <f t="shared" si="45"/>
        <v>-144.07432583340545</v>
      </c>
      <c r="M52" s="18">
        <f t="shared" si="45"/>
        <v>-21428.411273048143</v>
      </c>
      <c r="N52" s="18">
        <f t="shared" si="45"/>
        <v>-5185.6629540382255</v>
      </c>
      <c r="O52" s="18">
        <f t="shared" si="45"/>
        <v>-2683.4031555038068</v>
      </c>
      <c r="P52" s="18">
        <f t="shared" si="45"/>
        <v>-3768.3458194779223</v>
      </c>
      <c r="Q52" s="18">
        <f t="shared" si="45"/>
        <v>0</v>
      </c>
      <c r="R52" s="18">
        <f t="shared" si="45"/>
        <v>-1273.4769946172087</v>
      </c>
      <c r="T52" s="21">
        <f t="shared" si="28"/>
        <v>0</v>
      </c>
    </row>
    <row r="53" spans="1:20">
      <c r="A53">
        <v>587</v>
      </c>
      <c r="B53" t="s">
        <v>148</v>
      </c>
      <c r="D53">
        <v>19</v>
      </c>
      <c r="F53" s="2">
        <v>4619584.7331028199</v>
      </c>
      <c r="G53" s="18">
        <f t="shared" si="45"/>
        <v>3003519.2737235297</v>
      </c>
      <c r="H53" s="18">
        <f t="shared" si="45"/>
        <v>851087.11630656628</v>
      </c>
      <c r="I53" s="18">
        <f t="shared" si="45"/>
        <v>231180.71873004964</v>
      </c>
      <c r="J53" s="18">
        <f t="shared" si="45"/>
        <v>26178.206606231666</v>
      </c>
      <c r="K53" s="18">
        <f t="shared" si="45"/>
        <v>324881.53392584977</v>
      </c>
      <c r="L53" s="18">
        <f t="shared" si="45"/>
        <v>763.49364813590034</v>
      </c>
      <c r="M53" s="18">
        <f t="shared" si="45"/>
        <v>113555.6651192228</v>
      </c>
      <c r="N53" s="18">
        <f t="shared" si="45"/>
        <v>27480.404325194766</v>
      </c>
      <c r="O53" s="18">
        <f t="shared" si="45"/>
        <v>14220.169018760434</v>
      </c>
      <c r="P53" s="18">
        <f t="shared" si="45"/>
        <v>19969.609994758513</v>
      </c>
      <c r="Q53" s="18">
        <f t="shared" si="45"/>
        <v>0</v>
      </c>
      <c r="R53" s="18">
        <f t="shared" si="45"/>
        <v>6748.5417045206605</v>
      </c>
      <c r="T53" s="21">
        <f t="shared" si="28"/>
        <v>0</v>
      </c>
    </row>
    <row r="54" spans="1:20">
      <c r="A54">
        <v>589</v>
      </c>
      <c r="B54" t="s">
        <v>149</v>
      </c>
      <c r="D54">
        <v>67</v>
      </c>
      <c r="F54" s="2">
        <v>1007980.8598761315</v>
      </c>
      <c r="G54" s="18">
        <f t="shared" si="45"/>
        <v>615474.80964029219</v>
      </c>
      <c r="H54" s="18">
        <f t="shared" si="45"/>
        <v>139806.40420572009</v>
      </c>
      <c r="I54" s="18">
        <f t="shared" si="45"/>
        <v>88155.830644237911</v>
      </c>
      <c r="J54" s="18">
        <f t="shared" si="45"/>
        <v>34898.855018886672</v>
      </c>
      <c r="K54" s="18">
        <f t="shared" si="45"/>
        <v>47834.044993899101</v>
      </c>
      <c r="L54" s="18">
        <f t="shared" si="45"/>
        <v>399.23606643852253</v>
      </c>
      <c r="M54" s="18">
        <f t="shared" si="45"/>
        <v>14169.552994088559</v>
      </c>
      <c r="N54" s="18">
        <f t="shared" si="45"/>
        <v>11067.112917329652</v>
      </c>
      <c r="O54" s="18">
        <f t="shared" si="45"/>
        <v>6212.9940881113462</v>
      </c>
      <c r="P54" s="18">
        <f t="shared" si="45"/>
        <v>3313.7443311498646</v>
      </c>
      <c r="Q54" s="18">
        <f t="shared" si="45"/>
        <v>45889.497987087409</v>
      </c>
      <c r="R54" s="18">
        <f t="shared" si="45"/>
        <v>758.77698889030034</v>
      </c>
      <c r="T54" s="21">
        <f t="shared" si="28"/>
        <v>0</v>
      </c>
    </row>
    <row r="55" spans="1:20">
      <c r="A55">
        <v>580</v>
      </c>
      <c r="B55" t="s">
        <v>150</v>
      </c>
      <c r="D55">
        <v>65</v>
      </c>
      <c r="F55" s="2">
        <v>1057361.4439034134</v>
      </c>
      <c r="G55" s="18">
        <f t="shared" si="45"/>
        <v>645626.67736311047</v>
      </c>
      <c r="H55" s="18">
        <f t="shared" si="45"/>
        <v>146655.46470403255</v>
      </c>
      <c r="I55" s="18">
        <f t="shared" si="45"/>
        <v>92474.549953211259</v>
      </c>
      <c r="J55" s="18">
        <f t="shared" si="45"/>
        <v>36608.536136172799</v>
      </c>
      <c r="K55" s="18">
        <f t="shared" si="45"/>
        <v>50177.415956792458</v>
      </c>
      <c r="L55" s="18">
        <f t="shared" si="45"/>
        <v>418.794483577427</v>
      </c>
      <c r="M55" s="18">
        <f t="shared" si="45"/>
        <v>14863.71379624863</v>
      </c>
      <c r="N55" s="18">
        <f t="shared" si="45"/>
        <v>11609.286406041303</v>
      </c>
      <c r="O55" s="18">
        <f t="shared" si="45"/>
        <v>6517.3662134577435</v>
      </c>
      <c r="P55" s="18">
        <f t="shared" si="45"/>
        <v>3476.083356525191</v>
      </c>
      <c r="Q55" s="18">
        <f t="shared" si="45"/>
        <v>48137.606360494043</v>
      </c>
      <c r="R55" s="18">
        <f t="shared" si="45"/>
        <v>795.94917374951478</v>
      </c>
      <c r="T55" s="21">
        <f t="shared" si="28"/>
        <v>0</v>
      </c>
    </row>
    <row r="56" spans="1:20">
      <c r="A56">
        <v>588</v>
      </c>
      <c r="B56" t="s">
        <v>151</v>
      </c>
      <c r="D56">
        <v>65</v>
      </c>
      <c r="F56" s="2">
        <v>4896395.3895657696</v>
      </c>
      <c r="G56" s="18">
        <f t="shared" si="45"/>
        <v>2989747.266319057</v>
      </c>
      <c r="H56" s="18">
        <f t="shared" si="45"/>
        <v>679127.41226929508</v>
      </c>
      <c r="I56" s="18">
        <f t="shared" si="45"/>
        <v>428228.1736806304</v>
      </c>
      <c r="J56" s="18">
        <f t="shared" si="45"/>
        <v>169525.63249722795</v>
      </c>
      <c r="K56" s="18">
        <f t="shared" si="45"/>
        <v>232359.96505051811</v>
      </c>
      <c r="L56" s="18">
        <f t="shared" si="45"/>
        <v>1939.3400339944733</v>
      </c>
      <c r="M56" s="18">
        <f t="shared" si="45"/>
        <v>68830.408110119257</v>
      </c>
      <c r="N56" s="18">
        <f t="shared" si="45"/>
        <v>53759.910352738087</v>
      </c>
      <c r="O56" s="18">
        <f t="shared" si="45"/>
        <v>30180.409985330654</v>
      </c>
      <c r="P56" s="18">
        <f t="shared" si="45"/>
        <v>16096.935081917929</v>
      </c>
      <c r="Q56" s="18">
        <f t="shared" si="45"/>
        <v>222914.08033390087</v>
      </c>
      <c r="R56" s="18">
        <f t="shared" si="45"/>
        <v>3685.8558510402918</v>
      </c>
      <c r="T56" s="21">
        <f t="shared" si="28"/>
        <v>0</v>
      </c>
    </row>
    <row r="57" spans="1:20">
      <c r="B57" s="1" t="s">
        <v>8</v>
      </c>
      <c r="C57" s="1"/>
      <c r="D57" s="1"/>
      <c r="E57" s="1"/>
      <c r="F57" s="3">
        <f>SUM(F47:F56)</f>
        <v>22072277.389119256</v>
      </c>
      <c r="G57" s="3">
        <f t="shared" ref="G57:R57" si="46">SUM(G47:G56)</f>
        <v>13477369.721978035</v>
      </c>
      <c r="H57" s="3">
        <f t="shared" si="46"/>
        <v>3061413.0253064432</v>
      </c>
      <c r="I57" s="3">
        <f t="shared" si="46"/>
        <v>1930393.7450094065</v>
      </c>
      <c r="J57" s="3">
        <f t="shared" si="46"/>
        <v>764198.24921532127</v>
      </c>
      <c r="K57" s="3">
        <f t="shared" si="46"/>
        <v>1047446.7834959573</v>
      </c>
      <c r="L57" s="3">
        <f t="shared" ref="L57:M57" si="47">SUM(L47:L56)</f>
        <v>8742.2783019906547</v>
      </c>
      <c r="M57" s="3">
        <f t="shared" si="47"/>
        <v>310278.01870250673</v>
      </c>
      <c r="N57" s="3">
        <f t="shared" si="46"/>
        <v>242342.28632184485</v>
      </c>
      <c r="O57" s="3">
        <f t="shared" si="46"/>
        <v>136049.13977694444</v>
      </c>
      <c r="P57" s="3">
        <f t="shared" si="46"/>
        <v>72562.770751116419</v>
      </c>
      <c r="Q57" s="3">
        <f t="shared" si="46"/>
        <v>1004866.033573985</v>
      </c>
      <c r="R57" s="3">
        <f t="shared" si="46"/>
        <v>16615.33153855714</v>
      </c>
      <c r="T57" s="21">
        <f t="shared" si="28"/>
        <v>-5.147147923707962E-3</v>
      </c>
    </row>
    <row r="58" spans="1:20">
      <c r="T58" s="21">
        <f t="shared" si="28"/>
        <v>0</v>
      </c>
    </row>
    <row r="59" spans="1:20">
      <c r="B59" s="1" t="s">
        <v>152</v>
      </c>
      <c r="C59" s="1"/>
      <c r="D59" s="1"/>
      <c r="E59" s="1"/>
      <c r="T59" s="21">
        <f t="shared" si="28"/>
        <v>0</v>
      </c>
    </row>
    <row r="60" spans="1:20">
      <c r="A60">
        <v>901</v>
      </c>
      <c r="B60" t="s">
        <v>153</v>
      </c>
      <c r="D60">
        <v>64</v>
      </c>
      <c r="F60" s="2">
        <v>10693620.682041593</v>
      </c>
      <c r="G60" s="18">
        <f t="shared" ref="G60:R64" si="48">INDEX(Alloc,($D60),(G$1))*$F60</f>
        <v>9328378.1276159938</v>
      </c>
      <c r="H60" s="18">
        <f t="shared" si="48"/>
        <v>1168165.7061297165</v>
      </c>
      <c r="I60" s="18">
        <f t="shared" si="48"/>
        <v>80970.989063259476</v>
      </c>
      <c r="J60" s="18">
        <f t="shared" si="48"/>
        <v>23114.094831573839</v>
      </c>
      <c r="K60" s="18">
        <f t="shared" si="48"/>
        <v>9336.6862417979701</v>
      </c>
      <c r="L60" s="18">
        <f t="shared" si="48"/>
        <v>8.5784618038593656</v>
      </c>
      <c r="M60" s="18">
        <f t="shared" si="48"/>
        <v>1828.000964554639</v>
      </c>
      <c r="N60" s="18">
        <f t="shared" si="48"/>
        <v>12881.0192418686</v>
      </c>
      <c r="O60" s="18">
        <f t="shared" si="48"/>
        <v>7374.1706820485106</v>
      </c>
      <c r="P60" s="18">
        <f t="shared" si="48"/>
        <v>45566.039439717591</v>
      </c>
      <c r="Q60" s="18">
        <f t="shared" si="48"/>
        <v>15938.925639502102</v>
      </c>
      <c r="R60" s="18">
        <f t="shared" si="48"/>
        <v>58.343729755895637</v>
      </c>
      <c r="T60" s="21">
        <f t="shared" si="28"/>
        <v>0</v>
      </c>
    </row>
    <row r="61" spans="1:20">
      <c r="A61">
        <v>902</v>
      </c>
      <c r="B61" t="s">
        <v>154</v>
      </c>
      <c r="D61">
        <v>4</v>
      </c>
      <c r="F61" s="2">
        <v>25405716.288466655</v>
      </c>
      <c r="G61" s="18">
        <f t="shared" si="48"/>
        <v>22325054.28301442</v>
      </c>
      <c r="H61" s="18">
        <f t="shared" si="48"/>
        <v>2862939.8026405713</v>
      </c>
      <c r="I61" s="18">
        <f t="shared" si="48"/>
        <v>178450.94001985501</v>
      </c>
      <c r="J61" s="18">
        <f t="shared" si="48"/>
        <v>18195.610673862357</v>
      </c>
      <c r="K61" s="18">
        <f t="shared" si="48"/>
        <v>11028.995917653994</v>
      </c>
      <c r="L61" s="18">
        <f t="shared" si="48"/>
        <v>22.325902667315777</v>
      </c>
      <c r="M61" s="18">
        <f t="shared" si="48"/>
        <v>3661.4480374397872</v>
      </c>
      <c r="N61" s="18">
        <f t="shared" si="48"/>
        <v>4241.9215067899977</v>
      </c>
      <c r="O61" s="18">
        <f t="shared" si="48"/>
        <v>826.0583986906837</v>
      </c>
      <c r="P61" s="18">
        <f t="shared" si="48"/>
        <v>1093.9692306984732</v>
      </c>
      <c r="Q61" s="18">
        <f t="shared" si="48"/>
        <v>0</v>
      </c>
      <c r="R61" s="18">
        <f t="shared" si="48"/>
        <v>200.93312400584199</v>
      </c>
      <c r="T61" s="21">
        <f t="shared" si="28"/>
        <v>0</v>
      </c>
    </row>
    <row r="62" spans="1:20">
      <c r="A62">
        <v>903</v>
      </c>
      <c r="B62" t="s">
        <v>155</v>
      </c>
      <c r="D62">
        <v>3</v>
      </c>
      <c r="F62" s="2">
        <v>13977291.207059458</v>
      </c>
      <c r="G62" s="18">
        <f t="shared" si="48"/>
        <v>12028843.222754385</v>
      </c>
      <c r="H62" s="18">
        <f t="shared" si="48"/>
        <v>1439884.3328698457</v>
      </c>
      <c r="I62" s="18">
        <f t="shared" si="48"/>
        <v>119818.83143030871</v>
      </c>
      <c r="J62" s="18">
        <f t="shared" si="48"/>
        <v>67107.274478708947</v>
      </c>
      <c r="K62" s="18">
        <f t="shared" si="48"/>
        <v>23426.095985309534</v>
      </c>
      <c r="L62" s="18">
        <f t="shared" si="48"/>
        <v>9.2556345377626847</v>
      </c>
      <c r="M62" s="18">
        <f t="shared" si="48"/>
        <v>3075.7308468538176</v>
      </c>
      <c r="N62" s="18">
        <f t="shared" si="48"/>
        <v>43360.114017719243</v>
      </c>
      <c r="O62" s="18">
        <f t="shared" si="48"/>
        <v>26434.121816920393</v>
      </c>
      <c r="P62" s="18">
        <f t="shared" si="48"/>
        <v>167369.1457110866</v>
      </c>
      <c r="Q62" s="18">
        <f t="shared" si="48"/>
        <v>57949.383877033477</v>
      </c>
      <c r="R62" s="18">
        <f t="shared" si="48"/>
        <v>13.697636748464939</v>
      </c>
      <c r="T62" s="21">
        <f t="shared" si="28"/>
        <v>0</v>
      </c>
    </row>
    <row r="63" spans="1:20">
      <c r="A63">
        <v>904</v>
      </c>
      <c r="B63" t="s">
        <v>156</v>
      </c>
      <c r="D63">
        <v>18</v>
      </c>
      <c r="F63" s="2">
        <v>3156.2620830000001</v>
      </c>
      <c r="G63" s="18">
        <f t="shared" si="48"/>
        <v>2806.3921923543894</v>
      </c>
      <c r="H63" s="18">
        <f t="shared" si="48"/>
        <v>223.31648439552188</v>
      </c>
      <c r="I63" s="18">
        <f t="shared" si="48"/>
        <v>69.386885977642848</v>
      </c>
      <c r="J63" s="18">
        <f t="shared" si="48"/>
        <v>49.170149628014293</v>
      </c>
      <c r="K63" s="18">
        <f t="shared" si="48"/>
        <v>0.324787728001528</v>
      </c>
      <c r="L63" s="18">
        <f t="shared" si="48"/>
        <v>0</v>
      </c>
      <c r="M63" s="18">
        <f t="shared" si="48"/>
        <v>0</v>
      </c>
      <c r="N63" s="18">
        <f t="shared" si="48"/>
        <v>0</v>
      </c>
      <c r="O63" s="18">
        <f t="shared" si="48"/>
        <v>0</v>
      </c>
      <c r="P63" s="18">
        <f t="shared" si="48"/>
        <v>0</v>
      </c>
      <c r="Q63" s="18">
        <f t="shared" si="48"/>
        <v>7.6715829164301059</v>
      </c>
      <c r="R63" s="18">
        <f t="shared" si="48"/>
        <v>0</v>
      </c>
      <c r="T63" s="21">
        <f t="shared" si="28"/>
        <v>0</v>
      </c>
    </row>
    <row r="64" spans="1:20">
      <c r="A64">
        <v>905</v>
      </c>
      <c r="B64" t="s">
        <v>157</v>
      </c>
      <c r="D64">
        <v>1</v>
      </c>
      <c r="F64" s="2">
        <v>149939.88146585823</v>
      </c>
      <c r="G64" s="18">
        <f t="shared" si="48"/>
        <v>131869.74831244486</v>
      </c>
      <c r="H64" s="18">
        <f t="shared" si="48"/>
        <v>15856.481330437537</v>
      </c>
      <c r="I64" s="18">
        <f t="shared" si="48"/>
        <v>1024.1266118201825</v>
      </c>
      <c r="J64" s="18">
        <f t="shared" si="48"/>
        <v>104.61797583982431</v>
      </c>
      <c r="K64" s="18">
        <f t="shared" si="48"/>
        <v>63.873442832797622</v>
      </c>
      <c r="L64" s="18">
        <f t="shared" si="48"/>
        <v>0.13447040596378446</v>
      </c>
      <c r="M64" s="18">
        <f t="shared" si="48"/>
        <v>21.246324142277945</v>
      </c>
      <c r="N64" s="18">
        <f t="shared" si="48"/>
        <v>21.246324142277945</v>
      </c>
      <c r="O64" s="18">
        <f t="shared" si="48"/>
        <v>3.3617601490946116</v>
      </c>
      <c r="P64" s="18">
        <f t="shared" si="48"/>
        <v>2.1515264954205513</v>
      </c>
      <c r="Q64" s="18">
        <f t="shared" si="48"/>
        <v>971.81762390027029</v>
      </c>
      <c r="R64" s="18">
        <f t="shared" si="48"/>
        <v>1.0757632477102756</v>
      </c>
      <c r="T64" s="21">
        <f t="shared" si="28"/>
        <v>0</v>
      </c>
    </row>
    <row r="65" spans="1:20">
      <c r="B65" s="1" t="s">
        <v>8</v>
      </c>
      <c r="C65" s="1"/>
      <c r="D65" s="1"/>
      <c r="E65" s="1"/>
      <c r="F65" s="3">
        <f>SUM(F60:F64)</f>
        <v>50229724.321116567</v>
      </c>
      <c r="G65" s="3">
        <f t="shared" ref="G65:R65" si="49">SUM(G60:G64)</f>
        <v>43816951.773889594</v>
      </c>
      <c r="H65" s="3">
        <f t="shared" si="49"/>
        <v>5487069.6394549664</v>
      </c>
      <c r="I65" s="3">
        <f t="shared" si="49"/>
        <v>380334.27401122102</v>
      </c>
      <c r="J65" s="3">
        <f t="shared" si="49"/>
        <v>108570.76810961298</v>
      </c>
      <c r="K65" s="3">
        <f t="shared" si="49"/>
        <v>43855.976375322294</v>
      </c>
      <c r="L65" s="3">
        <f t="shared" ref="L65:M65" si="50">SUM(L60:L64)</f>
        <v>40.294469414901613</v>
      </c>
      <c r="M65" s="3">
        <f t="shared" si="50"/>
        <v>8586.4261729905211</v>
      </c>
      <c r="N65" s="3">
        <f t="shared" si="49"/>
        <v>60504.301090520123</v>
      </c>
      <c r="O65" s="3">
        <f t="shared" si="49"/>
        <v>34637.712657808683</v>
      </c>
      <c r="P65" s="3">
        <f t="shared" si="49"/>
        <v>214031.30590799806</v>
      </c>
      <c r="Q65" s="3">
        <f t="shared" si="49"/>
        <v>74867.798723352273</v>
      </c>
      <c r="R65" s="3">
        <f t="shared" si="49"/>
        <v>274.05025375791286</v>
      </c>
      <c r="T65" s="21">
        <f t="shared" si="28"/>
        <v>0</v>
      </c>
    </row>
    <row r="66" spans="1:20">
      <c r="T66" s="21">
        <f t="shared" si="28"/>
        <v>0</v>
      </c>
    </row>
    <row r="67" spans="1:20">
      <c r="B67" s="1" t="s">
        <v>158</v>
      </c>
      <c r="C67" s="1"/>
      <c r="D67" s="1"/>
      <c r="E67" s="1"/>
      <c r="T67" s="21">
        <f t="shared" si="28"/>
        <v>0</v>
      </c>
    </row>
    <row r="68" spans="1:20">
      <c r="A68">
        <v>908.01</v>
      </c>
      <c r="B68" t="s">
        <v>159</v>
      </c>
      <c r="D68" t="s">
        <v>485</v>
      </c>
      <c r="F68" s="2">
        <v>404322.48786843568</v>
      </c>
      <c r="G68" s="18">
        <v>404322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T68" s="21">
        <f t="shared" si="28"/>
        <v>-0.48786843568086624</v>
      </c>
    </row>
    <row r="69" spans="1:20">
      <c r="A69">
        <v>908.02</v>
      </c>
      <c r="B69" t="s">
        <v>160</v>
      </c>
      <c r="D69">
        <v>73</v>
      </c>
      <c r="F69" s="2">
        <v>26209.79999999702</v>
      </c>
      <c r="G69" s="18">
        <f t="shared" ref="G69:R74" si="51">INDEX(Alloc,($D69),(G$1))*$F69</f>
        <v>13173.438626998501</v>
      </c>
      <c r="H69" s="18">
        <f t="shared" si="51"/>
        <v>3476.5202915996042</v>
      </c>
      <c r="I69" s="18">
        <f t="shared" si="51"/>
        <v>3614.7245669995891</v>
      </c>
      <c r="J69" s="18">
        <f t="shared" si="51"/>
        <v>2442.2815835997221</v>
      </c>
      <c r="K69" s="18">
        <f t="shared" si="51"/>
        <v>1594.3159241998185</v>
      </c>
      <c r="L69" s="18">
        <f t="shared" si="51"/>
        <v>6.6834989999992391</v>
      </c>
      <c r="M69" s="18">
        <f t="shared" si="51"/>
        <v>140.69420639998401</v>
      </c>
      <c r="N69" s="18">
        <f t="shared" si="51"/>
        <v>861.51612599990199</v>
      </c>
      <c r="O69" s="18">
        <f t="shared" si="51"/>
        <v>782.93914559991083</v>
      </c>
      <c r="P69" s="18">
        <f t="shared" si="51"/>
        <v>0</v>
      </c>
      <c r="Q69" s="18">
        <f t="shared" si="51"/>
        <v>108.24647399998767</v>
      </c>
      <c r="R69" s="18">
        <f t="shared" si="51"/>
        <v>8.439555599999041</v>
      </c>
      <c r="T69" s="21">
        <f t="shared" si="28"/>
        <v>0</v>
      </c>
    </row>
    <row r="70" spans="1:20">
      <c r="A70">
        <v>909</v>
      </c>
      <c r="B70" t="s">
        <v>161</v>
      </c>
      <c r="D70">
        <v>1</v>
      </c>
      <c r="F70" s="2">
        <v>1776312.5276852157</v>
      </c>
      <c r="G70" s="18">
        <f t="shared" si="51"/>
        <v>1562238.7030059763</v>
      </c>
      <c r="H70" s="18">
        <f t="shared" si="51"/>
        <v>187849.0642843174</v>
      </c>
      <c r="I70" s="18">
        <f t="shared" si="51"/>
        <v>12132.655519847362</v>
      </c>
      <c r="J70" s="18">
        <f t="shared" si="51"/>
        <v>1239.3915433877689</v>
      </c>
      <c r="K70" s="18">
        <f t="shared" si="51"/>
        <v>756.69792173417761</v>
      </c>
      <c r="L70" s="18">
        <f t="shared" si="51"/>
        <v>1.5930482562824793</v>
      </c>
      <c r="M70" s="18">
        <f t="shared" si="51"/>
        <v>251.70162449263174</v>
      </c>
      <c r="N70" s="18">
        <f t="shared" si="51"/>
        <v>251.70162449263174</v>
      </c>
      <c r="O70" s="18">
        <f t="shared" si="51"/>
        <v>39.826206407061981</v>
      </c>
      <c r="P70" s="18">
        <f t="shared" si="51"/>
        <v>25.488772100519668</v>
      </c>
      <c r="Q70" s="18">
        <f t="shared" si="51"/>
        <v>11512.959748153478</v>
      </c>
      <c r="R70" s="18">
        <f t="shared" si="51"/>
        <v>12.744386050259834</v>
      </c>
      <c r="T70" s="21">
        <f t="shared" si="28"/>
        <v>0</v>
      </c>
    </row>
    <row r="71" spans="1:20">
      <c r="A71">
        <v>910</v>
      </c>
      <c r="B71" t="s">
        <v>162</v>
      </c>
      <c r="D71">
        <v>1</v>
      </c>
      <c r="F71" s="2">
        <v>93021.700834750038</v>
      </c>
      <c r="G71" s="18">
        <f t="shared" si="51"/>
        <v>81811.110938267666</v>
      </c>
      <c r="H71" s="18">
        <f t="shared" si="51"/>
        <v>9837.2550931195783</v>
      </c>
      <c r="I71" s="18">
        <f t="shared" si="51"/>
        <v>635.36130861444997</v>
      </c>
      <c r="J71" s="18">
        <f t="shared" si="51"/>
        <v>64.904293343230322</v>
      </c>
      <c r="K71" s="18">
        <f t="shared" si="51"/>
        <v>39.626657246830845</v>
      </c>
      <c r="L71" s="18">
        <f t="shared" si="51"/>
        <v>8.3424541572275468E-2</v>
      </c>
      <c r="M71" s="18">
        <f t="shared" si="51"/>
        <v>13.181077568419525</v>
      </c>
      <c r="N71" s="18">
        <f t="shared" si="51"/>
        <v>13.181077568419525</v>
      </c>
      <c r="O71" s="18">
        <f t="shared" si="51"/>
        <v>2.0856135393068866</v>
      </c>
      <c r="P71" s="18">
        <f t="shared" si="51"/>
        <v>1.3347926651564075</v>
      </c>
      <c r="Q71" s="18">
        <f t="shared" si="51"/>
        <v>602.90916194283477</v>
      </c>
      <c r="R71" s="18">
        <f t="shared" si="51"/>
        <v>0.66739633257820374</v>
      </c>
      <c r="T71" s="21">
        <f t="shared" si="28"/>
        <v>0</v>
      </c>
    </row>
    <row r="72" spans="1:20">
      <c r="A72">
        <v>911</v>
      </c>
      <c r="B72" t="s">
        <v>163</v>
      </c>
      <c r="F72" s="2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T72" s="21">
        <f t="shared" si="28"/>
        <v>0</v>
      </c>
    </row>
    <row r="73" spans="1:20">
      <c r="A73">
        <v>912</v>
      </c>
      <c r="B73" t="s">
        <v>164</v>
      </c>
      <c r="D73">
        <v>1</v>
      </c>
      <c r="F73" s="2">
        <v>324958.17362548632</v>
      </c>
      <c r="G73" s="18">
        <f t="shared" si="51"/>
        <v>285795.56118845014</v>
      </c>
      <c r="H73" s="18">
        <f t="shared" si="51"/>
        <v>34365.061269165315</v>
      </c>
      <c r="I73" s="18">
        <f t="shared" si="51"/>
        <v>2219.5449941990455</v>
      </c>
      <c r="J73" s="18">
        <f t="shared" si="51"/>
        <v>226.73398181287519</v>
      </c>
      <c r="K73" s="18">
        <f t="shared" si="51"/>
        <v>138.43013028421043</v>
      </c>
      <c r="L73" s="18">
        <f t="shared" si="51"/>
        <v>0.29143185322991672</v>
      </c>
      <c r="M73" s="18">
        <f t="shared" si="51"/>
        <v>46.046232810326842</v>
      </c>
      <c r="N73" s="18">
        <f t="shared" si="51"/>
        <v>46.046232810326842</v>
      </c>
      <c r="O73" s="18">
        <f t="shared" si="51"/>
        <v>7.2857963307479174</v>
      </c>
      <c r="P73" s="18">
        <f t="shared" si="51"/>
        <v>4.6629096516786674</v>
      </c>
      <c r="Q73" s="18">
        <f t="shared" si="51"/>
        <v>2106.1780032926081</v>
      </c>
      <c r="R73" s="18">
        <f t="shared" si="51"/>
        <v>2.3314548258393337</v>
      </c>
      <c r="T73" s="21">
        <f t="shared" si="28"/>
        <v>0</v>
      </c>
    </row>
    <row r="74" spans="1:20">
      <c r="A74">
        <v>913</v>
      </c>
      <c r="B74" t="s">
        <v>165</v>
      </c>
      <c r="F74" s="2">
        <v>0</v>
      </c>
      <c r="G74" s="18">
        <f t="shared" si="51"/>
        <v>0</v>
      </c>
      <c r="H74" s="18">
        <f t="shared" si="51"/>
        <v>0</v>
      </c>
      <c r="I74" s="18">
        <f t="shared" si="51"/>
        <v>0</v>
      </c>
      <c r="J74" s="18">
        <f t="shared" si="51"/>
        <v>0</v>
      </c>
      <c r="K74" s="18">
        <f t="shared" si="51"/>
        <v>0</v>
      </c>
      <c r="L74" s="18">
        <f t="shared" si="51"/>
        <v>0</v>
      </c>
      <c r="M74" s="18">
        <f t="shared" si="51"/>
        <v>0</v>
      </c>
      <c r="N74" s="18">
        <f t="shared" si="51"/>
        <v>0</v>
      </c>
      <c r="O74" s="18">
        <f t="shared" si="51"/>
        <v>0</v>
      </c>
      <c r="P74" s="18">
        <f t="shared" si="51"/>
        <v>0</v>
      </c>
      <c r="Q74" s="18">
        <f t="shared" si="51"/>
        <v>0</v>
      </c>
      <c r="R74" s="18">
        <f t="shared" si="51"/>
        <v>0</v>
      </c>
      <c r="T74" s="21">
        <f t="shared" si="28"/>
        <v>0</v>
      </c>
    </row>
    <row r="75" spans="1:20">
      <c r="A75">
        <v>916</v>
      </c>
      <c r="B75" t="s">
        <v>166</v>
      </c>
      <c r="F75" s="2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T75" s="21">
        <f t="shared" si="28"/>
        <v>0</v>
      </c>
    </row>
    <row r="76" spans="1:20">
      <c r="B76" s="1" t="s">
        <v>8</v>
      </c>
      <c r="C76" s="1"/>
      <c r="D76" s="1"/>
      <c r="E76" s="1"/>
      <c r="F76" s="3">
        <f>SUM(F68:F75)</f>
        <v>2624824.690013885</v>
      </c>
      <c r="G76" s="3">
        <f t="shared" ref="G76:R76" si="52">SUM(G68:G75)</f>
        <v>2347340.8137596925</v>
      </c>
      <c r="H76" s="3">
        <f t="shared" si="52"/>
        <v>235527.90093820187</v>
      </c>
      <c r="I76" s="3">
        <f t="shared" si="52"/>
        <v>18602.286389660447</v>
      </c>
      <c r="J76" s="3">
        <f t="shared" si="52"/>
        <v>3973.3114021435963</v>
      </c>
      <c r="K76" s="3">
        <f t="shared" si="52"/>
        <v>2529.0706334650372</v>
      </c>
      <c r="L76" s="3">
        <f t="shared" ref="L76:M76" si="53">SUM(L68:L75)</f>
        <v>8.6514036510839105</v>
      </c>
      <c r="M76" s="3">
        <f t="shared" si="53"/>
        <v>451.62314127136216</v>
      </c>
      <c r="N76" s="3">
        <f t="shared" si="52"/>
        <v>1172.44506087128</v>
      </c>
      <c r="O76" s="3">
        <f t="shared" si="52"/>
        <v>832.13676187702754</v>
      </c>
      <c r="P76" s="3">
        <f t="shared" si="52"/>
        <v>31.486474417354742</v>
      </c>
      <c r="Q76" s="3">
        <f t="shared" si="52"/>
        <v>14330.293387388909</v>
      </c>
      <c r="R76" s="3">
        <f t="shared" si="52"/>
        <v>24.18279280867641</v>
      </c>
      <c r="T76" s="21">
        <f t="shared" si="28"/>
        <v>-0.48786843614652753</v>
      </c>
    </row>
    <row r="77" spans="1:20">
      <c r="T77" s="21">
        <f t="shared" si="28"/>
        <v>0</v>
      </c>
    </row>
    <row r="78" spans="1:20">
      <c r="B78" s="1" t="s">
        <v>167</v>
      </c>
      <c r="C78" s="1"/>
      <c r="D78" s="1"/>
      <c r="E78" s="1"/>
      <c r="T78" s="21">
        <f t="shared" ref="T78:T141" si="54">SUM(G78:R78)-F78</f>
        <v>0</v>
      </c>
    </row>
    <row r="79" spans="1:20">
      <c r="A79">
        <v>920</v>
      </c>
      <c r="B79" t="s">
        <v>168</v>
      </c>
      <c r="D79">
        <v>62</v>
      </c>
      <c r="F79" s="2">
        <v>30077737.4205296</v>
      </c>
      <c r="G79" s="18">
        <f t="shared" ref="G79:R88" si="55">INDEX(Alloc,($D79),(G$1))*$F79</f>
        <v>18162224.196263969</v>
      </c>
      <c r="H79" s="18">
        <f t="shared" si="55"/>
        <v>3788211.2303010528</v>
      </c>
      <c r="I79" s="18">
        <f t="shared" si="55"/>
        <v>3062848.2820865395</v>
      </c>
      <c r="J79" s="18">
        <f t="shared" si="55"/>
        <v>1839840.9108433798</v>
      </c>
      <c r="K79" s="18">
        <f t="shared" si="55"/>
        <v>1296547.9027962203</v>
      </c>
      <c r="L79" s="18">
        <f t="shared" si="55"/>
        <v>8924.9215243147883</v>
      </c>
      <c r="M79" s="18">
        <f t="shared" si="55"/>
        <v>180638.82742242294</v>
      </c>
      <c r="N79" s="18">
        <f t="shared" si="55"/>
        <v>600464.55797121651</v>
      </c>
      <c r="O79" s="18">
        <f t="shared" si="55"/>
        <v>506181.79455503786</v>
      </c>
      <c r="P79" s="18">
        <f t="shared" si="55"/>
        <v>175051.90223064023</v>
      </c>
      <c r="Q79" s="18">
        <f t="shared" si="55"/>
        <v>446448.62268724758</v>
      </c>
      <c r="R79" s="18">
        <f t="shared" si="55"/>
        <v>10354.271847558914</v>
      </c>
      <c r="T79" s="21">
        <f t="shared" si="54"/>
        <v>0</v>
      </c>
    </row>
    <row r="80" spans="1:20">
      <c r="A80">
        <v>921</v>
      </c>
      <c r="B80" t="s">
        <v>169</v>
      </c>
      <c r="D80">
        <v>62</v>
      </c>
      <c r="F80" s="2">
        <v>3432585.6418920001</v>
      </c>
      <c r="G80" s="18">
        <f t="shared" si="55"/>
        <v>2072742.0127807423</v>
      </c>
      <c r="H80" s="18">
        <f t="shared" si="55"/>
        <v>432325.054766585</v>
      </c>
      <c r="I80" s="18">
        <f t="shared" si="55"/>
        <v>349543.87989330071</v>
      </c>
      <c r="J80" s="18">
        <f t="shared" si="55"/>
        <v>209969.63320837732</v>
      </c>
      <c r="K80" s="18">
        <f t="shared" si="55"/>
        <v>147966.97148256199</v>
      </c>
      <c r="L80" s="18">
        <f t="shared" si="55"/>
        <v>1018.5459448311249</v>
      </c>
      <c r="M80" s="18">
        <f t="shared" si="55"/>
        <v>20615.189125070105</v>
      </c>
      <c r="N80" s="18">
        <f t="shared" si="55"/>
        <v>68527.296163912455</v>
      </c>
      <c r="O80" s="18">
        <f t="shared" si="55"/>
        <v>57767.389078634878</v>
      </c>
      <c r="P80" s="18">
        <f t="shared" si="55"/>
        <v>19977.588000773154</v>
      </c>
      <c r="Q80" s="18">
        <f t="shared" si="55"/>
        <v>50950.412614238514</v>
      </c>
      <c r="R80" s="18">
        <f t="shared" si="55"/>
        <v>1181.6688329727253</v>
      </c>
      <c r="T80" s="21">
        <f t="shared" si="54"/>
        <v>0</v>
      </c>
    </row>
    <row r="81" spans="1:20">
      <c r="A81">
        <v>922</v>
      </c>
      <c r="B81" t="s">
        <v>170</v>
      </c>
      <c r="D81">
        <v>62</v>
      </c>
      <c r="F81" s="2">
        <v>-156178.807734</v>
      </c>
      <c r="G81" s="18">
        <f t="shared" si="55"/>
        <v>-94307.443445996018</v>
      </c>
      <c r="H81" s="18">
        <f t="shared" si="55"/>
        <v>-19670.306483530381</v>
      </c>
      <c r="I81" s="18">
        <f t="shared" si="55"/>
        <v>-15903.855608497535</v>
      </c>
      <c r="J81" s="18">
        <f t="shared" si="55"/>
        <v>-9553.383482882211</v>
      </c>
      <c r="K81" s="18">
        <f t="shared" si="55"/>
        <v>-6732.331717561965</v>
      </c>
      <c r="L81" s="18">
        <f t="shared" si="55"/>
        <v>-46.34270135743656</v>
      </c>
      <c r="M81" s="18">
        <f t="shared" si="55"/>
        <v>-937.96804935352918</v>
      </c>
      <c r="N81" s="18">
        <f t="shared" si="55"/>
        <v>-3117.915335162756</v>
      </c>
      <c r="O81" s="18">
        <f t="shared" si="55"/>
        <v>-2628.3515965633551</v>
      </c>
      <c r="P81" s="18">
        <f t="shared" si="55"/>
        <v>-908.95791128522796</v>
      </c>
      <c r="Q81" s="18">
        <f t="shared" si="55"/>
        <v>-2318.1867914768518</v>
      </c>
      <c r="R81" s="18">
        <f t="shared" si="55"/>
        <v>-53.764610332747523</v>
      </c>
      <c r="T81" s="21">
        <f t="shared" si="54"/>
        <v>0</v>
      </c>
    </row>
    <row r="82" spans="1:20">
      <c r="A82">
        <v>923</v>
      </c>
      <c r="B82" t="s">
        <v>171</v>
      </c>
      <c r="D82">
        <v>62</v>
      </c>
      <c r="F82" s="2">
        <v>12344244.369874001</v>
      </c>
      <c r="G82" s="18">
        <f t="shared" si="55"/>
        <v>7453982.6797641227</v>
      </c>
      <c r="H82" s="18">
        <f t="shared" si="55"/>
        <v>1554724.8284579862</v>
      </c>
      <c r="I82" s="18">
        <f t="shared" si="55"/>
        <v>1257027.6524895369</v>
      </c>
      <c r="J82" s="18">
        <f t="shared" si="55"/>
        <v>755091.56448850827</v>
      </c>
      <c r="K82" s="18">
        <f t="shared" si="55"/>
        <v>532117.95573559392</v>
      </c>
      <c r="L82" s="18">
        <f t="shared" si="55"/>
        <v>3662.888957960397</v>
      </c>
      <c r="M82" s="18">
        <f t="shared" si="55"/>
        <v>74136.222323288806</v>
      </c>
      <c r="N82" s="18">
        <f t="shared" si="55"/>
        <v>246437.46088380329</v>
      </c>
      <c r="O82" s="18">
        <f t="shared" si="55"/>
        <v>207742.74607849555</v>
      </c>
      <c r="P82" s="18">
        <f t="shared" si="55"/>
        <v>71843.284896536163</v>
      </c>
      <c r="Q82" s="18">
        <f t="shared" si="55"/>
        <v>183227.57526580006</v>
      </c>
      <c r="R82" s="18">
        <f t="shared" si="55"/>
        <v>4249.5105323691414</v>
      </c>
      <c r="T82" s="21">
        <f t="shared" si="54"/>
        <v>0</v>
      </c>
    </row>
    <row r="83" spans="1:20">
      <c r="A83">
        <v>924</v>
      </c>
      <c r="B83" t="s">
        <v>172</v>
      </c>
      <c r="D83">
        <v>74</v>
      </c>
      <c r="F83" s="2">
        <v>5082999.766913482</v>
      </c>
      <c r="G83" s="18">
        <f t="shared" si="55"/>
        <v>2839559.4616289376</v>
      </c>
      <c r="H83" s="18">
        <f t="shared" si="55"/>
        <v>643533.8873037952</v>
      </c>
      <c r="I83" s="18">
        <f t="shared" si="55"/>
        <v>607274.92551874008</v>
      </c>
      <c r="J83" s="18">
        <f t="shared" si="55"/>
        <v>363299.15247898857</v>
      </c>
      <c r="K83" s="18">
        <f t="shared" si="55"/>
        <v>247696.84812824614</v>
      </c>
      <c r="L83" s="18">
        <f t="shared" si="55"/>
        <v>1470.5719226853389</v>
      </c>
      <c r="M83" s="18">
        <f t="shared" si="55"/>
        <v>33725.853170997136</v>
      </c>
      <c r="N83" s="18">
        <f t="shared" si="55"/>
        <v>127590.64151058462</v>
      </c>
      <c r="O83" s="18">
        <f t="shared" si="55"/>
        <v>101557.81708652955</v>
      </c>
      <c r="P83" s="18">
        <f t="shared" si="55"/>
        <v>58690.364222254415</v>
      </c>
      <c r="Q83" s="18">
        <f t="shared" si="55"/>
        <v>56924.728427188886</v>
      </c>
      <c r="R83" s="18">
        <f t="shared" si="55"/>
        <v>1675.5155145335202</v>
      </c>
      <c r="T83" s="21">
        <f t="shared" si="54"/>
        <v>0</v>
      </c>
    </row>
    <row r="84" spans="1:20">
      <c r="A84">
        <v>925</v>
      </c>
      <c r="B84" t="s">
        <v>173</v>
      </c>
      <c r="D84">
        <v>78</v>
      </c>
      <c r="F84" s="2">
        <v>3487885.7588320775</v>
      </c>
      <c r="G84" s="18">
        <f t="shared" si="55"/>
        <v>2081730.7236520995</v>
      </c>
      <c r="H84" s="18">
        <f t="shared" si="55"/>
        <v>432883.41214286938</v>
      </c>
      <c r="I84" s="18">
        <f t="shared" si="55"/>
        <v>367388.64482638001</v>
      </c>
      <c r="J84" s="18">
        <f t="shared" si="55"/>
        <v>218004.43774032654</v>
      </c>
      <c r="K84" s="18">
        <f t="shared" si="55"/>
        <v>148593.7144047388</v>
      </c>
      <c r="L84" s="18">
        <f t="shared" si="55"/>
        <v>887.78376279623194</v>
      </c>
      <c r="M84" s="18">
        <f t="shared" si="55"/>
        <v>20456.271070852945</v>
      </c>
      <c r="N84" s="18">
        <f t="shared" si="55"/>
        <v>76715.146650913084</v>
      </c>
      <c r="O84" s="18">
        <f t="shared" si="55"/>
        <v>60702.238890944638</v>
      </c>
      <c r="P84" s="18">
        <f t="shared" si="55"/>
        <v>36720.79503051145</v>
      </c>
      <c r="Q84" s="18">
        <f t="shared" si="55"/>
        <v>42791.252140209341</v>
      </c>
      <c r="R84" s="18">
        <f t="shared" si="55"/>
        <v>1011.3385194369029</v>
      </c>
      <c r="T84" s="21">
        <f t="shared" si="54"/>
        <v>0</v>
      </c>
    </row>
    <row r="85" spans="1:20">
      <c r="A85">
        <v>926</v>
      </c>
      <c r="B85" t="s">
        <v>174</v>
      </c>
      <c r="D85">
        <v>78</v>
      </c>
      <c r="F85" s="2">
        <v>29850640.61786855</v>
      </c>
      <c r="G85" s="18">
        <f t="shared" si="55"/>
        <v>17816235.964024875</v>
      </c>
      <c r="H85" s="18">
        <f t="shared" si="55"/>
        <v>3704779.358840114</v>
      </c>
      <c r="I85" s="18">
        <f t="shared" si="55"/>
        <v>3144250.4606200927</v>
      </c>
      <c r="J85" s="18">
        <f t="shared" si="55"/>
        <v>1865764.1259059054</v>
      </c>
      <c r="K85" s="18">
        <f t="shared" si="55"/>
        <v>1271721.0004766115</v>
      </c>
      <c r="L85" s="18">
        <f t="shared" si="55"/>
        <v>7597.987973804291</v>
      </c>
      <c r="M85" s="18">
        <f t="shared" si="55"/>
        <v>175072.47608998622</v>
      </c>
      <c r="N85" s="18">
        <f t="shared" si="55"/>
        <v>656557.13259091845</v>
      </c>
      <c r="O85" s="18">
        <f t="shared" si="55"/>
        <v>519512.63404921337</v>
      </c>
      <c r="P85" s="18">
        <f t="shared" si="55"/>
        <v>314270.400881838</v>
      </c>
      <c r="Q85" s="18">
        <f t="shared" si="55"/>
        <v>366223.66027656489</v>
      </c>
      <c r="R85" s="18">
        <f t="shared" si="55"/>
        <v>8655.4161386372671</v>
      </c>
      <c r="T85" s="21">
        <f t="shared" si="54"/>
        <v>0</v>
      </c>
    </row>
    <row r="86" spans="1:20">
      <c r="A86">
        <v>928</v>
      </c>
      <c r="B86" t="s">
        <v>175</v>
      </c>
      <c r="D86">
        <v>84</v>
      </c>
      <c r="F86" s="2">
        <v>8322384.0846997648</v>
      </c>
      <c r="G86" s="18">
        <f t="shared" si="55"/>
        <v>4545447.3358311113</v>
      </c>
      <c r="H86" s="18">
        <f t="shared" si="55"/>
        <v>1137586.6249101143</v>
      </c>
      <c r="I86" s="18">
        <f t="shared" si="55"/>
        <v>1077834.021643223</v>
      </c>
      <c r="J86" s="18">
        <f t="shared" si="55"/>
        <v>647045.77882764</v>
      </c>
      <c r="K86" s="18">
        <f t="shared" si="55"/>
        <v>432094.78025137295</v>
      </c>
      <c r="L86" s="18">
        <f t="shared" si="55"/>
        <v>0</v>
      </c>
      <c r="M86" s="18">
        <f t="shared" si="55"/>
        <v>0</v>
      </c>
      <c r="N86" s="18">
        <f t="shared" si="55"/>
        <v>203856.41229244033</v>
      </c>
      <c r="O86" s="18">
        <f t="shared" si="55"/>
        <v>171995.07847591795</v>
      </c>
      <c r="P86" s="18">
        <f t="shared" si="55"/>
        <v>32017.940177551285</v>
      </c>
      <c r="Q86" s="18">
        <f t="shared" si="55"/>
        <v>73157.81628343898</v>
      </c>
      <c r="R86" s="18">
        <f t="shared" si="55"/>
        <v>1348.2960069545234</v>
      </c>
      <c r="T86" s="21">
        <f t="shared" si="54"/>
        <v>0</v>
      </c>
    </row>
    <row r="87" spans="1:20">
      <c r="A87">
        <v>930</v>
      </c>
      <c r="B87" t="s">
        <v>176</v>
      </c>
      <c r="D87">
        <v>62</v>
      </c>
      <c r="F87" s="2">
        <v>4820104.1603624756</v>
      </c>
      <c r="G87" s="18">
        <f t="shared" si="55"/>
        <v>2910585.0345676211</v>
      </c>
      <c r="H87" s="18">
        <f t="shared" si="55"/>
        <v>607079.33100855059</v>
      </c>
      <c r="I87" s="18">
        <f t="shared" si="55"/>
        <v>490836.37976597657</v>
      </c>
      <c r="J87" s="18">
        <f t="shared" si="55"/>
        <v>294843.48190061143</v>
      </c>
      <c r="K87" s="18">
        <f t="shared" si="55"/>
        <v>207778.12682518142</v>
      </c>
      <c r="L87" s="18">
        <f t="shared" si="55"/>
        <v>1430.2622158306231</v>
      </c>
      <c r="M87" s="18">
        <f t="shared" si="55"/>
        <v>28948.253367872148</v>
      </c>
      <c r="N87" s="18">
        <f t="shared" si="55"/>
        <v>96227.374870683125</v>
      </c>
      <c r="O87" s="18">
        <f t="shared" si="55"/>
        <v>81118.10206073412</v>
      </c>
      <c r="P87" s="18">
        <f t="shared" si="55"/>
        <v>28052.921349242148</v>
      </c>
      <c r="Q87" s="18">
        <f t="shared" si="55"/>
        <v>71545.569851743479</v>
      </c>
      <c r="R87" s="18">
        <f t="shared" si="55"/>
        <v>1659.3225784289727</v>
      </c>
      <c r="T87" s="21">
        <f t="shared" si="54"/>
        <v>0</v>
      </c>
    </row>
    <row r="88" spans="1:20">
      <c r="A88">
        <v>931</v>
      </c>
      <c r="B88" t="s">
        <v>177</v>
      </c>
      <c r="D88">
        <v>62</v>
      </c>
      <c r="F88" s="2">
        <v>7281686.8702663016</v>
      </c>
      <c r="G88" s="18">
        <f t="shared" si="55"/>
        <v>4396993.9499006253</v>
      </c>
      <c r="H88" s="18">
        <f t="shared" si="55"/>
        <v>917109.14261292294</v>
      </c>
      <c r="I88" s="18">
        <f t="shared" si="55"/>
        <v>741501.98897821736</v>
      </c>
      <c r="J88" s="18">
        <f t="shared" si="55"/>
        <v>445417.32699357875</v>
      </c>
      <c r="K88" s="18">
        <f t="shared" si="55"/>
        <v>313888.49860822782</v>
      </c>
      <c r="L88" s="18">
        <f t="shared" si="55"/>
        <v>2160.6839295499044</v>
      </c>
      <c r="M88" s="18">
        <f t="shared" si="55"/>
        <v>43731.859199101855</v>
      </c>
      <c r="N88" s="18">
        <f t="shared" si="55"/>
        <v>145369.8071336603</v>
      </c>
      <c r="O88" s="18">
        <f t="shared" si="55"/>
        <v>122544.36814331209</v>
      </c>
      <c r="P88" s="18">
        <f t="shared" si="55"/>
        <v>42379.289381586372</v>
      </c>
      <c r="Q88" s="18">
        <f t="shared" si="55"/>
        <v>108083.23208019295</v>
      </c>
      <c r="R88" s="18">
        <f t="shared" si="55"/>
        <v>2506.7233053266737</v>
      </c>
      <c r="T88" s="21">
        <f t="shared" si="54"/>
        <v>0</v>
      </c>
    </row>
    <row r="89" spans="1:20">
      <c r="B89" s="1" t="s">
        <v>8</v>
      </c>
      <c r="C89" s="1"/>
      <c r="D89" s="1"/>
      <c r="E89" s="1"/>
      <c r="F89" s="3">
        <f>SUM(F79:F88)</f>
        <v>104544089.88350426</v>
      </c>
      <c r="G89" s="3">
        <f t="shared" ref="G89:R89" si="56">SUM(G79:G88)</f>
        <v>62185193.914968111</v>
      </c>
      <c r="H89" s="3">
        <f t="shared" si="56"/>
        <v>13198562.563860457</v>
      </c>
      <c r="I89" s="3">
        <f t="shared" si="56"/>
        <v>11082602.38021351</v>
      </c>
      <c r="J89" s="3">
        <f t="shared" si="56"/>
        <v>6629723.0289044343</v>
      </c>
      <c r="K89" s="3">
        <f t="shared" si="56"/>
        <v>4591673.4669911927</v>
      </c>
      <c r="L89" s="3">
        <f t="shared" ref="L89:M89" si="57">SUM(L79:L88)</f>
        <v>27107.303530415262</v>
      </c>
      <c r="M89" s="3">
        <f t="shared" si="57"/>
        <v>576386.98372023855</v>
      </c>
      <c r="N89" s="3">
        <f t="shared" si="56"/>
        <v>2218627.9147329694</v>
      </c>
      <c r="O89" s="3">
        <f t="shared" si="56"/>
        <v>1826493.8168222567</v>
      </c>
      <c r="P89" s="3">
        <f t="shared" si="56"/>
        <v>778095.52825964789</v>
      </c>
      <c r="Q89" s="3">
        <f t="shared" si="56"/>
        <v>1397034.6828351482</v>
      </c>
      <c r="R89" s="3">
        <f t="shared" si="56"/>
        <v>32588.298665885886</v>
      </c>
      <c r="T89" s="21">
        <f t="shared" si="54"/>
        <v>0</v>
      </c>
    </row>
    <row r="90" spans="1:20"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T90" s="21">
        <f t="shared" si="54"/>
        <v>0</v>
      </c>
    </row>
    <row r="91" spans="1:20">
      <c r="B91" s="1" t="s">
        <v>178</v>
      </c>
      <c r="C91" s="1"/>
      <c r="D91" s="1"/>
      <c r="E91" s="1"/>
      <c r="F91" s="3">
        <f>SUM(F20,F29,F35,F40,F44,F57,F65,F76,F89)</f>
        <v>1095390907.1926994</v>
      </c>
      <c r="G91" s="3">
        <f t="shared" ref="G91:R91" si="58">SUM(G20,G29,G35,G40,G44,G57,G65,G76,G89)</f>
        <v>580995847.94819534</v>
      </c>
      <c r="H91" s="3">
        <f t="shared" si="58"/>
        <v>144258405.64705724</v>
      </c>
      <c r="I91" s="3">
        <f t="shared" si="58"/>
        <v>140227032.71361494</v>
      </c>
      <c r="J91" s="3">
        <f t="shared" si="58"/>
        <v>92711061.922705337</v>
      </c>
      <c r="K91" s="3">
        <f t="shared" si="58"/>
        <v>60474041.246626958</v>
      </c>
      <c r="L91" s="3">
        <f t="shared" ref="L91:M91" si="59">SUM(L20,L29,L35,L40,L44,L57,L65,L76,L89)</f>
        <v>261906.83139424812</v>
      </c>
      <c r="M91" s="3">
        <f t="shared" si="59"/>
        <v>5755861.1107106507</v>
      </c>
      <c r="N91" s="3">
        <f t="shared" si="58"/>
        <v>32424999.505404703</v>
      </c>
      <c r="O91" s="3">
        <f t="shared" si="58"/>
        <v>29259741.166696541</v>
      </c>
      <c r="P91" s="3">
        <f t="shared" si="58"/>
        <v>2452673.7726827371</v>
      </c>
      <c r="Q91" s="3">
        <f t="shared" si="58"/>
        <v>6230180.3512457293</v>
      </c>
      <c r="R91" s="3">
        <f t="shared" si="58"/>
        <v>339154.48334952863</v>
      </c>
      <c r="T91" s="21">
        <f t="shared" si="54"/>
        <v>-0.49301576614379883</v>
      </c>
    </row>
    <row r="92" spans="1:20">
      <c r="T92" s="21">
        <f t="shared" si="54"/>
        <v>0</v>
      </c>
    </row>
    <row r="93" spans="1:20">
      <c r="T93" s="21">
        <f t="shared" si="54"/>
        <v>0</v>
      </c>
    </row>
    <row r="94" spans="1:20">
      <c r="B94" s="1" t="s">
        <v>179</v>
      </c>
      <c r="C94" s="1"/>
      <c r="D94" s="1"/>
      <c r="E94" s="1"/>
      <c r="T94" s="21">
        <f t="shared" si="54"/>
        <v>0</v>
      </c>
    </row>
    <row r="95" spans="1:20">
      <c r="A95">
        <v>591</v>
      </c>
      <c r="B95" t="s">
        <v>180</v>
      </c>
      <c r="F95" s="2">
        <v>0</v>
      </c>
      <c r="T95" s="21">
        <f t="shared" si="54"/>
        <v>0</v>
      </c>
    </row>
    <row r="96" spans="1:20">
      <c r="A96">
        <v>592</v>
      </c>
      <c r="B96" t="s">
        <v>181</v>
      </c>
      <c r="D96">
        <v>56</v>
      </c>
      <c r="F96" s="2">
        <v>1606371.0100402089</v>
      </c>
      <c r="G96" s="18">
        <f t="shared" ref="G96:R99" si="60">INDEX(Alloc,($D96),(G$1))*$F96</f>
        <v>799347.68354260537</v>
      </c>
      <c r="H96" s="18">
        <f t="shared" si="60"/>
        <v>206787.96175731558</v>
      </c>
      <c r="I96" s="18">
        <f t="shared" si="60"/>
        <v>222717.30171120775</v>
      </c>
      <c r="J96" s="18">
        <f t="shared" si="60"/>
        <v>126233.33444024556</v>
      </c>
      <c r="K96" s="18">
        <f t="shared" si="60"/>
        <v>100834.60115088202</v>
      </c>
      <c r="L96" s="18">
        <f t="shared" si="60"/>
        <v>357.71061550434638</v>
      </c>
      <c r="M96" s="18">
        <f t="shared" si="60"/>
        <v>12651.229361110343</v>
      </c>
      <c r="N96" s="18">
        <f t="shared" si="60"/>
        <v>55705.811032805388</v>
      </c>
      <c r="O96" s="18">
        <f t="shared" si="60"/>
        <v>54617.142458362207</v>
      </c>
      <c r="P96" s="18">
        <f t="shared" si="60"/>
        <v>25282.334770569283</v>
      </c>
      <c r="Q96" s="18">
        <f t="shared" si="60"/>
        <v>1415.4377145508513</v>
      </c>
      <c r="R96" s="18">
        <f t="shared" si="60"/>
        <v>420.46148505039997</v>
      </c>
      <c r="T96" s="21">
        <f t="shared" si="54"/>
        <v>0</v>
      </c>
    </row>
    <row r="97" spans="1:20">
      <c r="A97">
        <v>593</v>
      </c>
      <c r="B97" t="s">
        <v>144</v>
      </c>
      <c r="D97">
        <v>57</v>
      </c>
      <c r="F97" s="2">
        <v>40423107.59376993</v>
      </c>
      <c r="G97" s="18">
        <f t="shared" si="60"/>
        <v>27398060.114924263</v>
      </c>
      <c r="H97" s="18">
        <f t="shared" si="60"/>
        <v>5253511.1332823774</v>
      </c>
      <c r="I97" s="18">
        <f t="shared" si="60"/>
        <v>4058383.2639011219</v>
      </c>
      <c r="J97" s="18">
        <f t="shared" si="60"/>
        <v>1691074.1099640732</v>
      </c>
      <c r="K97" s="18">
        <f t="shared" si="60"/>
        <v>1440526.5936719279</v>
      </c>
      <c r="L97" s="18">
        <f t="shared" si="60"/>
        <v>32271.168765137187</v>
      </c>
      <c r="M97" s="18">
        <f t="shared" si="60"/>
        <v>402903.10953257955</v>
      </c>
      <c r="N97" s="18">
        <f t="shared" si="60"/>
        <v>91363.054484369015</v>
      </c>
      <c r="O97" s="18">
        <f t="shared" si="60"/>
        <v>0</v>
      </c>
      <c r="P97" s="18">
        <f t="shared" si="60"/>
        <v>0</v>
      </c>
      <c r="Q97" s="18">
        <f t="shared" si="60"/>
        <v>26392.626716211445</v>
      </c>
      <c r="R97" s="18">
        <f t="shared" si="60"/>
        <v>28622.418527872935</v>
      </c>
      <c r="T97" s="21">
        <f t="shared" si="54"/>
        <v>0</v>
      </c>
    </row>
    <row r="98" spans="1:20">
      <c r="A98">
        <v>594</v>
      </c>
      <c r="B98" t="s">
        <v>145</v>
      </c>
      <c r="D98">
        <v>58</v>
      </c>
      <c r="F98" s="2">
        <v>16035160.216004606</v>
      </c>
      <c r="G98" s="18">
        <f t="shared" si="60"/>
        <v>10460277.409522269</v>
      </c>
      <c r="H98" s="18">
        <f t="shared" si="60"/>
        <v>1935666.5648502479</v>
      </c>
      <c r="I98" s="18">
        <f t="shared" si="60"/>
        <v>1786387.1059785085</v>
      </c>
      <c r="J98" s="18">
        <f t="shared" si="60"/>
        <v>767077.32209071354</v>
      </c>
      <c r="K98" s="18">
        <f t="shared" si="60"/>
        <v>522158.72338341118</v>
      </c>
      <c r="L98" s="18">
        <f t="shared" si="60"/>
        <v>5812.7645517022947</v>
      </c>
      <c r="M98" s="18">
        <f t="shared" si="60"/>
        <v>178439.09643055341</v>
      </c>
      <c r="N98" s="18">
        <f t="shared" si="60"/>
        <v>296305.23113427061</v>
      </c>
      <c r="O98" s="18">
        <f t="shared" si="60"/>
        <v>71234.808492303593</v>
      </c>
      <c r="P98" s="18">
        <f t="shared" si="60"/>
        <v>0</v>
      </c>
      <c r="Q98" s="18">
        <f t="shared" si="60"/>
        <v>7665.1840242228054</v>
      </c>
      <c r="R98" s="18">
        <f t="shared" si="60"/>
        <v>4136.0055464035549</v>
      </c>
      <c r="T98" s="21">
        <f t="shared" si="54"/>
        <v>0</v>
      </c>
    </row>
    <row r="99" spans="1:20">
      <c r="A99">
        <v>595</v>
      </c>
      <c r="B99" t="s">
        <v>182</v>
      </c>
      <c r="D99">
        <v>59</v>
      </c>
      <c r="F99" s="2">
        <v>255786.2425414742</v>
      </c>
      <c r="G99" s="18">
        <f t="shared" si="60"/>
        <v>186354.49760451325</v>
      </c>
      <c r="H99" s="18">
        <f t="shared" si="60"/>
        <v>34117.134842740888</v>
      </c>
      <c r="I99" s="18">
        <f t="shared" si="60"/>
        <v>15821.569671496127</v>
      </c>
      <c r="J99" s="18">
        <f t="shared" si="60"/>
        <v>4886.2985949081203</v>
      </c>
      <c r="K99" s="18">
        <f t="shared" si="60"/>
        <v>455.05541303181087</v>
      </c>
      <c r="L99" s="18">
        <f t="shared" si="60"/>
        <v>0</v>
      </c>
      <c r="M99" s="18">
        <f t="shared" si="60"/>
        <v>26.426959450610298</v>
      </c>
      <c r="N99" s="18">
        <f t="shared" si="60"/>
        <v>1309.6327900925971</v>
      </c>
      <c r="O99" s="18">
        <f t="shared" si="60"/>
        <v>0</v>
      </c>
      <c r="P99" s="18">
        <f t="shared" si="60"/>
        <v>0</v>
      </c>
      <c r="Q99" s="18">
        <f t="shared" si="60"/>
        <v>12794.998277376428</v>
      </c>
      <c r="R99" s="18">
        <f t="shared" si="60"/>
        <v>20.628387864387786</v>
      </c>
      <c r="T99" s="21">
        <f t="shared" si="54"/>
        <v>0</v>
      </c>
    </row>
    <row r="100" spans="1:20">
      <c r="A100">
        <v>596</v>
      </c>
      <c r="B100" t="s">
        <v>146</v>
      </c>
      <c r="D100" t="s">
        <v>485</v>
      </c>
      <c r="F100" s="2">
        <v>2559362.8506887127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v>0</v>
      </c>
      <c r="P100" s="18">
        <v>0</v>
      </c>
      <c r="Q100" s="18">
        <v>2559363</v>
      </c>
      <c r="R100" s="18">
        <v>0</v>
      </c>
      <c r="T100" s="21">
        <f t="shared" si="54"/>
        <v>0.14931128732860088</v>
      </c>
    </row>
    <row r="101" spans="1:20">
      <c r="A101">
        <v>597</v>
      </c>
      <c r="B101" t="s">
        <v>183</v>
      </c>
      <c r="D101">
        <v>19</v>
      </c>
      <c r="F101" s="2">
        <v>501015.50515303854</v>
      </c>
      <c r="G101" s="18">
        <f t="shared" ref="G101:Q101" si="61">INDEX(Alloc,($D101),(G$1))*$F101</f>
        <v>325745.67046652077</v>
      </c>
      <c r="H101" s="18">
        <f t="shared" si="61"/>
        <v>92304.366331900426</v>
      </c>
      <c r="I101" s="18">
        <f t="shared" si="61"/>
        <v>25072.626928174664</v>
      </c>
      <c r="J101" s="18">
        <f t="shared" si="61"/>
        <v>2839.1485738616166</v>
      </c>
      <c r="K101" s="18">
        <f t="shared" si="61"/>
        <v>35234.917257470901</v>
      </c>
      <c r="L101" s="18">
        <f t="shared" si="61"/>
        <v>82.804446265674855</v>
      </c>
      <c r="M101" s="18">
        <f t="shared" si="61"/>
        <v>12315.641385472212</v>
      </c>
      <c r="N101" s="18">
        <f t="shared" si="61"/>
        <v>2980.3779885534482</v>
      </c>
      <c r="O101" s="18">
        <f t="shared" si="61"/>
        <v>1542.2436378844259</v>
      </c>
      <c r="P101" s="18">
        <f t="shared" si="61"/>
        <v>2165.7973210317164</v>
      </c>
      <c r="Q101" s="18">
        <f t="shared" si="61"/>
        <v>0</v>
      </c>
      <c r="R101" s="18">
        <f>INDEX(Alloc,($D101),(R$1))*$F101</f>
        <v>731.91081590266219</v>
      </c>
      <c r="T101" s="21">
        <f t="shared" si="54"/>
        <v>0</v>
      </c>
    </row>
    <row r="102" spans="1:20">
      <c r="B102" s="1" t="s">
        <v>8</v>
      </c>
      <c r="C102" s="1"/>
      <c r="D102" s="1"/>
      <c r="E102" s="1"/>
      <c r="F102" s="3">
        <f>SUM(F96:F101)</f>
        <v>61380803.418197967</v>
      </c>
      <c r="G102" s="3">
        <f t="shared" ref="G102:R102" si="62">SUM(G96:G101)</f>
        <v>39169785.376060173</v>
      </c>
      <c r="H102" s="3">
        <f t="shared" si="62"/>
        <v>7522387.1610645819</v>
      </c>
      <c r="I102" s="3">
        <f t="shared" si="62"/>
        <v>6108381.8681905093</v>
      </c>
      <c r="J102" s="3">
        <f t="shared" si="62"/>
        <v>2592110.213663802</v>
      </c>
      <c r="K102" s="3">
        <f t="shared" si="62"/>
        <v>2099209.8908767235</v>
      </c>
      <c r="L102" s="3">
        <f t="shared" ref="L102:M102" si="63">SUM(L96:L101)</f>
        <v>38524.448378609508</v>
      </c>
      <c r="M102" s="3">
        <f t="shared" si="63"/>
        <v>606335.50366916612</v>
      </c>
      <c r="N102" s="3">
        <f t="shared" si="62"/>
        <v>447664.10743009107</v>
      </c>
      <c r="O102" s="3">
        <f t="shared" si="62"/>
        <v>127394.19458855024</v>
      </c>
      <c r="P102" s="3">
        <f t="shared" si="62"/>
        <v>27448.132091601001</v>
      </c>
      <c r="Q102" s="3">
        <f t="shared" si="62"/>
        <v>2607631.2467323616</v>
      </c>
      <c r="R102" s="3">
        <f t="shared" si="62"/>
        <v>33931.424763093943</v>
      </c>
      <c r="T102" s="21">
        <f t="shared" si="54"/>
        <v>0.14931129664182663</v>
      </c>
    </row>
    <row r="103" spans="1:20">
      <c r="T103" s="21">
        <f t="shared" si="54"/>
        <v>0</v>
      </c>
    </row>
    <row r="104" spans="1:20">
      <c r="B104" s="1" t="s">
        <v>184</v>
      </c>
      <c r="C104" s="1"/>
      <c r="D104" s="1"/>
      <c r="E104" s="1"/>
      <c r="T104" s="21">
        <f t="shared" si="54"/>
        <v>0</v>
      </c>
    </row>
    <row r="105" spans="1:20">
      <c r="A105">
        <v>935</v>
      </c>
      <c r="B105" t="s">
        <v>185</v>
      </c>
      <c r="D105">
        <v>70</v>
      </c>
      <c r="F105" s="2">
        <v>12120662.048645999</v>
      </c>
      <c r="G105" s="18">
        <f t="shared" ref="G105:R105" si="64">INDEX(Alloc,($D105),(G$1))*$F105</f>
        <v>7201351.6532708481</v>
      </c>
      <c r="H105" s="18">
        <f t="shared" si="64"/>
        <v>1506443.9879913039</v>
      </c>
      <c r="I105" s="18">
        <f t="shared" si="64"/>
        <v>1289053.3552704053</v>
      </c>
      <c r="J105" s="18">
        <f t="shared" si="64"/>
        <v>765120.38505737577</v>
      </c>
      <c r="K105" s="18">
        <f t="shared" si="64"/>
        <v>521604.50478950999</v>
      </c>
      <c r="L105" s="18">
        <f t="shared" si="64"/>
        <v>3117.8388084448447</v>
      </c>
      <c r="M105" s="18">
        <f t="shared" si="64"/>
        <v>71826.701119195888</v>
      </c>
      <c r="N105" s="18">
        <f t="shared" si="64"/>
        <v>269194.60764592211</v>
      </c>
      <c r="O105" s="18">
        <f t="shared" si="64"/>
        <v>213001.92066461968</v>
      </c>
      <c r="P105" s="18">
        <f t="shared" si="64"/>
        <v>128451.89531557454</v>
      </c>
      <c r="Q105" s="18">
        <f t="shared" si="64"/>
        <v>147944.32001144515</v>
      </c>
      <c r="R105" s="18">
        <f t="shared" si="64"/>
        <v>3550.8787013553947</v>
      </c>
      <c r="T105" s="21">
        <f t="shared" si="54"/>
        <v>0</v>
      </c>
    </row>
    <row r="106" spans="1:20">
      <c r="B106" s="1" t="s">
        <v>8</v>
      </c>
      <c r="C106" s="1"/>
      <c r="D106" s="1"/>
      <c r="E106" s="1"/>
      <c r="F106" s="3">
        <f>SUM(F105)</f>
        <v>12120662.048645999</v>
      </c>
      <c r="G106" s="3">
        <f t="shared" ref="G106:R106" si="65">SUM(G105)</f>
        <v>7201351.6532708481</v>
      </c>
      <c r="H106" s="3">
        <f t="shared" si="65"/>
        <v>1506443.9879913039</v>
      </c>
      <c r="I106" s="3">
        <f t="shared" si="65"/>
        <v>1289053.3552704053</v>
      </c>
      <c r="J106" s="3">
        <f t="shared" si="65"/>
        <v>765120.38505737577</v>
      </c>
      <c r="K106" s="3">
        <f t="shared" si="65"/>
        <v>521604.50478950999</v>
      </c>
      <c r="L106" s="3">
        <f t="shared" ref="L106:M106" si="66">SUM(L105)</f>
        <v>3117.8388084448447</v>
      </c>
      <c r="M106" s="3">
        <f t="shared" si="66"/>
        <v>71826.701119195888</v>
      </c>
      <c r="N106" s="3">
        <f t="shared" si="65"/>
        <v>269194.60764592211</v>
      </c>
      <c r="O106" s="3">
        <f t="shared" si="65"/>
        <v>213001.92066461968</v>
      </c>
      <c r="P106" s="3">
        <f t="shared" si="65"/>
        <v>128451.89531557454</v>
      </c>
      <c r="Q106" s="3">
        <f t="shared" si="65"/>
        <v>147944.32001144515</v>
      </c>
      <c r="R106" s="3">
        <f t="shared" si="65"/>
        <v>3550.8787013553947</v>
      </c>
      <c r="T106" s="21">
        <f t="shared" si="54"/>
        <v>0</v>
      </c>
    </row>
    <row r="107" spans="1:20">
      <c r="T107" s="21">
        <f t="shared" si="54"/>
        <v>0</v>
      </c>
    </row>
    <row r="108" spans="1:20">
      <c r="B108" s="1" t="s">
        <v>186</v>
      </c>
      <c r="C108" s="1"/>
      <c r="D108" s="1"/>
      <c r="E108" s="1"/>
      <c r="F108" s="3">
        <f>SUM(F102,F106)</f>
        <v>73501465.466843963</v>
      </c>
      <c r="G108" s="3">
        <f t="shared" ref="G108:R108" si="67">SUM(G102,G106)</f>
        <v>46371137.029331021</v>
      </c>
      <c r="H108" s="3">
        <f t="shared" si="67"/>
        <v>9028831.1490558852</v>
      </c>
      <c r="I108" s="3">
        <f t="shared" si="67"/>
        <v>7397435.2234609146</v>
      </c>
      <c r="J108" s="3">
        <f t="shared" si="67"/>
        <v>3357230.5987211778</v>
      </c>
      <c r="K108" s="3">
        <f t="shared" si="67"/>
        <v>2620814.3956662333</v>
      </c>
      <c r="L108" s="3">
        <f t="shared" ref="L108:M108" si="68">SUM(L102,L106)</f>
        <v>41642.287187054353</v>
      </c>
      <c r="M108" s="3">
        <f t="shared" si="68"/>
        <v>678162.20478836203</v>
      </c>
      <c r="N108" s="3">
        <f t="shared" si="67"/>
        <v>716858.71507601324</v>
      </c>
      <c r="O108" s="3">
        <f t="shared" si="67"/>
        <v>340396.1152531699</v>
      </c>
      <c r="P108" s="3">
        <f t="shared" si="67"/>
        <v>155900.02740717554</v>
      </c>
      <c r="Q108" s="3">
        <f t="shared" si="67"/>
        <v>2755575.5667438069</v>
      </c>
      <c r="R108" s="3">
        <f t="shared" si="67"/>
        <v>37482.303464449338</v>
      </c>
      <c r="T108" s="21">
        <f t="shared" si="54"/>
        <v>0.14931127429008484</v>
      </c>
    </row>
    <row r="109" spans="1:20">
      <c r="T109" s="21">
        <f t="shared" si="54"/>
        <v>0</v>
      </c>
    </row>
    <row r="110" spans="1:20">
      <c r="T110" s="21">
        <f t="shared" si="54"/>
        <v>0</v>
      </c>
    </row>
    <row r="111" spans="1:20">
      <c r="B111" s="1" t="s">
        <v>187</v>
      </c>
      <c r="C111" s="1"/>
      <c r="D111" s="1"/>
      <c r="E111" s="1"/>
      <c r="F111" s="3">
        <f>SUM(F91,F108)</f>
        <v>1168892372.6595435</v>
      </c>
      <c r="G111" s="3">
        <f t="shared" ref="G111:R111" si="69">SUM(G91,G108)</f>
        <v>627366984.97752631</v>
      </c>
      <c r="H111" s="3">
        <f t="shared" si="69"/>
        <v>153287236.79611313</v>
      </c>
      <c r="I111" s="3">
        <f t="shared" si="69"/>
        <v>147624467.93707585</v>
      </c>
      <c r="J111" s="3">
        <f t="shared" si="69"/>
        <v>96068292.521426514</v>
      </c>
      <c r="K111" s="3">
        <f t="shared" si="69"/>
        <v>63094855.642293192</v>
      </c>
      <c r="L111" s="3">
        <f t="shared" ref="L111:M111" si="70">SUM(L91,L108)</f>
        <v>303549.11858130246</v>
      </c>
      <c r="M111" s="3">
        <f t="shared" si="70"/>
        <v>6434023.3154990124</v>
      </c>
      <c r="N111" s="3">
        <f t="shared" si="69"/>
        <v>33141858.220480718</v>
      </c>
      <c r="O111" s="3">
        <f t="shared" si="69"/>
        <v>29600137.28194971</v>
      </c>
      <c r="P111" s="3">
        <f t="shared" si="69"/>
        <v>2608573.8000899125</v>
      </c>
      <c r="Q111" s="3">
        <f t="shared" si="69"/>
        <v>8985755.9179895371</v>
      </c>
      <c r="R111" s="3">
        <f t="shared" si="69"/>
        <v>376636.78681397799</v>
      </c>
      <c r="T111" s="21">
        <f t="shared" si="54"/>
        <v>-0.3437044620513916</v>
      </c>
    </row>
    <row r="112" spans="1:20">
      <c r="T112" s="21">
        <f t="shared" si="54"/>
        <v>0</v>
      </c>
    </row>
    <row r="113" spans="1:20">
      <c r="A113" s="1" t="s">
        <v>212</v>
      </c>
      <c r="T113" s="21">
        <f t="shared" si="54"/>
        <v>0</v>
      </c>
    </row>
    <row r="114" spans="1:20">
      <c r="A114">
        <v>403.01</v>
      </c>
      <c r="B114" t="s">
        <v>213</v>
      </c>
      <c r="D114">
        <v>73</v>
      </c>
      <c r="F114" s="2">
        <v>49656182.506266594</v>
      </c>
      <c r="G114" s="18">
        <f t="shared" ref="G114:R122" si="71">INDEX(Alloc,($D114),(G$1))*$F114</f>
        <v>24957942.170387179</v>
      </c>
      <c r="H114" s="18">
        <f t="shared" si="71"/>
        <v>6586495.3599962126</v>
      </c>
      <c r="I114" s="18">
        <f t="shared" si="71"/>
        <v>6848332.4103517579</v>
      </c>
      <c r="J114" s="18">
        <f t="shared" si="71"/>
        <v>4627062.3982989332</v>
      </c>
      <c r="K114" s="18">
        <f t="shared" si="71"/>
        <v>3020535.9256736902</v>
      </c>
      <c r="L114" s="18">
        <f t="shared" si="71"/>
        <v>12662.32653909798</v>
      </c>
      <c r="M114" s="18">
        <f t="shared" si="71"/>
        <v>266554.38769363909</v>
      </c>
      <c r="N114" s="18">
        <f t="shared" si="71"/>
        <v>1632198.7189809827</v>
      </c>
      <c r="O114" s="18">
        <f t="shared" si="71"/>
        <v>1483329.4838271956</v>
      </c>
      <c r="P114" s="18">
        <f t="shared" si="71"/>
        <v>0</v>
      </c>
      <c r="Q114" s="18">
        <f t="shared" si="71"/>
        <v>205080.03375088098</v>
      </c>
      <c r="R114" s="18">
        <f t="shared" si="71"/>
        <v>15989.290767017845</v>
      </c>
      <c r="T114" s="21">
        <f t="shared" si="54"/>
        <v>0</v>
      </c>
    </row>
    <row r="115" spans="1:20">
      <c r="A115">
        <v>403.02</v>
      </c>
      <c r="B115" t="s">
        <v>214</v>
      </c>
      <c r="D115">
        <v>73</v>
      </c>
      <c r="F115" s="2">
        <v>18725546.655301787</v>
      </c>
      <c r="G115" s="18">
        <f t="shared" si="71"/>
        <v>9411740.6321545057</v>
      </c>
      <c r="H115" s="18">
        <f t="shared" si="71"/>
        <v>2483793.9594525392</v>
      </c>
      <c r="I115" s="18">
        <f t="shared" si="71"/>
        <v>2582533.7669659462</v>
      </c>
      <c r="J115" s="18">
        <f t="shared" si="71"/>
        <v>1744883.8884343309</v>
      </c>
      <c r="K115" s="18">
        <f t="shared" si="71"/>
        <v>1139056.2774953523</v>
      </c>
      <c r="L115" s="18">
        <f t="shared" si="71"/>
        <v>4775.0143971019552</v>
      </c>
      <c r="M115" s="18">
        <f t="shared" si="71"/>
        <v>100518.73444566</v>
      </c>
      <c r="N115" s="18">
        <f t="shared" si="71"/>
        <v>615508.71855976968</v>
      </c>
      <c r="O115" s="18">
        <f t="shared" si="71"/>
        <v>559369.52968717495</v>
      </c>
      <c r="P115" s="18">
        <f t="shared" si="71"/>
        <v>0</v>
      </c>
      <c r="Q115" s="18">
        <f t="shared" si="71"/>
        <v>77336.507686396362</v>
      </c>
      <c r="R115" s="18">
        <f t="shared" si="71"/>
        <v>6029.6260230071757</v>
      </c>
      <c r="T115" s="21">
        <f t="shared" si="54"/>
        <v>0</v>
      </c>
    </row>
    <row r="116" spans="1:20">
      <c r="A116">
        <v>403.03</v>
      </c>
      <c r="B116" t="s">
        <v>215</v>
      </c>
      <c r="D116">
        <v>73</v>
      </c>
      <c r="F116" s="2">
        <v>74534250.89338842</v>
      </c>
      <c r="G116" s="18">
        <f t="shared" si="71"/>
        <v>37462032.512780413</v>
      </c>
      <c r="H116" s="18">
        <f t="shared" si="71"/>
        <v>9886372.1070008259</v>
      </c>
      <c r="I116" s="18">
        <f t="shared" si="71"/>
        <v>10279391.211961664</v>
      </c>
      <c r="J116" s="18">
        <f t="shared" si="71"/>
        <v>6945250.5667477185</v>
      </c>
      <c r="K116" s="18">
        <f t="shared" si="71"/>
        <v>4533843.9475939237</v>
      </c>
      <c r="L116" s="18">
        <f t="shared" si="71"/>
        <v>19006.233977814045</v>
      </c>
      <c r="M116" s="18">
        <f t="shared" si="71"/>
        <v>400099.85879570909</v>
      </c>
      <c r="N116" s="18">
        <f t="shared" si="71"/>
        <v>2449940.8268656773</v>
      </c>
      <c r="O116" s="18">
        <f t="shared" si="71"/>
        <v>2226487.1426872984</v>
      </c>
      <c r="P116" s="18">
        <f t="shared" si="71"/>
        <v>0</v>
      </c>
      <c r="Q116" s="18">
        <f t="shared" si="71"/>
        <v>307826.45618969412</v>
      </c>
      <c r="R116" s="18">
        <f t="shared" si="71"/>
        <v>24000.028787671072</v>
      </c>
      <c r="T116" s="21">
        <f t="shared" si="54"/>
        <v>0</v>
      </c>
    </row>
    <row r="117" spans="1:20">
      <c r="A117">
        <v>403.04</v>
      </c>
      <c r="B117" t="s">
        <v>216</v>
      </c>
      <c r="D117">
        <v>82</v>
      </c>
      <c r="F117" s="2">
        <v>29988545.120614346</v>
      </c>
      <c r="G117" s="18">
        <f t="shared" si="71"/>
        <v>14044787.404869441</v>
      </c>
      <c r="H117" s="18">
        <f t="shared" si="71"/>
        <v>3706472.5305784591</v>
      </c>
      <c r="I117" s="18">
        <f t="shared" si="71"/>
        <v>3853818.2404873893</v>
      </c>
      <c r="J117" s="18">
        <f t="shared" si="71"/>
        <v>2603824.7564448821</v>
      </c>
      <c r="K117" s="18">
        <f t="shared" si="71"/>
        <v>1699770.944064151</v>
      </c>
      <c r="L117" s="18">
        <f t="shared" si="71"/>
        <v>7125.5748201739061</v>
      </c>
      <c r="M117" s="18">
        <f t="shared" si="71"/>
        <v>150000.33582232753</v>
      </c>
      <c r="N117" s="18">
        <f t="shared" si="71"/>
        <v>918500.56603575021</v>
      </c>
      <c r="O117" s="18">
        <f t="shared" si="71"/>
        <v>834726.16089503886</v>
      </c>
      <c r="P117" s="18">
        <f t="shared" si="71"/>
        <v>2045114.4532657049</v>
      </c>
      <c r="Q117" s="18">
        <f t="shared" si="71"/>
        <v>115406.36865614992</v>
      </c>
      <c r="R117" s="18">
        <f t="shared" si="71"/>
        <v>8997.7846748862667</v>
      </c>
      <c r="T117" s="21">
        <f t="shared" si="54"/>
        <v>0</v>
      </c>
    </row>
    <row r="118" spans="1:20">
      <c r="A118">
        <v>403.05</v>
      </c>
      <c r="B118" t="s">
        <v>217</v>
      </c>
      <c r="D118">
        <v>68</v>
      </c>
      <c r="F118" s="2">
        <v>116546832.38730794</v>
      </c>
      <c r="G118" s="18">
        <f t="shared" si="71"/>
        <v>75915939.061680004</v>
      </c>
      <c r="H118" s="18">
        <f t="shared" si="71"/>
        <v>14152821.425414067</v>
      </c>
      <c r="I118" s="18">
        <f t="shared" si="71"/>
        <v>11337005.231030231</v>
      </c>
      <c r="J118" s="18">
        <f t="shared" si="71"/>
        <v>4961885.1385691864</v>
      </c>
      <c r="K118" s="18">
        <f t="shared" si="71"/>
        <v>3845804.3340073442</v>
      </c>
      <c r="L118" s="18">
        <f t="shared" si="71"/>
        <v>40981.114120695791</v>
      </c>
      <c r="M118" s="18">
        <f t="shared" si="71"/>
        <v>1021667.761376439</v>
      </c>
      <c r="N118" s="18">
        <f t="shared" si="71"/>
        <v>1717272.5909512369</v>
      </c>
      <c r="O118" s="18">
        <f t="shared" si="71"/>
        <v>733428.79683647631</v>
      </c>
      <c r="P118" s="18">
        <f t="shared" si="71"/>
        <v>243127.11951376958</v>
      </c>
      <c r="Q118" s="18">
        <f t="shared" si="71"/>
        <v>2535593.0072682523</v>
      </c>
      <c r="R118" s="18">
        <f t="shared" si="71"/>
        <v>41306.806540257414</v>
      </c>
      <c r="T118" s="21">
        <f t="shared" si="54"/>
        <v>0</v>
      </c>
    </row>
    <row r="119" spans="1:20">
      <c r="A119">
        <v>403.06</v>
      </c>
      <c r="B119" t="s">
        <v>218</v>
      </c>
      <c r="D119">
        <v>70</v>
      </c>
      <c r="F119" s="2">
        <v>27073546.103763744</v>
      </c>
      <c r="G119" s="18">
        <f t="shared" si="71"/>
        <v>16085435.36745365</v>
      </c>
      <c r="H119" s="18">
        <f t="shared" si="71"/>
        <v>3364897.1151849213</v>
      </c>
      <c r="I119" s="18">
        <f t="shared" si="71"/>
        <v>2879318.4154510163</v>
      </c>
      <c r="J119" s="18">
        <f t="shared" si="71"/>
        <v>1709025.6239009942</v>
      </c>
      <c r="K119" s="18">
        <f t="shared" si="71"/>
        <v>1165091.770703003</v>
      </c>
      <c r="L119" s="18">
        <f t="shared" si="71"/>
        <v>6964.2196429331907</v>
      </c>
      <c r="M119" s="18">
        <f t="shared" si="71"/>
        <v>160437.06989165998</v>
      </c>
      <c r="N119" s="18">
        <f t="shared" si="71"/>
        <v>601291.62843877939</v>
      </c>
      <c r="O119" s="18">
        <f t="shared" si="71"/>
        <v>475775.77001645789</v>
      </c>
      <c r="P119" s="18">
        <f t="shared" si="71"/>
        <v>286919.0062378259</v>
      </c>
      <c r="Q119" s="18">
        <f t="shared" si="71"/>
        <v>330458.62944980618</v>
      </c>
      <c r="R119" s="18">
        <f t="shared" si="71"/>
        <v>7931.4873927004055</v>
      </c>
      <c r="T119" s="21">
        <f t="shared" si="54"/>
        <v>0</v>
      </c>
    </row>
    <row r="120" spans="1:20">
      <c r="A120">
        <v>403.07</v>
      </c>
      <c r="B120" t="s">
        <v>219</v>
      </c>
      <c r="D120">
        <v>73</v>
      </c>
      <c r="F120" s="2">
        <v>1739313.9972498524</v>
      </c>
      <c r="G120" s="18">
        <f t="shared" si="71"/>
        <v>874205.30472773442</v>
      </c>
      <c r="H120" s="18">
        <f t="shared" si="71"/>
        <v>230706.08722321488</v>
      </c>
      <c r="I120" s="18">
        <f t="shared" si="71"/>
        <v>239877.4899307134</v>
      </c>
      <c r="J120" s="18">
        <f t="shared" si="71"/>
        <v>162072.75689173571</v>
      </c>
      <c r="K120" s="18">
        <f t="shared" si="71"/>
        <v>105800.73113871126</v>
      </c>
      <c r="L120" s="18">
        <f t="shared" si="71"/>
        <v>443.52506929871231</v>
      </c>
      <c r="M120" s="18">
        <f t="shared" si="71"/>
        <v>9336.6375372372077</v>
      </c>
      <c r="N120" s="18">
        <f t="shared" si="71"/>
        <v>57171.251089602643</v>
      </c>
      <c r="O120" s="18">
        <f t="shared" si="71"/>
        <v>51956.787725847586</v>
      </c>
      <c r="P120" s="18">
        <f t="shared" si="71"/>
        <v>0</v>
      </c>
      <c r="Q120" s="18">
        <f t="shared" si="71"/>
        <v>7183.3668086418893</v>
      </c>
      <c r="R120" s="18">
        <f t="shared" si="71"/>
        <v>560.05910711445256</v>
      </c>
      <c r="T120" s="21">
        <f t="shared" si="54"/>
        <v>0</v>
      </c>
    </row>
    <row r="121" spans="1:20">
      <c r="A121">
        <v>403.08</v>
      </c>
      <c r="B121" t="s">
        <v>220</v>
      </c>
      <c r="F121" s="2">
        <v>0</v>
      </c>
      <c r="G121" s="18">
        <v>0</v>
      </c>
      <c r="H121" s="18">
        <v>0</v>
      </c>
      <c r="I121" s="18">
        <v>0</v>
      </c>
      <c r="J121" s="18">
        <v>0</v>
      </c>
      <c r="K121" s="18">
        <v>0</v>
      </c>
      <c r="L121" s="18">
        <v>0</v>
      </c>
      <c r="M121" s="18">
        <v>0</v>
      </c>
      <c r="N121" s="18">
        <v>0</v>
      </c>
      <c r="O121" s="18">
        <v>0</v>
      </c>
      <c r="P121" s="18">
        <v>0</v>
      </c>
      <c r="Q121" s="18">
        <v>0</v>
      </c>
      <c r="R121" s="18">
        <v>0</v>
      </c>
      <c r="T121" s="21">
        <f t="shared" si="54"/>
        <v>0</v>
      </c>
    </row>
    <row r="122" spans="1:20">
      <c r="A122">
        <v>404</v>
      </c>
      <c r="B122" t="s">
        <v>221</v>
      </c>
      <c r="D122">
        <v>73</v>
      </c>
      <c r="F122" s="2">
        <v>984175.52593432798</v>
      </c>
      <c r="G122" s="18">
        <f t="shared" si="71"/>
        <v>494661.38196748216</v>
      </c>
      <c r="H122" s="18">
        <f t="shared" si="71"/>
        <v>130543.01011098111</v>
      </c>
      <c r="I122" s="18">
        <f t="shared" si="71"/>
        <v>135732.56765923285</v>
      </c>
      <c r="J122" s="18">
        <f t="shared" si="71"/>
        <v>91707.443857612539</v>
      </c>
      <c r="K122" s="18">
        <f t="shared" si="71"/>
        <v>59866.413067059228</v>
      </c>
      <c r="L122" s="18">
        <f t="shared" si="71"/>
        <v>250.96475911325359</v>
      </c>
      <c r="M122" s="18">
        <f t="shared" si="71"/>
        <v>5283.054223215473</v>
      </c>
      <c r="N122" s="18">
        <f t="shared" si="71"/>
        <v>32349.849537461356</v>
      </c>
      <c r="O122" s="18">
        <f t="shared" si="71"/>
        <v>29399.291310710239</v>
      </c>
      <c r="P122" s="18">
        <f t="shared" si="71"/>
        <v>0</v>
      </c>
      <c r="Q122" s="18">
        <f t="shared" si="71"/>
        <v>4064.6449221087737</v>
      </c>
      <c r="R122" s="18">
        <f t="shared" si="71"/>
        <v>316.9045193508536</v>
      </c>
      <c r="T122" s="21">
        <f t="shared" si="54"/>
        <v>0</v>
      </c>
    </row>
    <row r="123" spans="1:20">
      <c r="A123">
        <v>404.01</v>
      </c>
      <c r="B123" t="s">
        <v>222</v>
      </c>
      <c r="F123" s="2">
        <v>0</v>
      </c>
      <c r="G123" s="18">
        <v>0</v>
      </c>
      <c r="H123" s="18">
        <v>0</v>
      </c>
      <c r="I123" s="18">
        <v>0</v>
      </c>
      <c r="J123" s="18">
        <v>0</v>
      </c>
      <c r="K123" s="18">
        <v>0</v>
      </c>
      <c r="L123" s="18">
        <v>0</v>
      </c>
      <c r="M123" s="18">
        <v>0</v>
      </c>
      <c r="N123" s="18">
        <v>0</v>
      </c>
      <c r="O123" s="18">
        <v>0</v>
      </c>
      <c r="P123" s="18">
        <v>0</v>
      </c>
      <c r="Q123" s="18">
        <v>0</v>
      </c>
      <c r="R123" s="18">
        <v>0</v>
      </c>
      <c r="T123" s="21">
        <f t="shared" si="54"/>
        <v>0</v>
      </c>
    </row>
    <row r="124" spans="1:20">
      <c r="A124">
        <v>404.02</v>
      </c>
      <c r="B124" t="s">
        <v>223</v>
      </c>
      <c r="D124">
        <v>70</v>
      </c>
      <c r="F124" s="2">
        <v>33860372.439818002</v>
      </c>
      <c r="G124" s="18">
        <f t="shared" ref="G124:R135" si="72">INDEX(Alloc,($D124),(G$1))*$F124</f>
        <v>20117750.009958364</v>
      </c>
      <c r="H124" s="18">
        <f t="shared" si="72"/>
        <v>4208413.2276263293</v>
      </c>
      <c r="I124" s="18">
        <f t="shared" si="72"/>
        <v>3601109.1249861936</v>
      </c>
      <c r="J124" s="18">
        <f t="shared" si="72"/>
        <v>2137446.048356229</v>
      </c>
      <c r="K124" s="18">
        <f t="shared" si="72"/>
        <v>1457158.2581524609</v>
      </c>
      <c r="L124" s="18">
        <f t="shared" si="72"/>
        <v>8710.0178882600048</v>
      </c>
      <c r="M124" s="18">
        <f t="shared" si="72"/>
        <v>200655.61115872819</v>
      </c>
      <c r="N124" s="18">
        <f t="shared" si="72"/>
        <v>752024.07567331207</v>
      </c>
      <c r="O124" s="18">
        <f t="shared" si="72"/>
        <v>595043.7637114285</v>
      </c>
      <c r="P124" s="18">
        <f t="shared" si="72"/>
        <v>358844.17852172873</v>
      </c>
      <c r="Q124" s="18">
        <f t="shared" si="72"/>
        <v>413298.36240279948</v>
      </c>
      <c r="R124" s="18">
        <f t="shared" si="72"/>
        <v>9919.7613821715549</v>
      </c>
      <c r="T124" s="21">
        <f t="shared" si="54"/>
        <v>0</v>
      </c>
    </row>
    <row r="125" spans="1:20">
      <c r="A125">
        <v>405</v>
      </c>
      <c r="B125" t="s">
        <v>224</v>
      </c>
      <c r="D125">
        <v>75</v>
      </c>
      <c r="F125" s="2">
        <v>2458878.21</v>
      </c>
      <c r="G125" s="18">
        <f t="shared" si="72"/>
        <v>1369116.7993122283</v>
      </c>
      <c r="H125" s="18">
        <f t="shared" si="72"/>
        <v>311600.90547232638</v>
      </c>
      <c r="I125" s="18">
        <f t="shared" si="72"/>
        <v>295432.30207869102</v>
      </c>
      <c r="J125" s="18">
        <f t="shared" si="72"/>
        <v>176804.24736990759</v>
      </c>
      <c r="K125" s="18">
        <f t="shared" si="72"/>
        <v>120545.44602502209</v>
      </c>
      <c r="L125" s="18">
        <f t="shared" si="72"/>
        <v>715.45540193297279</v>
      </c>
      <c r="M125" s="18">
        <f t="shared" si="72"/>
        <v>16404.755465162994</v>
      </c>
      <c r="N125" s="18">
        <f t="shared" si="72"/>
        <v>62088.567657553482</v>
      </c>
      <c r="O125" s="18">
        <f t="shared" si="72"/>
        <v>49433.671912977588</v>
      </c>
      <c r="P125" s="18">
        <f t="shared" si="72"/>
        <v>28511.643956180924</v>
      </c>
      <c r="Q125" s="18">
        <f t="shared" si="72"/>
        <v>27409.236380039307</v>
      </c>
      <c r="R125" s="18">
        <f t="shared" si="72"/>
        <v>815.17896797687115</v>
      </c>
      <c r="T125" s="21">
        <f t="shared" si="54"/>
        <v>0</v>
      </c>
    </row>
    <row r="126" spans="1:20">
      <c r="A126">
        <v>406</v>
      </c>
      <c r="B126" t="s">
        <v>225</v>
      </c>
      <c r="D126">
        <v>82</v>
      </c>
      <c r="F126" s="2">
        <v>25800</v>
      </c>
      <c r="G126" s="18">
        <f t="shared" si="72"/>
        <v>12083.130861741796</v>
      </c>
      <c r="H126" s="18">
        <f t="shared" si="72"/>
        <v>3188.7839474809848</v>
      </c>
      <c r="I126" s="18">
        <f t="shared" si="72"/>
        <v>3315.5496608679014</v>
      </c>
      <c r="J126" s="18">
        <f t="shared" si="72"/>
        <v>2240.1446434324967</v>
      </c>
      <c r="K126" s="18">
        <f t="shared" si="72"/>
        <v>1462.3613843376972</v>
      </c>
      <c r="L126" s="18">
        <f t="shared" si="72"/>
        <v>6.1303350869833935</v>
      </c>
      <c r="M126" s="18">
        <f t="shared" si="72"/>
        <v>129.04956371343863</v>
      </c>
      <c r="N126" s="18">
        <f t="shared" si="72"/>
        <v>790.21221297703596</v>
      </c>
      <c r="O126" s="18">
        <f t="shared" si="72"/>
        <v>718.1387047779134</v>
      </c>
      <c r="P126" s="18">
        <f t="shared" si="72"/>
        <v>1759.4702471239548</v>
      </c>
      <c r="Q126" s="18">
        <f t="shared" si="72"/>
        <v>99.287387879378102</v>
      </c>
      <c r="R126" s="18">
        <f t="shared" si="72"/>
        <v>7.7410505804260898</v>
      </c>
      <c r="T126" s="21">
        <f t="shared" si="54"/>
        <v>0</v>
      </c>
    </row>
    <row r="127" spans="1:20">
      <c r="A127">
        <v>406.01</v>
      </c>
      <c r="B127" t="s">
        <v>226</v>
      </c>
      <c r="F127" s="2">
        <v>0</v>
      </c>
      <c r="G127" s="18">
        <v>0</v>
      </c>
      <c r="H127" s="18">
        <v>0</v>
      </c>
      <c r="I127" s="18">
        <v>0</v>
      </c>
      <c r="J127" s="18">
        <v>0</v>
      </c>
      <c r="K127" s="18">
        <v>0</v>
      </c>
      <c r="L127" s="18">
        <v>0</v>
      </c>
      <c r="M127" s="18">
        <v>0</v>
      </c>
      <c r="N127" s="18">
        <v>0</v>
      </c>
      <c r="O127" s="18">
        <v>0</v>
      </c>
      <c r="P127" s="18">
        <v>0</v>
      </c>
      <c r="Q127" s="18">
        <v>0</v>
      </c>
      <c r="R127" s="18">
        <v>0</v>
      </c>
      <c r="T127" s="21">
        <f t="shared" si="54"/>
        <v>0</v>
      </c>
    </row>
    <row r="128" spans="1:20">
      <c r="A128">
        <v>406.02</v>
      </c>
      <c r="B128" t="s">
        <v>227</v>
      </c>
      <c r="D128">
        <v>73</v>
      </c>
      <c r="F128" s="2">
        <v>715282.68</v>
      </c>
      <c r="G128" s="18">
        <f t="shared" si="72"/>
        <v>359511.80420819996</v>
      </c>
      <c r="H128" s="18">
        <f t="shared" si="72"/>
        <v>94876.525240559989</v>
      </c>
      <c r="I128" s="18">
        <f t="shared" si="72"/>
        <v>98648.210812200021</v>
      </c>
      <c r="J128" s="18">
        <f t="shared" si="72"/>
        <v>66651.470687759997</v>
      </c>
      <c r="K128" s="18">
        <f t="shared" si="72"/>
        <v>43509.930141719997</v>
      </c>
      <c r="L128" s="18">
        <f t="shared" si="72"/>
        <v>182.39708339999999</v>
      </c>
      <c r="M128" s="18">
        <f t="shared" si="72"/>
        <v>3839.6374262400004</v>
      </c>
      <c r="N128" s="18">
        <f t="shared" si="72"/>
        <v>23511.341691599999</v>
      </c>
      <c r="O128" s="18">
        <f t="shared" si="72"/>
        <v>21366.92421696</v>
      </c>
      <c r="P128" s="18">
        <f t="shared" si="72"/>
        <v>0</v>
      </c>
      <c r="Q128" s="18">
        <f t="shared" si="72"/>
        <v>2954.1174683999998</v>
      </c>
      <c r="R128" s="18">
        <f t="shared" si="72"/>
        <v>230.32102296000002</v>
      </c>
      <c r="T128" s="21">
        <f t="shared" si="54"/>
        <v>0</v>
      </c>
    </row>
    <row r="129" spans="1:20">
      <c r="A129">
        <v>406.03</v>
      </c>
      <c r="B129" t="s">
        <v>228</v>
      </c>
      <c r="D129">
        <v>73</v>
      </c>
      <c r="F129" s="2">
        <v>10141653.090000002</v>
      </c>
      <c r="G129" s="18">
        <f t="shared" si="72"/>
        <v>5097346.9678303497</v>
      </c>
      <c r="H129" s="18">
        <f t="shared" si="72"/>
        <v>1345209.14916378</v>
      </c>
      <c r="I129" s="18">
        <f t="shared" si="72"/>
        <v>1398686.0859073503</v>
      </c>
      <c r="J129" s="18">
        <f t="shared" si="72"/>
        <v>945019.51823238004</v>
      </c>
      <c r="K129" s="18">
        <f t="shared" si="72"/>
        <v>616906.61581161001</v>
      </c>
      <c r="L129" s="18">
        <f t="shared" si="72"/>
        <v>2586.1215379499999</v>
      </c>
      <c r="M129" s="18">
        <f t="shared" si="72"/>
        <v>54440.393787120011</v>
      </c>
      <c r="N129" s="18">
        <f t="shared" si="72"/>
        <v>333356.13706830004</v>
      </c>
      <c r="O129" s="18">
        <f t="shared" si="72"/>
        <v>302951.46110448003</v>
      </c>
      <c r="P129" s="18">
        <f t="shared" si="72"/>
        <v>0</v>
      </c>
      <c r="Q129" s="18">
        <f t="shared" si="72"/>
        <v>41885.027261700001</v>
      </c>
      <c r="R129" s="18">
        <f t="shared" si="72"/>
        <v>3265.6122949800006</v>
      </c>
      <c r="T129" s="21">
        <f t="shared" si="54"/>
        <v>0</v>
      </c>
    </row>
    <row r="130" spans="1:20">
      <c r="A130">
        <v>407</v>
      </c>
      <c r="B130" t="s">
        <v>229</v>
      </c>
      <c r="D130">
        <v>73</v>
      </c>
      <c r="F130" s="2">
        <v>9683054.2138744853</v>
      </c>
      <c r="G130" s="18">
        <f t="shared" si="72"/>
        <v>4866848.2937065233</v>
      </c>
      <c r="H130" s="18">
        <f t="shared" si="72"/>
        <v>1284379.6770367394</v>
      </c>
      <c r="I130" s="18">
        <f t="shared" si="72"/>
        <v>1335438.4219064997</v>
      </c>
      <c r="J130" s="18">
        <f t="shared" si="72"/>
        <v>902286.35775725218</v>
      </c>
      <c r="K130" s="18">
        <f t="shared" si="72"/>
        <v>589010.50477577106</v>
      </c>
      <c r="L130" s="18">
        <f t="shared" si="72"/>
        <v>2469.1788245379935</v>
      </c>
      <c r="M130" s="18">
        <f t="shared" si="72"/>
        <v>51978.63502007824</v>
      </c>
      <c r="N130" s="18">
        <f t="shared" si="72"/>
        <v>318281.99201005429</v>
      </c>
      <c r="O130" s="18">
        <f t="shared" si="72"/>
        <v>289252.19547685859</v>
      </c>
      <c r="P130" s="18">
        <f t="shared" si="72"/>
        <v>0</v>
      </c>
      <c r="Q130" s="18">
        <f t="shared" si="72"/>
        <v>39991.013903301617</v>
      </c>
      <c r="R130" s="18">
        <f t="shared" si="72"/>
        <v>3117.9434568675847</v>
      </c>
      <c r="T130" s="21">
        <f t="shared" si="54"/>
        <v>0</v>
      </c>
    </row>
    <row r="131" spans="1:20">
      <c r="A131">
        <v>407.01</v>
      </c>
      <c r="B131" t="s">
        <v>230</v>
      </c>
      <c r="D131">
        <v>80</v>
      </c>
      <c r="F131" s="2">
        <v>28786888.535833333</v>
      </c>
      <c r="G131" s="18">
        <f t="shared" si="72"/>
        <v>17262357.828341246</v>
      </c>
      <c r="H131" s="18">
        <f t="shared" si="72"/>
        <v>3513307.1094057001</v>
      </c>
      <c r="I131" s="18">
        <f t="shared" si="72"/>
        <v>3054279.1800480662</v>
      </c>
      <c r="J131" s="18">
        <f t="shared" si="72"/>
        <v>1585515.0503824812</v>
      </c>
      <c r="K131" s="18">
        <f t="shared" si="72"/>
        <v>1142533.5712517335</v>
      </c>
      <c r="L131" s="18">
        <f t="shared" si="72"/>
        <v>9194.8962892633535</v>
      </c>
      <c r="M131" s="18">
        <f t="shared" si="72"/>
        <v>221733.60628871186</v>
      </c>
      <c r="N131" s="18">
        <f t="shared" si="72"/>
        <v>553437.13037837867</v>
      </c>
      <c r="O131" s="18">
        <f t="shared" si="72"/>
        <v>356368.33826872025</v>
      </c>
      <c r="P131" s="18">
        <f t="shared" si="72"/>
        <v>597767.42109872121</v>
      </c>
      <c r="Q131" s="18">
        <f t="shared" si="72"/>
        <v>480634.00471651944</v>
      </c>
      <c r="R131" s="18">
        <f t="shared" si="72"/>
        <v>9760.3993637903859</v>
      </c>
      <c r="T131" s="21">
        <f t="shared" si="54"/>
        <v>0</v>
      </c>
    </row>
    <row r="132" spans="1:20">
      <c r="A132">
        <v>407.02</v>
      </c>
      <c r="B132" t="s">
        <v>231</v>
      </c>
      <c r="D132">
        <v>73</v>
      </c>
      <c r="F132" s="2">
        <v>10579661.133228529</v>
      </c>
      <c r="G132" s="18">
        <f t="shared" si="72"/>
        <v>5317496.3804776566</v>
      </c>
      <c r="H132" s="18">
        <f t="shared" si="72"/>
        <v>1403307.4120336983</v>
      </c>
      <c r="I132" s="18">
        <f t="shared" si="72"/>
        <v>1459093.9651892127</v>
      </c>
      <c r="J132" s="18">
        <f t="shared" si="72"/>
        <v>985833.98371650069</v>
      </c>
      <c r="K132" s="18">
        <f t="shared" si="72"/>
        <v>643550.20707315812</v>
      </c>
      <c r="L132" s="18">
        <f t="shared" si="72"/>
        <v>2697.8135889732744</v>
      </c>
      <c r="M132" s="18">
        <f t="shared" si="72"/>
        <v>56791.620963170746</v>
      </c>
      <c r="N132" s="18">
        <f t="shared" si="72"/>
        <v>347753.46144922171</v>
      </c>
      <c r="O132" s="18">
        <f t="shared" si="72"/>
        <v>316035.63737180259</v>
      </c>
      <c r="P132" s="18">
        <f t="shared" si="72"/>
        <v>0</v>
      </c>
      <c r="Q132" s="18">
        <f t="shared" si="72"/>
        <v>43694.000480233815</v>
      </c>
      <c r="R132" s="18">
        <f t="shared" si="72"/>
        <v>3406.6508848995868</v>
      </c>
      <c r="T132" s="21">
        <f t="shared" si="54"/>
        <v>0</v>
      </c>
    </row>
    <row r="133" spans="1:20">
      <c r="A133">
        <v>411</v>
      </c>
      <c r="B133" t="s">
        <v>232</v>
      </c>
      <c r="D133">
        <v>73</v>
      </c>
      <c r="F133" s="2">
        <v>1820785.2132301694</v>
      </c>
      <c r="G133" s="18">
        <f t="shared" si="72"/>
        <v>915153.9599476814</v>
      </c>
      <c r="H133" s="18">
        <f t="shared" si="72"/>
        <v>241512.59225327609</v>
      </c>
      <c r="I133" s="18">
        <f t="shared" si="72"/>
        <v>251113.59268263882</v>
      </c>
      <c r="J133" s="18">
        <f t="shared" si="72"/>
        <v>169664.40773921361</v>
      </c>
      <c r="K133" s="18">
        <f t="shared" si="72"/>
        <v>110756.54373557796</v>
      </c>
      <c r="L133" s="18">
        <f t="shared" si="72"/>
        <v>464.30022937369313</v>
      </c>
      <c r="M133" s="18">
        <f t="shared" si="72"/>
        <v>9773.975024619549</v>
      </c>
      <c r="N133" s="18">
        <f t="shared" si="72"/>
        <v>59849.209958875661</v>
      </c>
      <c r="O133" s="18">
        <f t="shared" si="72"/>
        <v>54390.495889611615</v>
      </c>
      <c r="P133" s="18">
        <f t="shared" si="72"/>
        <v>0</v>
      </c>
      <c r="Q133" s="18">
        <f t="shared" si="72"/>
        <v>7519.8429306405978</v>
      </c>
      <c r="R133" s="18">
        <f t="shared" si="72"/>
        <v>586.29283866011463</v>
      </c>
      <c r="T133" s="21">
        <f t="shared" si="54"/>
        <v>0</v>
      </c>
    </row>
    <row r="134" spans="1:20">
      <c r="A134">
        <v>411.01</v>
      </c>
      <c r="B134" t="s">
        <v>233</v>
      </c>
      <c r="D134">
        <v>75</v>
      </c>
      <c r="F134" s="2">
        <v>-1063695.3252306676</v>
      </c>
      <c r="G134" s="18">
        <f t="shared" si="72"/>
        <v>-592271.35902887664</v>
      </c>
      <c r="H134" s="18">
        <f t="shared" si="72"/>
        <v>-134796.6016131221</v>
      </c>
      <c r="I134" s="18">
        <f t="shared" si="72"/>
        <v>-127802.16497312328</v>
      </c>
      <c r="J134" s="18">
        <f t="shared" si="72"/>
        <v>-76484.410916918598</v>
      </c>
      <c r="K134" s="18">
        <f t="shared" si="72"/>
        <v>-52147.205539985553</v>
      </c>
      <c r="L134" s="18">
        <f t="shared" si="72"/>
        <v>-309.50152933647394</v>
      </c>
      <c r="M134" s="18">
        <f t="shared" si="72"/>
        <v>-7096.5945482294228</v>
      </c>
      <c r="N134" s="18">
        <f t="shared" si="72"/>
        <v>-26859.125799324425</v>
      </c>
      <c r="O134" s="18">
        <f t="shared" si="72"/>
        <v>-21384.697098446701</v>
      </c>
      <c r="P134" s="18">
        <f t="shared" si="72"/>
        <v>-12333.958740815742</v>
      </c>
      <c r="Q134" s="18">
        <f t="shared" si="72"/>
        <v>-11857.064122582207</v>
      </c>
      <c r="R134" s="18">
        <f t="shared" si="72"/>
        <v>-352.64131990634786</v>
      </c>
      <c r="T134" s="21">
        <f t="shared" si="54"/>
        <v>0</v>
      </c>
    </row>
    <row r="135" spans="1:20">
      <c r="A135">
        <v>411.02</v>
      </c>
      <c r="B135" t="s">
        <v>234</v>
      </c>
      <c r="D135">
        <v>75</v>
      </c>
      <c r="F135" s="2">
        <v>-26423.68</v>
      </c>
      <c r="G135" s="18">
        <f t="shared" si="72"/>
        <v>-14712.849152317531</v>
      </c>
      <c r="H135" s="18">
        <f t="shared" si="72"/>
        <v>-3348.5361659742398</v>
      </c>
      <c r="I135" s="18">
        <f t="shared" si="72"/>
        <v>-3174.7845745441236</v>
      </c>
      <c r="J135" s="18">
        <f t="shared" si="72"/>
        <v>-1899.9797696947667</v>
      </c>
      <c r="K135" s="18">
        <f t="shared" si="72"/>
        <v>-1295.409540118075</v>
      </c>
      <c r="L135" s="18">
        <f t="shared" si="72"/>
        <v>-7.6884509847066624</v>
      </c>
      <c r="M135" s="18">
        <f t="shared" si="72"/>
        <v>-176.28933679058389</v>
      </c>
      <c r="N135" s="18">
        <f t="shared" si="72"/>
        <v>-667.2182610628538</v>
      </c>
      <c r="O135" s="18">
        <f t="shared" si="72"/>
        <v>-531.22579334806005</v>
      </c>
      <c r="P135" s="18">
        <f t="shared" si="72"/>
        <v>-306.3927904636069</v>
      </c>
      <c r="Q135" s="18">
        <f t="shared" si="72"/>
        <v>-294.5460609659545</v>
      </c>
      <c r="R135" s="18">
        <f t="shared" si="72"/>
        <v>-8.760103735496152</v>
      </c>
      <c r="T135" s="21">
        <f t="shared" si="54"/>
        <v>0</v>
      </c>
    </row>
    <row r="136" spans="1:20">
      <c r="A136">
        <v>421</v>
      </c>
      <c r="B136" t="s">
        <v>235</v>
      </c>
      <c r="F136" s="2">
        <v>0</v>
      </c>
      <c r="G136" s="18">
        <v>0</v>
      </c>
      <c r="H136" s="18">
        <v>0</v>
      </c>
      <c r="I136" s="18">
        <v>0</v>
      </c>
      <c r="J136" s="18">
        <v>0</v>
      </c>
      <c r="K136" s="18">
        <v>0</v>
      </c>
      <c r="L136" s="18">
        <v>0</v>
      </c>
      <c r="M136" s="18">
        <v>0</v>
      </c>
      <c r="N136" s="18">
        <v>0</v>
      </c>
      <c r="O136" s="18">
        <v>0</v>
      </c>
      <c r="P136" s="18">
        <v>0</v>
      </c>
      <c r="Q136" s="18">
        <v>0</v>
      </c>
      <c r="R136" s="18">
        <v>0</v>
      </c>
      <c r="T136" s="21">
        <f t="shared" si="54"/>
        <v>0</v>
      </c>
    </row>
    <row r="137" spans="1:20">
      <c r="B137" s="1" t="s">
        <v>236</v>
      </c>
      <c r="F137" s="3">
        <f>SUM(F114:F136)</f>
        <v>416230649.70058089</v>
      </c>
      <c r="G137" s="3">
        <f t="shared" ref="G137:R137" si="73">SUM(G114:G136)</f>
        <v>233957424.8024832</v>
      </c>
      <c r="H137" s="3">
        <f t="shared" si="73"/>
        <v>52809751.839362018</v>
      </c>
      <c r="I137" s="3">
        <f t="shared" si="73"/>
        <v>49522148.817562006</v>
      </c>
      <c r="J137" s="3">
        <f t="shared" si="73"/>
        <v>29738789.411343936</v>
      </c>
      <c r="K137" s="3">
        <f t="shared" si="73"/>
        <v>20241761.167014524</v>
      </c>
      <c r="L137" s="3">
        <f t="shared" ref="L137:M137" si="74">SUM(L114:L136)</f>
        <v>118918.09452468595</v>
      </c>
      <c r="M137" s="3">
        <f t="shared" si="74"/>
        <v>2722372.2405984118</v>
      </c>
      <c r="N137" s="3">
        <f t="shared" si="73"/>
        <v>10447799.934499146</v>
      </c>
      <c r="O137" s="3">
        <f t="shared" si="73"/>
        <v>8358117.6667520218</v>
      </c>
      <c r="P137" s="3">
        <f t="shared" si="73"/>
        <v>3549402.9413097757</v>
      </c>
      <c r="Q137" s="3">
        <f t="shared" si="73"/>
        <v>4628282.2974798968</v>
      </c>
      <c r="R137" s="3">
        <f t="shared" si="73"/>
        <v>135880.48765125018</v>
      </c>
      <c r="T137" s="21">
        <f t="shared" si="54"/>
        <v>0</v>
      </c>
    </row>
    <row r="138" spans="1:20">
      <c r="T138" s="21">
        <f t="shared" si="54"/>
        <v>0</v>
      </c>
    </row>
    <row r="139" spans="1:20">
      <c r="A139" s="1" t="s">
        <v>237</v>
      </c>
      <c r="T139" s="21">
        <f t="shared" si="54"/>
        <v>0</v>
      </c>
    </row>
    <row r="140" spans="1:20">
      <c r="A140">
        <v>236</v>
      </c>
      <c r="B140" t="s">
        <v>238</v>
      </c>
      <c r="F140" s="2">
        <v>0</v>
      </c>
      <c r="G140" s="18">
        <v>0</v>
      </c>
      <c r="H140" s="18">
        <v>0</v>
      </c>
      <c r="I140" s="18">
        <v>0</v>
      </c>
      <c r="J140" s="18">
        <v>0</v>
      </c>
      <c r="K140" s="18">
        <v>0</v>
      </c>
      <c r="L140" s="18">
        <v>0</v>
      </c>
      <c r="M140" s="18">
        <v>0</v>
      </c>
      <c r="N140" s="18">
        <v>0</v>
      </c>
      <c r="O140" s="18">
        <v>0</v>
      </c>
      <c r="P140" s="18">
        <v>0</v>
      </c>
      <c r="Q140" s="18">
        <v>0</v>
      </c>
      <c r="R140" s="18">
        <v>0</v>
      </c>
      <c r="T140" s="21">
        <f t="shared" si="54"/>
        <v>0</v>
      </c>
    </row>
    <row r="141" spans="1:20">
      <c r="A141">
        <v>236.01</v>
      </c>
      <c r="B141" t="s">
        <v>239</v>
      </c>
      <c r="D141">
        <v>78</v>
      </c>
      <c r="F141" s="2">
        <v>8164401.2455378426</v>
      </c>
      <c r="G141" s="18">
        <f t="shared" ref="G141:R142" si="75">INDEX(Alloc,($D141),(G$1))*$F141</f>
        <v>4872890.36632632</v>
      </c>
      <c r="H141" s="18">
        <f t="shared" si="75"/>
        <v>1013288.3109266044</v>
      </c>
      <c r="I141" s="18">
        <f t="shared" si="75"/>
        <v>859978.94335316354</v>
      </c>
      <c r="J141" s="18">
        <f t="shared" si="75"/>
        <v>510302.17905298952</v>
      </c>
      <c r="K141" s="18">
        <f t="shared" si="75"/>
        <v>347826.38849139889</v>
      </c>
      <c r="L141" s="18">
        <f t="shared" si="75"/>
        <v>2078.1136080468714</v>
      </c>
      <c r="M141" s="18">
        <f t="shared" si="75"/>
        <v>47883.794527105179</v>
      </c>
      <c r="N141" s="18">
        <f t="shared" si="75"/>
        <v>179573.8972477302</v>
      </c>
      <c r="O141" s="18">
        <f t="shared" si="75"/>
        <v>142091.07438602444</v>
      </c>
      <c r="P141" s="18">
        <f t="shared" si="75"/>
        <v>85955.597578011555</v>
      </c>
      <c r="Q141" s="18">
        <f t="shared" si="75"/>
        <v>100165.2509366116</v>
      </c>
      <c r="R141" s="18">
        <f t="shared" si="75"/>
        <v>2367.3291038396578</v>
      </c>
      <c r="T141" s="21">
        <f t="shared" si="54"/>
        <v>0</v>
      </c>
    </row>
    <row r="142" spans="1:20">
      <c r="A142">
        <v>236.02</v>
      </c>
      <c r="B142" t="s">
        <v>240</v>
      </c>
      <c r="D142">
        <v>84</v>
      </c>
      <c r="F142" s="2">
        <v>76958872.988314226</v>
      </c>
      <c r="G142" s="18">
        <f t="shared" si="75"/>
        <v>42032727.717578955</v>
      </c>
      <c r="H142" s="18">
        <f t="shared" si="75"/>
        <v>10519507.834373264</v>
      </c>
      <c r="I142" s="18">
        <f t="shared" si="75"/>
        <v>9966962.6791944876</v>
      </c>
      <c r="J142" s="18">
        <f t="shared" si="75"/>
        <v>5983371.2796274563</v>
      </c>
      <c r="K142" s="18">
        <f t="shared" si="75"/>
        <v>3995673.2318343366</v>
      </c>
      <c r="L142" s="18">
        <f t="shared" si="75"/>
        <v>0</v>
      </c>
      <c r="M142" s="18">
        <f t="shared" si="75"/>
        <v>0</v>
      </c>
      <c r="N142" s="18">
        <f t="shared" si="75"/>
        <v>1885104.0256973803</v>
      </c>
      <c r="O142" s="18">
        <f t="shared" si="75"/>
        <v>1590475.4291955782</v>
      </c>
      <c r="P142" s="18">
        <f t="shared" si="75"/>
        <v>296076.76915580675</v>
      </c>
      <c r="Q142" s="18">
        <f t="shared" si="75"/>
        <v>676506.03891381412</v>
      </c>
      <c r="R142" s="18">
        <f t="shared" si="75"/>
        <v>12467.982743145378</v>
      </c>
      <c r="T142" s="21">
        <f t="shared" ref="T142:T158" si="76">SUM(G142:R142)-F142</f>
        <v>0</v>
      </c>
    </row>
    <row r="143" spans="1:20">
      <c r="A143">
        <v>236.03</v>
      </c>
      <c r="B143" t="s">
        <v>241</v>
      </c>
      <c r="F143" s="2">
        <v>0</v>
      </c>
      <c r="G143" s="18">
        <v>0</v>
      </c>
      <c r="H143" s="18">
        <v>0</v>
      </c>
      <c r="I143" s="18">
        <v>0</v>
      </c>
      <c r="J143" s="18">
        <v>0</v>
      </c>
      <c r="K143" s="18">
        <v>0</v>
      </c>
      <c r="L143" s="18">
        <v>0</v>
      </c>
      <c r="M143" s="18">
        <v>0</v>
      </c>
      <c r="N143" s="18">
        <v>0</v>
      </c>
      <c r="O143" s="18">
        <v>0</v>
      </c>
      <c r="P143" s="18">
        <v>0</v>
      </c>
      <c r="Q143" s="18">
        <v>0</v>
      </c>
      <c r="R143" s="18">
        <v>0</v>
      </c>
      <c r="T143" s="21">
        <f t="shared" si="76"/>
        <v>0</v>
      </c>
    </row>
    <row r="144" spans="1:20">
      <c r="A144">
        <v>236.04</v>
      </c>
      <c r="B144" t="s">
        <v>242</v>
      </c>
      <c r="D144">
        <v>52</v>
      </c>
      <c r="F144" s="2">
        <v>800</v>
      </c>
      <c r="G144" s="18">
        <f t="shared" ref="G144:R145" si="77">INDEX(Alloc,($D144),(G$1))*$F144</f>
        <v>407.41416633208132</v>
      </c>
      <c r="H144" s="18">
        <f t="shared" si="77"/>
        <v>106.98212543472911</v>
      </c>
      <c r="I144" s="18">
        <f t="shared" si="77"/>
        <v>110.14873590070032</v>
      </c>
      <c r="J144" s="18">
        <f t="shared" si="77"/>
        <v>72.666370682915826</v>
      </c>
      <c r="K144" s="18">
        <f t="shared" si="77"/>
        <v>47.436841318445502</v>
      </c>
      <c r="L144" s="18">
        <f t="shared" si="77"/>
        <v>0.16473999886232427</v>
      </c>
      <c r="M144" s="18">
        <f t="shared" si="77"/>
        <v>4.4811939223488872</v>
      </c>
      <c r="N144" s="18">
        <f t="shared" si="77"/>
        <v>24.830766314441881</v>
      </c>
      <c r="O144" s="18">
        <f t="shared" si="77"/>
        <v>22.692458339922158</v>
      </c>
      <c r="P144" s="18">
        <f t="shared" si="77"/>
        <v>0</v>
      </c>
      <c r="Q144" s="18">
        <f t="shared" si="77"/>
        <v>2.9234497582805536</v>
      </c>
      <c r="R144" s="18">
        <f t="shared" si="77"/>
        <v>0.25915199727226113</v>
      </c>
      <c r="T144" s="21">
        <f t="shared" si="76"/>
        <v>0</v>
      </c>
    </row>
    <row r="145" spans="1:20">
      <c r="A145">
        <v>236.05</v>
      </c>
      <c r="B145" t="s">
        <v>243</v>
      </c>
      <c r="D145">
        <v>52</v>
      </c>
      <c r="F145" s="2">
        <v>1446741.7986646658</v>
      </c>
      <c r="G145" s="18">
        <f t="shared" si="77"/>
        <v>736778.87975092581</v>
      </c>
      <c r="H145" s="18">
        <f t="shared" si="77"/>
        <v>193469.39072051112</v>
      </c>
      <c r="I145" s="18">
        <f t="shared" si="77"/>
        <v>199195.97537202301</v>
      </c>
      <c r="J145" s="18">
        <f t="shared" si="77"/>
        <v>131411.84478029373</v>
      </c>
      <c r="K145" s="18">
        <f t="shared" si="77"/>
        <v>85786.076415022719</v>
      </c>
      <c r="L145" s="18">
        <f t="shared" si="77"/>
        <v>297.92030283261749</v>
      </c>
      <c r="M145" s="18">
        <f t="shared" si="77"/>
        <v>8103.9131942302474</v>
      </c>
      <c r="N145" s="18">
        <f t="shared" si="77"/>
        <v>44904.634399972056</v>
      </c>
      <c r="O145" s="18">
        <f t="shared" si="77"/>
        <v>41037.659993527472</v>
      </c>
      <c r="P145" s="18">
        <f t="shared" si="77"/>
        <v>0</v>
      </c>
      <c r="Q145" s="18">
        <f t="shared" si="77"/>
        <v>5286.8462020007382</v>
      </c>
      <c r="R145" s="18">
        <f t="shared" si="77"/>
        <v>468.65753332651451</v>
      </c>
      <c r="T145" s="21">
        <f t="shared" si="76"/>
        <v>0</v>
      </c>
    </row>
    <row r="146" spans="1:20">
      <c r="B146" s="1" t="s">
        <v>244</v>
      </c>
      <c r="F146" s="3">
        <f>SUM(F140:F145)</f>
        <v>86570816.032516733</v>
      </c>
      <c r="G146" s="3">
        <f t="shared" ref="G146:R146" si="78">SUM(G140:G145)</f>
        <v>47642804.377822526</v>
      </c>
      <c r="H146" s="3">
        <f t="shared" si="78"/>
        <v>11726372.518145815</v>
      </c>
      <c r="I146" s="3">
        <f t="shared" si="78"/>
        <v>11026247.746655576</v>
      </c>
      <c r="J146" s="3">
        <f t="shared" si="78"/>
        <v>6625157.9698314229</v>
      </c>
      <c r="K146" s="3">
        <f t="shared" si="78"/>
        <v>4429333.133582077</v>
      </c>
      <c r="L146" s="3">
        <f t="shared" ref="L146:M146" si="79">SUM(L140:L145)</f>
        <v>2376.1986508783511</v>
      </c>
      <c r="M146" s="3">
        <f t="shared" si="79"/>
        <v>55992.188915257779</v>
      </c>
      <c r="N146" s="3">
        <f t="shared" si="78"/>
        <v>2109607.3881113972</v>
      </c>
      <c r="O146" s="3">
        <f t="shared" si="78"/>
        <v>1773626.85603347</v>
      </c>
      <c r="P146" s="3">
        <f t="shared" si="78"/>
        <v>382032.36673381831</v>
      </c>
      <c r="Q146" s="3">
        <f t="shared" si="78"/>
        <v>781961.05950218474</v>
      </c>
      <c r="R146" s="3">
        <f t="shared" si="78"/>
        <v>15304.228532308822</v>
      </c>
      <c r="T146" s="21">
        <f t="shared" si="76"/>
        <v>0</v>
      </c>
    </row>
    <row r="147" spans="1:20">
      <c r="T147" s="21">
        <f t="shared" si="76"/>
        <v>0</v>
      </c>
    </row>
    <row r="148" spans="1:20">
      <c r="A148" t="s">
        <v>245</v>
      </c>
      <c r="T148" s="21">
        <f t="shared" si="76"/>
        <v>0</v>
      </c>
    </row>
    <row r="149" spans="1:20">
      <c r="A149" t="s">
        <v>246</v>
      </c>
      <c r="B149" t="s">
        <v>247</v>
      </c>
      <c r="D149">
        <v>76</v>
      </c>
      <c r="F149" s="2">
        <v>48493274.447837904</v>
      </c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T149" s="21">
        <f t="shared" si="76"/>
        <v>-48493274.447837904</v>
      </c>
    </row>
    <row r="150" spans="1:20">
      <c r="A150" t="s">
        <v>248</v>
      </c>
      <c r="B150" t="s">
        <v>249</v>
      </c>
      <c r="D150">
        <v>76</v>
      </c>
      <c r="F150" s="2">
        <v>41744854.149501175</v>
      </c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T150" s="21">
        <f t="shared" si="76"/>
        <v>-41744854.149501175</v>
      </c>
    </row>
    <row r="151" spans="1:20">
      <c r="B151" s="1" t="s">
        <v>250</v>
      </c>
      <c r="F151" s="3">
        <f>SUM(F149:F150)</f>
        <v>90238128.597339079</v>
      </c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T151" s="21">
        <f t="shared" si="76"/>
        <v>-90238128.597339079</v>
      </c>
    </row>
    <row r="152" spans="1:20">
      <c r="T152" s="21">
        <f t="shared" si="76"/>
        <v>0</v>
      </c>
    </row>
    <row r="153" spans="1:20">
      <c r="B153" s="1" t="s">
        <v>251</v>
      </c>
      <c r="F153" s="3">
        <f>SUM(F111,F137,F146,F151)</f>
        <v>1761931966.9899802</v>
      </c>
      <c r="G153" s="3">
        <f t="shared" ref="G153:R153" si="80">SUM(G111,G137,G146,G151)</f>
        <v>908967214.15783203</v>
      </c>
      <c r="H153" s="3">
        <f t="shared" si="80"/>
        <v>217823361.15362096</v>
      </c>
      <c r="I153" s="3">
        <f t="shared" si="80"/>
        <v>208172864.50129345</v>
      </c>
      <c r="J153" s="3">
        <f t="shared" si="80"/>
        <v>132432239.90260187</v>
      </c>
      <c r="K153" s="3">
        <f t="shared" si="80"/>
        <v>87765949.942889795</v>
      </c>
      <c r="L153" s="3">
        <f t="shared" ref="L153:M153" si="81">SUM(L111,L137,L146,L151)</f>
        <v>424843.41175686673</v>
      </c>
      <c r="M153" s="3">
        <f t="shared" si="81"/>
        <v>9212387.7450126819</v>
      </c>
      <c r="N153" s="3">
        <f t="shared" si="80"/>
        <v>45699265.54309126</v>
      </c>
      <c r="O153" s="3">
        <f t="shared" si="80"/>
        <v>39731881.804735199</v>
      </c>
      <c r="P153" s="3">
        <f t="shared" si="80"/>
        <v>6540009.108133507</v>
      </c>
      <c r="Q153" s="3">
        <f t="shared" si="80"/>
        <v>14395999.274971619</v>
      </c>
      <c r="R153" s="3">
        <f t="shared" si="80"/>
        <v>527821.50299753703</v>
      </c>
      <c r="T153" s="21">
        <f t="shared" si="76"/>
        <v>-90238128.941043377</v>
      </c>
    </row>
    <row r="154" spans="1:20">
      <c r="T154" s="21">
        <f t="shared" si="76"/>
        <v>0</v>
      </c>
    </row>
    <row r="155" spans="1:20">
      <c r="T155" s="21">
        <f t="shared" si="76"/>
        <v>0</v>
      </c>
    </row>
    <row r="156" spans="1:20">
      <c r="T156" s="21">
        <f t="shared" si="76"/>
        <v>0</v>
      </c>
    </row>
    <row r="157" spans="1:20">
      <c r="T157" s="21">
        <f t="shared" si="76"/>
        <v>0</v>
      </c>
    </row>
    <row r="158" spans="1:20">
      <c r="T158" s="21">
        <f t="shared" si="76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8"/>
  <sheetViews>
    <sheetView tabSelected="1" workbookViewId="0">
      <pane xSplit="5" ySplit="8" topLeftCell="S53" activePane="bottomRight" state="frozen"/>
      <selection pane="topRight" activeCell="F1" sqref="F1"/>
      <selection pane="bottomLeft" activeCell="A9" sqref="A9"/>
      <selection pane="bottomRight" activeCell="T19" sqref="T19"/>
    </sheetView>
  </sheetViews>
  <sheetFormatPr defaultRowHeight="15"/>
  <cols>
    <col min="2" max="2" width="41.7109375" bestFit="1" customWidth="1"/>
    <col min="3" max="3" width="16" bestFit="1" customWidth="1"/>
    <col min="4" max="5" width="16" customWidth="1"/>
    <col min="6" max="6" width="17.5703125" style="2" customWidth="1"/>
    <col min="7" max="9" width="11.5703125" bestFit="1" customWidth="1"/>
    <col min="10" max="10" width="10.5703125" bestFit="1" customWidth="1"/>
    <col min="11" max="13" width="11.140625" customWidth="1"/>
    <col min="14" max="14" width="10.140625" customWidth="1"/>
    <col min="15" max="15" width="10.85546875" customWidth="1"/>
    <col min="16" max="16" width="11" customWidth="1"/>
  </cols>
  <sheetData>
    <row r="1" spans="1:30">
      <c r="F1" s="2">
        <v>4</v>
      </c>
      <c r="G1" s="31">
        <f>F1+1</f>
        <v>5</v>
      </c>
      <c r="H1" s="31">
        <f t="shared" ref="H1:AD1" si="0">G1+1</f>
        <v>6</v>
      </c>
      <c r="I1" s="31">
        <f t="shared" si="0"/>
        <v>7</v>
      </c>
      <c r="J1" s="31">
        <f t="shared" si="0"/>
        <v>8</v>
      </c>
      <c r="K1" s="31">
        <f t="shared" si="0"/>
        <v>9</v>
      </c>
      <c r="L1" s="31">
        <f t="shared" ref="L1" si="1">K1+1</f>
        <v>10</v>
      </c>
      <c r="M1" s="31">
        <f t="shared" ref="M1" si="2">L1+1</f>
        <v>11</v>
      </c>
      <c r="N1" s="31">
        <f t="shared" ref="N1" si="3">M1+1</f>
        <v>12</v>
      </c>
      <c r="O1" s="31">
        <f t="shared" ref="O1" si="4">N1+1</f>
        <v>13</v>
      </c>
      <c r="P1" s="31">
        <f t="shared" ref="P1" si="5">O1+1</f>
        <v>14</v>
      </c>
      <c r="Q1" s="31">
        <f t="shared" ref="Q1" si="6">P1+1</f>
        <v>15</v>
      </c>
      <c r="R1" s="31">
        <f t="shared" ref="R1" si="7">Q1+1</f>
        <v>16</v>
      </c>
      <c r="S1" s="31">
        <f t="shared" ref="S1" si="8">R1+1</f>
        <v>17</v>
      </c>
      <c r="T1" s="31">
        <f t="shared" ref="T1" si="9">S1+1</f>
        <v>18</v>
      </c>
      <c r="U1" s="31">
        <f t="shared" ref="U1" si="10">T1+1</f>
        <v>19</v>
      </c>
      <c r="V1" s="31">
        <f t="shared" ref="V1" si="11">U1+1</f>
        <v>20</v>
      </c>
      <c r="W1" s="31">
        <f t="shared" ref="W1" si="12">V1+1</f>
        <v>21</v>
      </c>
      <c r="X1" s="31">
        <f t="shared" ref="X1" si="13">W1+1</f>
        <v>22</v>
      </c>
      <c r="Y1" s="31">
        <f t="shared" ref="Y1" si="14">X1+1</f>
        <v>23</v>
      </c>
      <c r="Z1" s="31">
        <f t="shared" ref="Z1" si="15">Y1+1</f>
        <v>24</v>
      </c>
      <c r="AA1" s="31">
        <f t="shared" ref="AA1" si="16">Z1+1</f>
        <v>25</v>
      </c>
      <c r="AB1" s="31">
        <f t="shared" ref="AB1" si="17">AA1+1</f>
        <v>26</v>
      </c>
      <c r="AC1" s="31">
        <f t="shared" ref="AC1" si="18">AB1+1</f>
        <v>27</v>
      </c>
      <c r="AD1" s="31">
        <f t="shared" ref="AD1" si="19">AC1+1</f>
        <v>28</v>
      </c>
    </row>
    <row r="7" spans="1:30" ht="64.5">
      <c r="C7" t="s">
        <v>435</v>
      </c>
      <c r="D7" t="s">
        <v>432</v>
      </c>
      <c r="G7" s="4" t="s">
        <v>293</v>
      </c>
      <c r="H7" s="4" t="s">
        <v>294</v>
      </c>
      <c r="I7" s="4" t="s">
        <v>295</v>
      </c>
      <c r="J7" s="4" t="s">
        <v>296</v>
      </c>
      <c r="K7" s="4" t="s">
        <v>554</v>
      </c>
      <c r="L7" s="4">
        <v>35</v>
      </c>
      <c r="M7" s="4">
        <v>43</v>
      </c>
      <c r="N7" s="4" t="s">
        <v>297</v>
      </c>
      <c r="O7" s="4" t="s">
        <v>298</v>
      </c>
      <c r="P7" s="4" t="s">
        <v>301</v>
      </c>
      <c r="Q7" s="4" t="s">
        <v>299</v>
      </c>
      <c r="R7" s="4" t="s">
        <v>300</v>
      </c>
      <c r="T7" s="4" t="s">
        <v>488</v>
      </c>
    </row>
    <row r="8" spans="1:30">
      <c r="B8" s="1" t="s">
        <v>0</v>
      </c>
      <c r="C8" s="1" t="s">
        <v>292</v>
      </c>
      <c r="D8" s="1" t="s">
        <v>433</v>
      </c>
      <c r="E8" s="1"/>
      <c r="F8" s="3" t="s">
        <v>1</v>
      </c>
    </row>
    <row r="9" spans="1:30">
      <c r="A9" s="1" t="s">
        <v>188</v>
      </c>
      <c r="B9" s="1"/>
    </row>
    <row r="11" spans="1:30">
      <c r="B11" s="1" t="s">
        <v>189</v>
      </c>
    </row>
    <row r="12" spans="1:30">
      <c r="A12" t="s">
        <v>190</v>
      </c>
      <c r="B12" t="s">
        <v>191</v>
      </c>
      <c r="D12">
        <v>73</v>
      </c>
      <c r="F12" s="2">
        <v>25242452.978371721</v>
      </c>
      <c r="G12" s="18">
        <f>INDEX(Alloc,($D12),(G$1))*$F12</f>
        <v>12687235.503724301</v>
      </c>
      <c r="H12" s="18">
        <f t="shared" ref="H12:R12" si="20">INDEX(Alloc,($D12),(H$1))*$F12</f>
        <v>3348209.4479571814</v>
      </c>
      <c r="I12" s="18">
        <f t="shared" si="20"/>
        <v>3481312.9025121359</v>
      </c>
      <c r="J12" s="18">
        <f t="shared" si="20"/>
        <v>2352142.2534306333</v>
      </c>
      <c r="K12" s="18">
        <f t="shared" si="20"/>
        <v>1535473.1722213733</v>
      </c>
      <c r="L12" s="18">
        <f t="shared" si="20"/>
        <v>6436.8255094847882</v>
      </c>
      <c r="M12" s="18">
        <f t="shared" si="20"/>
        <v>135501.48758789941</v>
      </c>
      <c r="N12" s="18">
        <f t="shared" si="20"/>
        <v>829719.42939907836</v>
      </c>
      <c r="O12" s="18">
        <f t="shared" si="20"/>
        <v>754042.55536991998</v>
      </c>
      <c r="P12" s="18">
        <f t="shared" si="20"/>
        <v>0</v>
      </c>
      <c r="Q12" s="18">
        <f t="shared" si="20"/>
        <v>104251.33080067519</v>
      </c>
      <c r="R12" s="18">
        <f t="shared" si="20"/>
        <v>8128.0698590356942</v>
      </c>
      <c r="T12" s="21">
        <f>SUM(G12:R12)-F12</f>
        <v>0</v>
      </c>
    </row>
    <row r="13" spans="1:30">
      <c r="B13" s="1" t="s">
        <v>8</v>
      </c>
      <c r="F13" s="3">
        <f>SUM(F12)</f>
        <v>25242452.978371721</v>
      </c>
      <c r="G13" s="3">
        <f t="shared" ref="G13:R13" si="21">SUM(G12)</f>
        <v>12687235.503724301</v>
      </c>
      <c r="H13" s="3">
        <f t="shared" si="21"/>
        <v>3348209.4479571814</v>
      </c>
      <c r="I13" s="3">
        <f t="shared" si="21"/>
        <v>3481312.9025121359</v>
      </c>
      <c r="J13" s="3">
        <f t="shared" si="21"/>
        <v>2352142.2534306333</v>
      </c>
      <c r="K13" s="3">
        <f t="shared" si="21"/>
        <v>1535473.1722213733</v>
      </c>
      <c r="L13" s="3">
        <f t="shared" ref="L13:M13" si="22">SUM(L12)</f>
        <v>6436.8255094847882</v>
      </c>
      <c r="M13" s="3">
        <f t="shared" si="22"/>
        <v>135501.48758789941</v>
      </c>
      <c r="N13" s="3">
        <f t="shared" si="21"/>
        <v>829719.42939907836</v>
      </c>
      <c r="O13" s="3">
        <f t="shared" si="21"/>
        <v>754042.55536991998</v>
      </c>
      <c r="P13" s="3">
        <f t="shared" si="21"/>
        <v>0</v>
      </c>
      <c r="Q13" s="3">
        <f t="shared" si="21"/>
        <v>104251.33080067519</v>
      </c>
      <c r="R13" s="3">
        <f t="shared" si="21"/>
        <v>8128.0698590356942</v>
      </c>
      <c r="T13" s="21">
        <f t="shared" ref="T13:T76" si="23">SUM(G13:R13)-F13</f>
        <v>0</v>
      </c>
    </row>
    <row r="14" spans="1:30">
      <c r="T14" s="21">
        <f t="shared" si="23"/>
        <v>0</v>
      </c>
    </row>
    <row r="15" spans="1:30">
      <c r="B15" s="1" t="s">
        <v>192</v>
      </c>
      <c r="T15" s="21">
        <f t="shared" si="23"/>
        <v>0</v>
      </c>
    </row>
    <row r="16" spans="1:30">
      <c r="A16" t="s">
        <v>193</v>
      </c>
      <c r="B16" t="s">
        <v>194</v>
      </c>
      <c r="D16">
        <v>82</v>
      </c>
      <c r="F16" s="2">
        <v>9172906.2088294737</v>
      </c>
      <c r="G16" s="18">
        <f t="shared" ref="G16:R16" si="24">INDEX(Alloc,($D16),(G$1))*$F16</f>
        <v>4296024.267587998</v>
      </c>
      <c r="H16" s="18">
        <f t="shared" si="24"/>
        <v>1133737.056994732</v>
      </c>
      <c r="I16" s="18">
        <f t="shared" si="24"/>
        <v>1178807.2120099855</v>
      </c>
      <c r="J16" s="18">
        <f t="shared" si="24"/>
        <v>796458.78714798577</v>
      </c>
      <c r="K16" s="18">
        <f t="shared" si="24"/>
        <v>519926.50472650107</v>
      </c>
      <c r="L16" s="18">
        <f t="shared" si="24"/>
        <v>2179.573208588959</v>
      </c>
      <c r="M16" s="18">
        <f t="shared" si="24"/>
        <v>45882.152877276589</v>
      </c>
      <c r="N16" s="18">
        <f t="shared" si="24"/>
        <v>280951.26026007487</v>
      </c>
      <c r="O16" s="18">
        <f t="shared" si="24"/>
        <v>255326.31720380147</v>
      </c>
      <c r="P16" s="18">
        <f t="shared" si="24"/>
        <v>625560.29279434308</v>
      </c>
      <c r="Q16" s="18">
        <f t="shared" si="24"/>
        <v>35300.5386332251</v>
      </c>
      <c r="R16" s="18">
        <f t="shared" si="24"/>
        <v>2752.245384963313</v>
      </c>
      <c r="T16" s="21">
        <f t="shared" si="23"/>
        <v>0</v>
      </c>
    </row>
    <row r="17" spans="1:20">
      <c r="B17" s="1" t="s">
        <v>8</v>
      </c>
      <c r="F17" s="3">
        <f>SUM(F16)</f>
        <v>9172906.2088294737</v>
      </c>
      <c r="G17" s="3">
        <f t="shared" ref="G17:R17" si="25">SUM(G16)</f>
        <v>4296024.267587998</v>
      </c>
      <c r="H17" s="3">
        <f t="shared" si="25"/>
        <v>1133737.056994732</v>
      </c>
      <c r="I17" s="3">
        <f t="shared" si="25"/>
        <v>1178807.2120099855</v>
      </c>
      <c r="J17" s="3">
        <f t="shared" si="25"/>
        <v>796458.78714798577</v>
      </c>
      <c r="K17" s="3">
        <f t="shared" si="25"/>
        <v>519926.50472650107</v>
      </c>
      <c r="L17" s="3">
        <f t="shared" ref="L17:M17" si="26">SUM(L16)</f>
        <v>2179.573208588959</v>
      </c>
      <c r="M17" s="3">
        <f t="shared" si="26"/>
        <v>45882.152877276589</v>
      </c>
      <c r="N17" s="3">
        <f t="shared" si="25"/>
        <v>280951.26026007487</v>
      </c>
      <c r="O17" s="3">
        <f t="shared" si="25"/>
        <v>255326.31720380147</v>
      </c>
      <c r="P17" s="3">
        <f t="shared" si="25"/>
        <v>625560.29279434308</v>
      </c>
      <c r="Q17" s="3">
        <f t="shared" si="25"/>
        <v>35300.5386332251</v>
      </c>
      <c r="R17" s="3">
        <f t="shared" si="25"/>
        <v>2752.245384963313</v>
      </c>
      <c r="T17" s="21">
        <f t="shared" si="23"/>
        <v>0</v>
      </c>
    </row>
    <row r="18" spans="1:20">
      <c r="T18" s="21">
        <f t="shared" si="23"/>
        <v>0</v>
      </c>
    </row>
    <row r="19" spans="1:20">
      <c r="B19" s="1" t="s">
        <v>195</v>
      </c>
      <c r="T19" s="21">
        <f t="shared" si="23"/>
        <v>0</v>
      </c>
    </row>
    <row r="20" spans="1:20">
      <c r="A20" t="s">
        <v>196</v>
      </c>
      <c r="B20" t="s">
        <v>197</v>
      </c>
      <c r="D20">
        <v>68</v>
      </c>
      <c r="F20" s="2">
        <v>24400551.446550019</v>
      </c>
      <c r="G20" s="18">
        <f t="shared" ref="G20:R20" si="27">INDEX(Alloc,($D20),(G$1))*$F20</f>
        <v>15893960.725863589</v>
      </c>
      <c r="H20" s="18">
        <f t="shared" si="27"/>
        <v>2963071.9276610627</v>
      </c>
      <c r="I20" s="18">
        <f t="shared" si="27"/>
        <v>2373545.2411976922</v>
      </c>
      <c r="J20" s="18">
        <f t="shared" si="27"/>
        <v>1038833.3266165571</v>
      </c>
      <c r="K20" s="18">
        <f t="shared" si="27"/>
        <v>805167.71312551328</v>
      </c>
      <c r="L20" s="18">
        <f t="shared" si="27"/>
        <v>8579.9138677223455</v>
      </c>
      <c r="M20" s="18">
        <f t="shared" si="27"/>
        <v>213899.05038261862</v>
      </c>
      <c r="N20" s="18">
        <f t="shared" si="27"/>
        <v>359532.70753859729</v>
      </c>
      <c r="O20" s="18">
        <f t="shared" si="27"/>
        <v>153552.58245129808</v>
      </c>
      <c r="P20" s="18">
        <f t="shared" si="27"/>
        <v>50901.733373864714</v>
      </c>
      <c r="Q20" s="18">
        <f t="shared" si="27"/>
        <v>530858.42278197466</v>
      </c>
      <c r="R20" s="18">
        <f t="shared" si="27"/>
        <v>8648.1016895316498</v>
      </c>
      <c r="T20" s="21">
        <f t="shared" si="23"/>
        <v>0</v>
      </c>
    </row>
    <row r="21" spans="1:20">
      <c r="B21" s="1" t="s">
        <v>8</v>
      </c>
      <c r="F21" s="3">
        <f>SUM(F20)</f>
        <v>24400551.446550019</v>
      </c>
      <c r="G21" s="3">
        <f t="shared" ref="G21:R21" si="28">SUM(G20)</f>
        <v>15893960.725863589</v>
      </c>
      <c r="H21" s="3">
        <f t="shared" si="28"/>
        <v>2963071.9276610627</v>
      </c>
      <c r="I21" s="3">
        <f t="shared" si="28"/>
        <v>2373545.2411976922</v>
      </c>
      <c r="J21" s="3">
        <f t="shared" si="28"/>
        <v>1038833.3266165571</v>
      </c>
      <c r="K21" s="3">
        <f t="shared" si="28"/>
        <v>805167.71312551328</v>
      </c>
      <c r="L21" s="3">
        <f t="shared" ref="L21:M21" si="29">SUM(L20)</f>
        <v>8579.9138677223455</v>
      </c>
      <c r="M21" s="3">
        <f t="shared" si="29"/>
        <v>213899.05038261862</v>
      </c>
      <c r="N21" s="3">
        <f t="shared" si="28"/>
        <v>359532.70753859729</v>
      </c>
      <c r="O21" s="3">
        <f t="shared" si="28"/>
        <v>153552.58245129808</v>
      </c>
      <c r="P21" s="3">
        <f t="shared" si="28"/>
        <v>50901.733373864714</v>
      </c>
      <c r="Q21" s="3">
        <f t="shared" si="28"/>
        <v>530858.42278197466</v>
      </c>
      <c r="R21" s="3">
        <f t="shared" si="28"/>
        <v>8648.1016895316498</v>
      </c>
      <c r="T21" s="21">
        <f t="shared" si="23"/>
        <v>0</v>
      </c>
    </row>
    <row r="22" spans="1:20">
      <c r="T22" s="21">
        <f t="shared" si="23"/>
        <v>0</v>
      </c>
    </row>
    <row r="23" spans="1:20">
      <c r="B23" s="1" t="s">
        <v>198</v>
      </c>
      <c r="T23" s="21">
        <f t="shared" si="23"/>
        <v>0</v>
      </c>
    </row>
    <row r="24" spans="1:20">
      <c r="A24" t="s">
        <v>199</v>
      </c>
      <c r="B24" t="s">
        <v>200</v>
      </c>
      <c r="D24">
        <v>63</v>
      </c>
      <c r="F24" s="2">
        <v>11152893.808019754</v>
      </c>
      <c r="G24" s="18">
        <f t="shared" ref="G24:R24" si="30">INDEX(Alloc,($D24),(G$1))*$F24</f>
        <v>9729016.3688967321</v>
      </c>
      <c r="H24" s="18">
        <f t="shared" si="30"/>
        <v>1218336.4697528987</v>
      </c>
      <c r="I24" s="18">
        <f t="shared" si="30"/>
        <v>84448.557640484025</v>
      </c>
      <c r="J24" s="18">
        <f t="shared" si="30"/>
        <v>24106.806552242975</v>
      </c>
      <c r="K24" s="18">
        <f t="shared" si="30"/>
        <v>9737.6813026896543</v>
      </c>
      <c r="L24" s="18">
        <f t="shared" si="30"/>
        <v>8.9468923930759043</v>
      </c>
      <c r="M24" s="18">
        <f t="shared" si="30"/>
        <v>1906.5105491233162</v>
      </c>
      <c r="N24" s="18">
        <f t="shared" si="30"/>
        <v>13434.237478132838</v>
      </c>
      <c r="O24" s="18">
        <f t="shared" si="30"/>
        <v>7690.8789814487782</v>
      </c>
      <c r="P24" s="18">
        <f t="shared" si="30"/>
        <v>47523.024636234564</v>
      </c>
      <c r="Q24" s="18">
        <f t="shared" si="30"/>
        <v>16623.475841986932</v>
      </c>
      <c r="R24" s="18">
        <f t="shared" si="30"/>
        <v>60.849495384109368</v>
      </c>
      <c r="T24" s="21">
        <f t="shared" si="23"/>
        <v>0</v>
      </c>
    </row>
    <row r="25" spans="1:20">
      <c r="B25" s="1" t="s">
        <v>8</v>
      </c>
      <c r="F25" s="3">
        <f>SUM(F24)</f>
        <v>11152893.808019754</v>
      </c>
      <c r="G25" s="3">
        <f t="shared" ref="G25:R25" si="31">SUM(G24)</f>
        <v>9729016.3688967321</v>
      </c>
      <c r="H25" s="3">
        <f t="shared" si="31"/>
        <v>1218336.4697528987</v>
      </c>
      <c r="I25" s="3">
        <f t="shared" si="31"/>
        <v>84448.557640484025</v>
      </c>
      <c r="J25" s="3">
        <f t="shared" si="31"/>
        <v>24106.806552242975</v>
      </c>
      <c r="K25" s="3">
        <f t="shared" si="31"/>
        <v>9737.6813026896543</v>
      </c>
      <c r="L25" s="3">
        <f t="shared" ref="L25:M25" si="32">SUM(L24)</f>
        <v>8.9468923930759043</v>
      </c>
      <c r="M25" s="3">
        <f t="shared" si="32"/>
        <v>1906.5105491233162</v>
      </c>
      <c r="N25" s="3">
        <f t="shared" si="31"/>
        <v>13434.237478132838</v>
      </c>
      <c r="O25" s="3">
        <f t="shared" si="31"/>
        <v>7690.8789814487782</v>
      </c>
      <c r="P25" s="3">
        <f t="shared" si="31"/>
        <v>47523.024636234564</v>
      </c>
      <c r="Q25" s="3">
        <f t="shared" si="31"/>
        <v>16623.475841986932</v>
      </c>
      <c r="R25" s="3">
        <f t="shared" si="31"/>
        <v>60.849495384109368</v>
      </c>
      <c r="T25" s="21">
        <f t="shared" si="23"/>
        <v>0</v>
      </c>
    </row>
    <row r="26" spans="1:20">
      <c r="T26" s="21">
        <f t="shared" si="23"/>
        <v>0</v>
      </c>
    </row>
    <row r="27" spans="1:20">
      <c r="B27" s="1" t="s">
        <v>201</v>
      </c>
      <c r="T27" s="21">
        <f t="shared" si="23"/>
        <v>0</v>
      </c>
    </row>
    <row r="28" spans="1:20">
      <c r="A28" t="s">
        <v>202</v>
      </c>
      <c r="B28" t="s">
        <v>203</v>
      </c>
      <c r="D28">
        <v>1</v>
      </c>
      <c r="F28" s="2">
        <v>1422849.8356199341</v>
      </c>
      <c r="G28" s="18">
        <f t="shared" ref="G28:R28" si="33">INDEX(Alloc,($D28),(G$1))*$F28</f>
        <v>1251373.8698154727</v>
      </c>
      <c r="H28" s="18">
        <f t="shared" si="33"/>
        <v>150469.58576968664</v>
      </c>
      <c r="I28" s="18">
        <f t="shared" si="33"/>
        <v>9718.4175886797057</v>
      </c>
      <c r="J28" s="18">
        <f t="shared" si="33"/>
        <v>992.76902363350985</v>
      </c>
      <c r="K28" s="18">
        <f t="shared" si="33"/>
        <v>606.12504656287547</v>
      </c>
      <c r="L28" s="18">
        <f t="shared" si="33"/>
        <v>1.2760527296060538</v>
      </c>
      <c r="M28" s="18">
        <f t="shared" si="33"/>
        <v>201.6163312777565</v>
      </c>
      <c r="N28" s="18">
        <f t="shared" si="33"/>
        <v>201.6163312777565</v>
      </c>
      <c r="O28" s="18">
        <f t="shared" si="33"/>
        <v>31.901318240151344</v>
      </c>
      <c r="P28" s="18">
        <f t="shared" si="33"/>
        <v>20.41684367369686</v>
      </c>
      <c r="Q28" s="18">
        <f t="shared" si="33"/>
        <v>9222.0330768629501</v>
      </c>
      <c r="R28" s="18">
        <f t="shared" si="33"/>
        <v>10.20842183684843</v>
      </c>
      <c r="T28" s="21">
        <f t="shared" si="23"/>
        <v>0</v>
      </c>
    </row>
    <row r="29" spans="1:20">
      <c r="B29" s="1" t="s">
        <v>8</v>
      </c>
      <c r="F29" s="3">
        <f>SUM(F28)</f>
        <v>1422849.8356199341</v>
      </c>
      <c r="G29" s="3">
        <f t="shared" ref="G29:R29" si="34">SUM(G28)</f>
        <v>1251373.8698154727</v>
      </c>
      <c r="H29" s="3">
        <f t="shared" si="34"/>
        <v>150469.58576968664</v>
      </c>
      <c r="I29" s="3">
        <f t="shared" si="34"/>
        <v>9718.4175886797057</v>
      </c>
      <c r="J29" s="3">
        <f t="shared" si="34"/>
        <v>992.76902363350985</v>
      </c>
      <c r="K29" s="3">
        <f t="shared" si="34"/>
        <v>606.12504656287547</v>
      </c>
      <c r="L29" s="3">
        <f t="shared" ref="L29:M29" si="35">SUM(L28)</f>
        <v>1.2760527296060538</v>
      </c>
      <c r="M29" s="3">
        <f t="shared" si="35"/>
        <v>201.6163312777565</v>
      </c>
      <c r="N29" s="3">
        <f t="shared" si="34"/>
        <v>201.6163312777565</v>
      </c>
      <c r="O29" s="3">
        <f t="shared" si="34"/>
        <v>31.901318240151344</v>
      </c>
      <c r="P29" s="3">
        <f t="shared" si="34"/>
        <v>20.41684367369686</v>
      </c>
      <c r="Q29" s="3">
        <f t="shared" si="34"/>
        <v>9222.0330768629501</v>
      </c>
      <c r="R29" s="3">
        <f t="shared" si="34"/>
        <v>10.20842183684843</v>
      </c>
      <c r="T29" s="21">
        <f t="shared" si="23"/>
        <v>0</v>
      </c>
    </row>
    <row r="30" spans="1:20">
      <c r="T30" s="21">
        <f t="shared" si="23"/>
        <v>0</v>
      </c>
    </row>
    <row r="31" spans="1:20">
      <c r="B31" s="1" t="s">
        <v>204</v>
      </c>
      <c r="F31" s="3">
        <f>SUM(F13,F17,F21,F25,F29)</f>
        <v>71391654.277390912</v>
      </c>
      <c r="G31" s="3">
        <f t="shared" ref="G31:R31" si="36">SUM(G13,G17,G21,G25,G29)</f>
        <v>43857610.735888094</v>
      </c>
      <c r="H31" s="3">
        <f t="shared" si="36"/>
        <v>8813824.4881355613</v>
      </c>
      <c r="I31" s="3">
        <f t="shared" si="36"/>
        <v>7127832.3309489777</v>
      </c>
      <c r="J31" s="3">
        <f t="shared" si="36"/>
        <v>4212533.9427710529</v>
      </c>
      <c r="K31" s="3">
        <f t="shared" si="36"/>
        <v>2870911.1964226402</v>
      </c>
      <c r="L31" s="3">
        <f t="shared" ref="L31:M31" si="37">SUM(L13,L17,L21,L25,L29)</f>
        <v>17206.535530918773</v>
      </c>
      <c r="M31" s="3">
        <f t="shared" si="37"/>
        <v>397390.81772819575</v>
      </c>
      <c r="N31" s="3">
        <f t="shared" si="36"/>
        <v>1483839.2510071609</v>
      </c>
      <c r="O31" s="3">
        <f t="shared" si="36"/>
        <v>1170644.2353247085</v>
      </c>
      <c r="P31" s="3">
        <f t="shared" si="36"/>
        <v>724005.46764811594</v>
      </c>
      <c r="Q31" s="3">
        <f t="shared" si="36"/>
        <v>696255.80113472475</v>
      </c>
      <c r="R31" s="3">
        <f t="shared" si="36"/>
        <v>19599.474850751616</v>
      </c>
      <c r="T31" s="21">
        <f t="shared" si="23"/>
        <v>0</v>
      </c>
    </row>
    <row r="32" spans="1:20">
      <c r="T32" s="21">
        <f t="shared" si="23"/>
        <v>0</v>
      </c>
    </row>
    <row r="33" spans="1:20">
      <c r="T33" s="21">
        <f t="shared" si="23"/>
        <v>0</v>
      </c>
    </row>
    <row r="34" spans="1:20">
      <c r="B34" s="1" t="s">
        <v>205</v>
      </c>
      <c r="T34" s="21">
        <f t="shared" si="23"/>
        <v>0</v>
      </c>
    </row>
    <row r="35" spans="1:20">
      <c r="A35" t="s">
        <v>206</v>
      </c>
      <c r="B35" t="s">
        <v>207</v>
      </c>
      <c r="D35">
        <v>75</v>
      </c>
      <c r="F35" s="2">
        <v>27978916.317603432</v>
      </c>
      <c r="G35" s="18">
        <f t="shared" ref="G35:R35" si="38">INDEX(Alloc,($D35),(G$1))*$F35</f>
        <v>15578813.217016507</v>
      </c>
      <c r="H35" s="18">
        <f t="shared" si="38"/>
        <v>3545623.2127493932</v>
      </c>
      <c r="I35" s="18">
        <f t="shared" si="38"/>
        <v>3361645.0069630062</v>
      </c>
      <c r="J35" s="18">
        <f t="shared" si="38"/>
        <v>2011808.1577368979</v>
      </c>
      <c r="K35" s="18">
        <f t="shared" si="38"/>
        <v>1371654.3312660754</v>
      </c>
      <c r="L35" s="18">
        <f t="shared" si="38"/>
        <v>8140.9753188467093</v>
      </c>
      <c r="M35" s="18">
        <f t="shared" si="38"/>
        <v>186665.3169335064</v>
      </c>
      <c r="N35" s="18">
        <f t="shared" si="38"/>
        <v>706489.1753099669</v>
      </c>
      <c r="O35" s="18">
        <f t="shared" si="38"/>
        <v>562492.50739631511</v>
      </c>
      <c r="P35" s="18">
        <f t="shared" si="38"/>
        <v>324426.35714246688</v>
      </c>
      <c r="Q35" s="18">
        <f t="shared" si="38"/>
        <v>311882.35671360535</v>
      </c>
      <c r="R35" s="18">
        <f t="shared" si="38"/>
        <v>9275.7030568403825</v>
      </c>
      <c r="T35" s="21">
        <f t="shared" si="23"/>
        <v>0</v>
      </c>
    </row>
    <row r="36" spans="1:20">
      <c r="A36" t="s">
        <v>208</v>
      </c>
      <c r="B36" t="s">
        <v>209</v>
      </c>
      <c r="D36" t="s">
        <v>485</v>
      </c>
      <c r="F36" s="2">
        <v>213614.34113897898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213614</v>
      </c>
      <c r="R36" s="18">
        <v>0</v>
      </c>
      <c r="T36" s="21">
        <f t="shared" si="23"/>
        <v>-0.34113897898350842</v>
      </c>
    </row>
    <row r="37" spans="1:20">
      <c r="B37" s="1" t="s">
        <v>8</v>
      </c>
      <c r="F37" s="3">
        <f>SUM(F35:F36)</f>
        <v>28192530.658742409</v>
      </c>
      <c r="G37" s="3">
        <f t="shared" ref="G37:R37" si="39">SUM(G35:G36)</f>
        <v>15578813.217016507</v>
      </c>
      <c r="H37" s="3">
        <f t="shared" si="39"/>
        <v>3545623.2127493932</v>
      </c>
      <c r="I37" s="3">
        <f t="shared" si="39"/>
        <v>3361645.0069630062</v>
      </c>
      <c r="J37" s="3">
        <f t="shared" si="39"/>
        <v>2011808.1577368979</v>
      </c>
      <c r="K37" s="3">
        <f t="shared" si="39"/>
        <v>1371654.3312660754</v>
      </c>
      <c r="L37" s="3">
        <f t="shared" ref="L37:M37" si="40">SUM(L35:L36)</f>
        <v>8140.9753188467093</v>
      </c>
      <c r="M37" s="3">
        <f t="shared" si="40"/>
        <v>186665.3169335064</v>
      </c>
      <c r="N37" s="3">
        <f t="shared" si="39"/>
        <v>706489.1753099669</v>
      </c>
      <c r="O37" s="3">
        <f t="shared" si="39"/>
        <v>562492.50739631511</v>
      </c>
      <c r="P37" s="3">
        <f t="shared" si="39"/>
        <v>324426.35714246688</v>
      </c>
      <c r="Q37" s="3">
        <f t="shared" si="39"/>
        <v>525496.35671360535</v>
      </c>
      <c r="R37" s="3">
        <f t="shared" si="39"/>
        <v>9275.7030568403825</v>
      </c>
      <c r="T37" s="21">
        <f t="shared" si="23"/>
        <v>-0.34113898500800133</v>
      </c>
    </row>
    <row r="38" spans="1:20"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T38" s="21">
        <f t="shared" si="23"/>
        <v>0</v>
      </c>
    </row>
    <row r="39" spans="1:20">
      <c r="B39" s="1" t="s">
        <v>210</v>
      </c>
      <c r="F39" s="3">
        <f>SUM(F37)</f>
        <v>28192530.658742409</v>
      </c>
      <c r="G39" s="3">
        <f t="shared" ref="G39:R39" si="41">SUM(G37)</f>
        <v>15578813.217016507</v>
      </c>
      <c r="H39" s="3">
        <f t="shared" si="41"/>
        <v>3545623.2127493932</v>
      </c>
      <c r="I39" s="3">
        <f t="shared" si="41"/>
        <v>3361645.0069630062</v>
      </c>
      <c r="J39" s="3">
        <f t="shared" si="41"/>
        <v>2011808.1577368979</v>
      </c>
      <c r="K39" s="3">
        <f t="shared" si="41"/>
        <v>1371654.3312660754</v>
      </c>
      <c r="L39" s="3">
        <f t="shared" ref="L39:M39" si="42">SUM(L37)</f>
        <v>8140.9753188467093</v>
      </c>
      <c r="M39" s="3">
        <f t="shared" si="42"/>
        <v>186665.3169335064</v>
      </c>
      <c r="N39" s="3">
        <f t="shared" si="41"/>
        <v>706489.1753099669</v>
      </c>
      <c r="O39" s="3">
        <f t="shared" si="41"/>
        <v>562492.50739631511</v>
      </c>
      <c r="P39" s="3">
        <f t="shared" si="41"/>
        <v>324426.35714246688</v>
      </c>
      <c r="Q39" s="3">
        <f t="shared" si="41"/>
        <v>525496.35671360535</v>
      </c>
      <c r="R39" s="3">
        <f t="shared" si="41"/>
        <v>9275.7030568403825</v>
      </c>
      <c r="T39" s="21">
        <f t="shared" si="23"/>
        <v>-0.34113898500800133</v>
      </c>
    </row>
    <row r="40" spans="1:20"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T40" s="21">
        <f t="shared" si="23"/>
        <v>0</v>
      </c>
    </row>
    <row r="41" spans="1:20"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T41" s="21">
        <f t="shared" si="23"/>
        <v>0</v>
      </c>
    </row>
    <row r="42" spans="1:20">
      <c r="B42" s="1" t="s">
        <v>211</v>
      </c>
      <c r="F42" s="3">
        <f>SUM(F31,F39)</f>
        <v>99584184.936133325</v>
      </c>
      <c r="G42" s="3">
        <f t="shared" ref="G42:R42" si="43">SUM(G31,G39)</f>
        <v>59436423.952904597</v>
      </c>
      <c r="H42" s="3">
        <f t="shared" si="43"/>
        <v>12359447.700884955</v>
      </c>
      <c r="I42" s="3">
        <f t="shared" si="43"/>
        <v>10489477.337911984</v>
      </c>
      <c r="J42" s="3">
        <f t="shared" si="43"/>
        <v>6224342.1005079504</v>
      </c>
      <c r="K42" s="3">
        <f t="shared" si="43"/>
        <v>4242565.5276887156</v>
      </c>
      <c r="L42" s="3">
        <f t="shared" ref="L42:M42" si="44">SUM(L31,L39)</f>
        <v>25347.51084976548</v>
      </c>
      <c r="M42" s="3">
        <f t="shared" si="44"/>
        <v>584056.13466170221</v>
      </c>
      <c r="N42" s="3">
        <f t="shared" si="43"/>
        <v>2190328.4263171279</v>
      </c>
      <c r="O42" s="3">
        <f t="shared" si="43"/>
        <v>1733136.7427210235</v>
      </c>
      <c r="P42" s="3">
        <f t="shared" si="43"/>
        <v>1048431.8247905828</v>
      </c>
      <c r="Q42" s="3">
        <f t="shared" si="43"/>
        <v>1221752.1578483302</v>
      </c>
      <c r="R42" s="3">
        <f t="shared" si="43"/>
        <v>28875.177907591999</v>
      </c>
      <c r="T42" s="21">
        <f t="shared" si="23"/>
        <v>-0.34113903343677521</v>
      </c>
    </row>
    <row r="43" spans="1:20">
      <c r="T43" s="21">
        <f t="shared" si="23"/>
        <v>0</v>
      </c>
    </row>
    <row r="44" spans="1:20">
      <c r="T44" s="21">
        <f t="shared" si="23"/>
        <v>0</v>
      </c>
    </row>
    <row r="45" spans="1:20">
      <c r="T45" s="21">
        <f t="shared" si="23"/>
        <v>0</v>
      </c>
    </row>
    <row r="46" spans="1:20">
      <c r="T46" s="21">
        <f t="shared" si="23"/>
        <v>0</v>
      </c>
    </row>
    <row r="47" spans="1:20">
      <c r="T47" s="21">
        <f t="shared" si="23"/>
        <v>0</v>
      </c>
    </row>
    <row r="48" spans="1:20">
      <c r="T48" s="21">
        <f t="shared" si="23"/>
        <v>0</v>
      </c>
    </row>
    <row r="49" spans="20:20">
      <c r="T49" s="21">
        <f t="shared" si="23"/>
        <v>0</v>
      </c>
    </row>
    <row r="50" spans="20:20">
      <c r="T50" s="21">
        <f t="shared" si="23"/>
        <v>0</v>
      </c>
    </row>
    <row r="51" spans="20:20">
      <c r="T51" s="21">
        <f t="shared" si="23"/>
        <v>0</v>
      </c>
    </row>
    <row r="52" spans="20:20">
      <c r="T52" s="21">
        <f t="shared" si="23"/>
        <v>0</v>
      </c>
    </row>
    <row r="53" spans="20:20">
      <c r="T53" s="21">
        <f t="shared" si="23"/>
        <v>0</v>
      </c>
    </row>
    <row r="54" spans="20:20">
      <c r="T54" s="21">
        <f t="shared" si="23"/>
        <v>0</v>
      </c>
    </row>
    <row r="55" spans="20:20">
      <c r="T55" s="21">
        <f t="shared" si="23"/>
        <v>0</v>
      </c>
    </row>
    <row r="56" spans="20:20">
      <c r="T56" s="21">
        <f t="shared" si="23"/>
        <v>0</v>
      </c>
    </row>
    <row r="57" spans="20:20">
      <c r="T57" s="21">
        <f t="shared" si="23"/>
        <v>0</v>
      </c>
    </row>
    <row r="58" spans="20:20">
      <c r="T58" s="21">
        <f t="shared" si="23"/>
        <v>0</v>
      </c>
    </row>
    <row r="59" spans="20:20">
      <c r="T59" s="21">
        <f t="shared" si="23"/>
        <v>0</v>
      </c>
    </row>
    <row r="60" spans="20:20">
      <c r="T60" s="21">
        <f t="shared" si="23"/>
        <v>0</v>
      </c>
    </row>
    <row r="61" spans="20:20">
      <c r="T61" s="21">
        <f t="shared" si="23"/>
        <v>0</v>
      </c>
    </row>
    <row r="62" spans="20:20">
      <c r="T62" s="21">
        <f t="shared" si="23"/>
        <v>0</v>
      </c>
    </row>
    <row r="63" spans="20:20">
      <c r="T63" s="21">
        <f t="shared" si="23"/>
        <v>0</v>
      </c>
    </row>
    <row r="64" spans="20:20">
      <c r="T64" s="21">
        <f t="shared" si="23"/>
        <v>0</v>
      </c>
    </row>
    <row r="65" spans="20:20">
      <c r="T65" s="21">
        <f t="shared" si="23"/>
        <v>0</v>
      </c>
    </row>
    <row r="66" spans="20:20">
      <c r="T66" s="21">
        <f t="shared" si="23"/>
        <v>0</v>
      </c>
    </row>
    <row r="67" spans="20:20">
      <c r="T67" s="21">
        <f t="shared" si="23"/>
        <v>0</v>
      </c>
    </row>
    <row r="68" spans="20:20">
      <c r="T68" s="21">
        <f t="shared" si="23"/>
        <v>0</v>
      </c>
    </row>
    <row r="69" spans="20:20">
      <c r="T69" s="21">
        <f t="shared" si="23"/>
        <v>0</v>
      </c>
    </row>
    <row r="70" spans="20:20">
      <c r="T70" s="21">
        <f t="shared" si="23"/>
        <v>0</v>
      </c>
    </row>
    <row r="71" spans="20:20">
      <c r="T71" s="21">
        <f t="shared" si="23"/>
        <v>0</v>
      </c>
    </row>
    <row r="72" spans="20:20">
      <c r="T72" s="21">
        <f t="shared" si="23"/>
        <v>0</v>
      </c>
    </row>
    <row r="73" spans="20:20">
      <c r="T73" s="21">
        <f t="shared" si="23"/>
        <v>0</v>
      </c>
    </row>
    <row r="74" spans="20:20">
      <c r="T74" s="21">
        <f t="shared" si="23"/>
        <v>0</v>
      </c>
    </row>
    <row r="75" spans="20:20">
      <c r="T75" s="21">
        <f t="shared" si="23"/>
        <v>0</v>
      </c>
    </row>
    <row r="76" spans="20:20">
      <c r="T76" s="21">
        <f t="shared" si="23"/>
        <v>0</v>
      </c>
    </row>
    <row r="77" spans="20:20">
      <c r="T77" s="21">
        <f t="shared" ref="T77:T98" si="45">SUM(G77:R77)-F77</f>
        <v>0</v>
      </c>
    </row>
    <row r="78" spans="20:20">
      <c r="T78" s="21">
        <f t="shared" si="45"/>
        <v>0</v>
      </c>
    </row>
    <row r="79" spans="20:20">
      <c r="T79" s="21">
        <f t="shared" si="45"/>
        <v>0</v>
      </c>
    </row>
    <row r="80" spans="20:20">
      <c r="T80" s="21">
        <f t="shared" si="45"/>
        <v>0</v>
      </c>
    </row>
    <row r="81" spans="20:20">
      <c r="T81" s="21">
        <f t="shared" si="45"/>
        <v>0</v>
      </c>
    </row>
    <row r="82" spans="20:20">
      <c r="T82" s="21">
        <f t="shared" si="45"/>
        <v>0</v>
      </c>
    </row>
    <row r="83" spans="20:20">
      <c r="T83" s="21">
        <f t="shared" si="45"/>
        <v>0</v>
      </c>
    </row>
    <row r="84" spans="20:20">
      <c r="T84" s="21">
        <f t="shared" si="45"/>
        <v>0</v>
      </c>
    </row>
    <row r="85" spans="20:20">
      <c r="T85" s="21">
        <f t="shared" si="45"/>
        <v>0</v>
      </c>
    </row>
    <row r="86" spans="20:20">
      <c r="T86" s="21">
        <f t="shared" si="45"/>
        <v>0</v>
      </c>
    </row>
    <row r="87" spans="20:20">
      <c r="T87" s="21">
        <f t="shared" si="45"/>
        <v>0</v>
      </c>
    </row>
    <row r="88" spans="20:20">
      <c r="T88" s="21">
        <f t="shared" si="45"/>
        <v>0</v>
      </c>
    </row>
    <row r="89" spans="20:20">
      <c r="T89" s="21">
        <f t="shared" si="45"/>
        <v>0</v>
      </c>
    </row>
    <row r="90" spans="20:20">
      <c r="T90" s="21">
        <f t="shared" si="45"/>
        <v>0</v>
      </c>
    </row>
    <row r="91" spans="20:20">
      <c r="T91" s="21">
        <f t="shared" si="45"/>
        <v>0</v>
      </c>
    </row>
    <row r="92" spans="20:20">
      <c r="T92" s="21">
        <f t="shared" si="45"/>
        <v>0</v>
      </c>
    </row>
    <row r="93" spans="20:20">
      <c r="T93" s="21">
        <f t="shared" si="45"/>
        <v>0</v>
      </c>
    </row>
    <row r="94" spans="20:20">
      <c r="T94" s="21">
        <f t="shared" si="45"/>
        <v>0</v>
      </c>
    </row>
    <row r="95" spans="20:20">
      <c r="T95" s="21">
        <f t="shared" si="45"/>
        <v>0</v>
      </c>
    </row>
    <row r="96" spans="20:20">
      <c r="T96" s="21">
        <f t="shared" si="45"/>
        <v>0</v>
      </c>
    </row>
    <row r="97" spans="20:20">
      <c r="T97" s="21">
        <f t="shared" si="45"/>
        <v>0</v>
      </c>
    </row>
    <row r="98" spans="20:20">
      <c r="T98" s="21">
        <f t="shared" si="45"/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1"/>
  <sheetViews>
    <sheetView workbookViewId="0">
      <pane xSplit="5" ySplit="8" topLeftCell="R53" activePane="bottomRight" state="frozen"/>
      <selection pane="topRight" activeCell="F1" sqref="F1"/>
      <selection pane="bottomLeft" activeCell="A9" sqref="A9"/>
      <selection pane="bottomRight" activeCell="T55" sqref="T55"/>
    </sheetView>
  </sheetViews>
  <sheetFormatPr defaultRowHeight="15"/>
  <cols>
    <col min="2" max="2" width="46.28515625" bestFit="1" customWidth="1"/>
    <col min="3" max="3" width="16" bestFit="1" customWidth="1"/>
    <col min="4" max="5" width="16" customWidth="1"/>
    <col min="6" max="6" width="17.5703125" style="2" customWidth="1"/>
    <col min="7" max="7" width="14.28515625" bestFit="1" customWidth="1"/>
    <col min="8" max="11" width="12.5703125" bestFit="1" customWidth="1"/>
    <col min="12" max="13" width="12.5703125" customWidth="1"/>
    <col min="14" max="14" width="11.5703125" bestFit="1" customWidth="1"/>
    <col min="15" max="15" width="11.7109375" customWidth="1"/>
    <col min="16" max="16" width="10.5703125" bestFit="1" customWidth="1"/>
    <col min="17" max="17" width="11.5703125" bestFit="1" customWidth="1"/>
    <col min="20" max="20" width="15" bestFit="1" customWidth="1"/>
  </cols>
  <sheetData>
    <row r="1" spans="1:30">
      <c r="F1" s="2">
        <v>4</v>
      </c>
      <c r="G1" s="31">
        <f>F1+1</f>
        <v>5</v>
      </c>
      <c r="H1" s="31">
        <f t="shared" ref="H1:AD1" si="0">G1+1</f>
        <v>6</v>
      </c>
      <c r="I1" s="31">
        <f t="shared" si="0"/>
        <v>7</v>
      </c>
      <c r="J1" s="31">
        <f t="shared" si="0"/>
        <v>8</v>
      </c>
      <c r="K1" s="31">
        <f t="shared" si="0"/>
        <v>9</v>
      </c>
      <c r="L1" s="31">
        <f t="shared" ref="L1" si="1">K1+1</f>
        <v>10</v>
      </c>
      <c r="M1" s="31">
        <f t="shared" ref="M1" si="2">L1+1</f>
        <v>11</v>
      </c>
      <c r="N1" s="31">
        <f t="shared" ref="N1" si="3">M1+1</f>
        <v>12</v>
      </c>
      <c r="O1" s="31">
        <f t="shared" ref="O1" si="4">N1+1</f>
        <v>13</v>
      </c>
      <c r="P1" s="31">
        <f t="shared" ref="P1" si="5">O1+1</f>
        <v>14</v>
      </c>
      <c r="Q1" s="31">
        <f t="shared" ref="Q1" si="6">P1+1</f>
        <v>15</v>
      </c>
      <c r="R1" s="31">
        <f t="shared" ref="R1" si="7">Q1+1</f>
        <v>16</v>
      </c>
      <c r="S1" s="31">
        <f t="shared" ref="S1" si="8">R1+1</f>
        <v>17</v>
      </c>
      <c r="T1" s="31">
        <f t="shared" ref="T1" si="9">S1+1</f>
        <v>18</v>
      </c>
      <c r="U1" s="31">
        <f t="shared" ref="U1" si="10">T1+1</f>
        <v>19</v>
      </c>
      <c r="V1" s="31">
        <f t="shared" ref="V1" si="11">U1+1</f>
        <v>20</v>
      </c>
      <c r="W1" s="31">
        <f t="shared" ref="W1" si="12">V1+1</f>
        <v>21</v>
      </c>
      <c r="X1" s="31">
        <f t="shared" ref="X1" si="13">W1+1</f>
        <v>22</v>
      </c>
      <c r="Y1" s="31">
        <f t="shared" ref="Y1" si="14">X1+1</f>
        <v>23</v>
      </c>
      <c r="Z1" s="31">
        <f t="shared" ref="Z1" si="15">Y1+1</f>
        <v>24</v>
      </c>
      <c r="AA1" s="31">
        <f t="shared" ref="AA1" si="16">Z1+1</f>
        <v>25</v>
      </c>
      <c r="AB1" s="31">
        <f t="shared" ref="AB1" si="17">AA1+1</f>
        <v>26</v>
      </c>
      <c r="AC1" s="31">
        <f t="shared" ref="AC1" si="18">AB1+1</f>
        <v>27</v>
      </c>
      <c r="AD1" s="31">
        <f t="shared" ref="AD1" si="19">AC1+1</f>
        <v>28</v>
      </c>
    </row>
    <row r="3" spans="1:30">
      <c r="B3" s="37"/>
    </row>
    <row r="7" spans="1:30" ht="64.5">
      <c r="C7" t="s">
        <v>435</v>
      </c>
      <c r="D7" t="s">
        <v>432</v>
      </c>
      <c r="G7" s="4" t="s">
        <v>293</v>
      </c>
      <c r="H7" s="4" t="s">
        <v>294</v>
      </c>
      <c r="I7" s="4" t="s">
        <v>295</v>
      </c>
      <c r="J7" s="4" t="s">
        <v>296</v>
      </c>
      <c r="K7" s="4" t="s">
        <v>554</v>
      </c>
      <c r="L7" s="4">
        <v>35</v>
      </c>
      <c r="M7" s="4">
        <v>43</v>
      </c>
      <c r="N7" s="4" t="s">
        <v>297</v>
      </c>
      <c r="O7" s="4" t="s">
        <v>298</v>
      </c>
      <c r="P7" s="4" t="s">
        <v>301</v>
      </c>
      <c r="Q7" s="4" t="s">
        <v>299</v>
      </c>
      <c r="R7" s="4" t="s">
        <v>300</v>
      </c>
      <c r="T7" s="4" t="s">
        <v>486</v>
      </c>
    </row>
    <row r="8" spans="1:30">
      <c r="B8" s="1" t="s">
        <v>0</v>
      </c>
      <c r="C8" s="1" t="s">
        <v>292</v>
      </c>
      <c r="D8" s="1" t="s">
        <v>433</v>
      </c>
      <c r="E8" s="1"/>
      <c r="F8" s="3" t="s">
        <v>1</v>
      </c>
    </row>
    <row r="9" spans="1:30">
      <c r="A9" s="1" t="s">
        <v>489</v>
      </c>
    </row>
    <row r="10" spans="1:30">
      <c r="A10">
        <v>447</v>
      </c>
      <c r="B10" t="s">
        <v>252</v>
      </c>
      <c r="F10" s="2">
        <v>1955673806.0898824</v>
      </c>
      <c r="G10" s="18">
        <v>1066627454</v>
      </c>
      <c r="H10" s="18">
        <v>266944271</v>
      </c>
      <c r="I10" s="18">
        <v>252922820</v>
      </c>
      <c r="J10" s="18">
        <v>151834735</v>
      </c>
      <c r="K10" s="18">
        <v>101394675</v>
      </c>
      <c r="L10" s="18">
        <v>248214</v>
      </c>
      <c r="M10" s="18">
        <v>10337826</v>
      </c>
      <c r="N10" s="18">
        <v>47836622</v>
      </c>
      <c r="O10" s="18">
        <v>40360092</v>
      </c>
      <c r="P10" s="18"/>
      <c r="Q10" s="18">
        <v>17167097</v>
      </c>
      <c r="R10" s="18"/>
      <c r="T10" s="31">
        <f>SUM(G10:R10)-F10</f>
        <v>-8.9882373809814453E-2</v>
      </c>
    </row>
    <row r="11" spans="1:30">
      <c r="A11">
        <v>447.01</v>
      </c>
      <c r="B11" t="s">
        <v>253</v>
      </c>
      <c r="F11" s="2">
        <v>7513279.0699999984</v>
      </c>
      <c r="P11">
        <v>7513279</v>
      </c>
      <c r="T11" s="31">
        <f t="shared" ref="T11:T51" si="20">SUM(G11:R11)-F11</f>
        <v>-6.9999998435378075E-2</v>
      </c>
    </row>
    <row r="12" spans="1:30">
      <c r="A12">
        <v>447.02</v>
      </c>
      <c r="B12" t="s">
        <v>254</v>
      </c>
      <c r="F12" s="2">
        <v>316389.10000000003</v>
      </c>
      <c r="R12">
        <v>316389</v>
      </c>
      <c r="T12" s="31">
        <f t="shared" si="20"/>
        <v>-0.1000000000349246</v>
      </c>
    </row>
    <row r="13" spans="1:30">
      <c r="B13" s="1" t="s">
        <v>255</v>
      </c>
      <c r="F13" s="3">
        <f>SUM(F10:F12)</f>
        <v>1963503474.2598822</v>
      </c>
      <c r="G13" s="3">
        <f t="shared" ref="G13:R13" si="21">SUM(G10:G12)</f>
        <v>1066627454</v>
      </c>
      <c r="H13" s="3">
        <f t="shared" si="21"/>
        <v>266944271</v>
      </c>
      <c r="I13" s="3">
        <f t="shared" si="21"/>
        <v>252922820</v>
      </c>
      <c r="J13" s="3">
        <f t="shared" si="21"/>
        <v>151834735</v>
      </c>
      <c r="K13" s="3">
        <f t="shared" si="21"/>
        <v>101394675</v>
      </c>
      <c r="L13" s="3">
        <f t="shared" si="21"/>
        <v>248214</v>
      </c>
      <c r="M13" s="3">
        <f t="shared" si="21"/>
        <v>10337826</v>
      </c>
      <c r="N13" s="3">
        <f t="shared" si="21"/>
        <v>47836622</v>
      </c>
      <c r="O13" s="3">
        <f t="shared" si="21"/>
        <v>40360092</v>
      </c>
      <c r="P13" s="3">
        <f t="shared" si="21"/>
        <v>7513279</v>
      </c>
      <c r="Q13" s="3">
        <f t="shared" si="21"/>
        <v>17167097</v>
      </c>
      <c r="R13" s="3">
        <f t="shared" si="21"/>
        <v>316389</v>
      </c>
      <c r="T13" s="31">
        <f t="shared" si="20"/>
        <v>-0.25988221168518066</v>
      </c>
    </row>
    <row r="14" spans="1:30">
      <c r="T14" s="31">
        <f t="shared" si="20"/>
        <v>0</v>
      </c>
    </row>
    <row r="15" spans="1:30">
      <c r="A15" s="1" t="s">
        <v>256</v>
      </c>
      <c r="T15" s="31">
        <f t="shared" si="20"/>
        <v>0</v>
      </c>
    </row>
    <row r="16" spans="1:30">
      <c r="A16">
        <v>447.07</v>
      </c>
      <c r="B16" t="s">
        <v>257</v>
      </c>
      <c r="D16">
        <v>73</v>
      </c>
      <c r="F16" s="2">
        <v>30144357.521026254</v>
      </c>
      <c r="G16" s="18">
        <f t="shared" ref="G16:R16" si="22">INDEX(Alloc,($D16),(G$1))*$F16</f>
        <v>15151006.255430609</v>
      </c>
      <c r="H16" s="18">
        <f t="shared" si="22"/>
        <v>3998407.8703039638</v>
      </c>
      <c r="I16" s="18">
        <f t="shared" si="22"/>
        <v>4157359.0675123362</v>
      </c>
      <c r="J16" s="18">
        <f t="shared" si="22"/>
        <v>2808911.5225242679</v>
      </c>
      <c r="K16" s="18">
        <f t="shared" si="22"/>
        <v>1833651.1236465059</v>
      </c>
      <c r="L16" s="18">
        <f t="shared" si="22"/>
        <v>7686.8111678616933</v>
      </c>
      <c r="M16" s="18">
        <f t="shared" si="22"/>
        <v>161814.91117286895</v>
      </c>
      <c r="N16" s="18">
        <f t="shared" si="22"/>
        <v>990845.03171613289</v>
      </c>
      <c r="O16" s="18">
        <f t="shared" si="22"/>
        <v>900472.24786809611</v>
      </c>
      <c r="P16" s="18">
        <f t="shared" si="22"/>
        <v>0</v>
      </c>
      <c r="Q16" s="18">
        <f t="shared" si="22"/>
        <v>124496.1965618384</v>
      </c>
      <c r="R16" s="18">
        <f t="shared" si="22"/>
        <v>9706.4831217704541</v>
      </c>
      <c r="T16" s="31">
        <f t="shared" si="20"/>
        <v>0</v>
      </c>
    </row>
    <row r="17" spans="1:20">
      <c r="B17" s="1" t="s">
        <v>258</v>
      </c>
      <c r="F17" s="3">
        <f>SUM(F16)</f>
        <v>30144357.521026254</v>
      </c>
      <c r="G17" s="3">
        <f t="shared" ref="G17:R17" si="23">SUM(G16)</f>
        <v>15151006.255430609</v>
      </c>
      <c r="H17" s="3">
        <f t="shared" si="23"/>
        <v>3998407.8703039638</v>
      </c>
      <c r="I17" s="3">
        <f t="shared" si="23"/>
        <v>4157359.0675123362</v>
      </c>
      <c r="J17" s="3">
        <f t="shared" si="23"/>
        <v>2808911.5225242679</v>
      </c>
      <c r="K17" s="3">
        <f t="shared" si="23"/>
        <v>1833651.1236465059</v>
      </c>
      <c r="L17" s="3">
        <f t="shared" ref="L17:M17" si="24">SUM(L16)</f>
        <v>7686.8111678616933</v>
      </c>
      <c r="M17" s="3">
        <f t="shared" si="24"/>
        <v>161814.91117286895</v>
      </c>
      <c r="N17" s="3">
        <f t="shared" si="23"/>
        <v>990845.03171613289</v>
      </c>
      <c r="O17" s="3">
        <f t="shared" si="23"/>
        <v>900472.24786809611</v>
      </c>
      <c r="P17" s="3">
        <f t="shared" si="23"/>
        <v>0</v>
      </c>
      <c r="Q17" s="3">
        <f t="shared" si="23"/>
        <v>124496.1965618384</v>
      </c>
      <c r="R17" s="3">
        <f t="shared" si="23"/>
        <v>9706.4831217704541</v>
      </c>
      <c r="T17" s="31">
        <f t="shared" si="20"/>
        <v>0</v>
      </c>
    </row>
    <row r="18" spans="1:20">
      <c r="T18" s="31">
        <f t="shared" si="20"/>
        <v>0</v>
      </c>
    </row>
    <row r="19" spans="1:20">
      <c r="A19" s="1" t="s">
        <v>259</v>
      </c>
      <c r="T19" s="31">
        <f t="shared" si="20"/>
        <v>0</v>
      </c>
    </row>
    <row r="20" spans="1:20">
      <c r="A20">
        <v>450.01</v>
      </c>
      <c r="B20" t="s">
        <v>260</v>
      </c>
      <c r="D20">
        <v>13</v>
      </c>
      <c r="F20" s="2">
        <v>2608874.52</v>
      </c>
      <c r="G20" s="18">
        <f t="shared" ref="G20:R29" si="25">INDEX(Alloc,($D20),(G$1))*$F20</f>
        <v>2047675.3068927049</v>
      </c>
      <c r="H20" s="18">
        <f t="shared" si="25"/>
        <v>335064.20003906731</v>
      </c>
      <c r="I20" s="18">
        <f t="shared" si="25"/>
        <v>79672.441327700697</v>
      </c>
      <c r="J20" s="18">
        <f t="shared" si="25"/>
        <v>26688.29107848071</v>
      </c>
      <c r="K20" s="18">
        <f t="shared" si="25"/>
        <v>36620.054726216411</v>
      </c>
      <c r="L20" s="18">
        <f t="shared" si="25"/>
        <v>0</v>
      </c>
      <c r="M20" s="18">
        <f t="shared" si="25"/>
        <v>6765.256116237515</v>
      </c>
      <c r="N20" s="18">
        <f t="shared" si="25"/>
        <v>-435.19903667714732</v>
      </c>
      <c r="O20" s="18">
        <f t="shared" si="25"/>
        <v>9077.3185376803431</v>
      </c>
      <c r="P20" s="18">
        <f t="shared" si="25"/>
        <v>-15.421808378526077</v>
      </c>
      <c r="Q20" s="18">
        <f t="shared" si="25"/>
        <v>67707.425802515136</v>
      </c>
      <c r="R20" s="18">
        <f t="shared" si="25"/>
        <v>54.84632445308354</v>
      </c>
      <c r="T20" s="31">
        <f t="shared" si="20"/>
        <v>0</v>
      </c>
    </row>
    <row r="21" spans="1:20">
      <c r="A21">
        <v>450.02</v>
      </c>
      <c r="B21" t="s">
        <v>261</v>
      </c>
      <c r="D21">
        <v>14</v>
      </c>
      <c r="F21" s="2">
        <v>286000</v>
      </c>
      <c r="G21" s="18">
        <f t="shared" si="25"/>
        <v>276325.28294074303</v>
      </c>
      <c r="H21" s="18">
        <f t="shared" si="25"/>
        <v>9561.8159855902049</v>
      </c>
      <c r="I21" s="18">
        <f t="shared" si="25"/>
        <v>38.095337913470843</v>
      </c>
      <c r="J21" s="18">
        <f t="shared" si="25"/>
        <v>0</v>
      </c>
      <c r="K21" s="18">
        <f t="shared" si="25"/>
        <v>0</v>
      </c>
      <c r="L21" s="18">
        <f t="shared" si="25"/>
        <v>0</v>
      </c>
      <c r="M21" s="18">
        <f t="shared" si="25"/>
        <v>0</v>
      </c>
      <c r="N21" s="18">
        <f t="shared" si="25"/>
        <v>0</v>
      </c>
      <c r="O21" s="18">
        <f t="shared" si="25"/>
        <v>0</v>
      </c>
      <c r="P21" s="18">
        <f t="shared" si="25"/>
        <v>0</v>
      </c>
      <c r="Q21" s="18">
        <f t="shared" si="25"/>
        <v>74.805735753394188</v>
      </c>
      <c r="R21" s="18">
        <f t="shared" si="25"/>
        <v>0</v>
      </c>
      <c r="T21" s="31">
        <f t="shared" si="20"/>
        <v>0</v>
      </c>
    </row>
    <row r="22" spans="1:20">
      <c r="A22">
        <v>451.01</v>
      </c>
      <c r="B22" t="s">
        <v>262</v>
      </c>
      <c r="D22">
        <v>2</v>
      </c>
      <c r="F22" s="2">
        <v>1090430.1599999999</v>
      </c>
      <c r="G22" s="18">
        <f t="shared" si="25"/>
        <v>966005.68099789321</v>
      </c>
      <c r="H22" s="18">
        <f t="shared" si="25"/>
        <v>116155.9132542467</v>
      </c>
      <c r="I22" s="18">
        <f t="shared" si="25"/>
        <v>7502.1916530499411</v>
      </c>
      <c r="J22" s="18">
        <f t="shared" si="25"/>
        <v>766.3740948099861</v>
      </c>
      <c r="K22" s="18">
        <f t="shared" si="25"/>
        <v>0</v>
      </c>
      <c r="L22" s="18">
        <f t="shared" si="25"/>
        <v>0</v>
      </c>
      <c r="M22" s="18">
        <f t="shared" si="25"/>
        <v>0</v>
      </c>
      <c r="N22" s="18">
        <f t="shared" si="25"/>
        <v>0</v>
      </c>
      <c r="O22" s="18">
        <f t="shared" si="25"/>
        <v>0</v>
      </c>
      <c r="P22" s="18">
        <f t="shared" si="25"/>
        <v>0</v>
      </c>
      <c r="Q22" s="18">
        <f t="shared" si="25"/>
        <v>0</v>
      </c>
      <c r="R22" s="18">
        <f t="shared" si="25"/>
        <v>0</v>
      </c>
      <c r="T22" s="31">
        <f t="shared" si="20"/>
        <v>0</v>
      </c>
    </row>
    <row r="23" spans="1:20">
      <c r="A23">
        <v>451.02</v>
      </c>
      <c r="B23" t="s">
        <v>263</v>
      </c>
      <c r="D23">
        <v>15</v>
      </c>
      <c r="F23" s="2">
        <v>1292858</v>
      </c>
      <c r="G23" s="18">
        <f t="shared" si="25"/>
        <v>1261662.3279971117</v>
      </c>
      <c r="H23" s="18">
        <f t="shared" si="25"/>
        <v>30652.30090488357</v>
      </c>
      <c r="I23" s="18">
        <f t="shared" si="25"/>
        <v>543.37109800466135</v>
      </c>
      <c r="J23" s="18">
        <f t="shared" si="25"/>
        <v>0</v>
      </c>
      <c r="K23" s="18">
        <f t="shared" si="25"/>
        <v>0</v>
      </c>
      <c r="L23" s="18">
        <f t="shared" si="25"/>
        <v>0</v>
      </c>
      <c r="M23" s="18">
        <f t="shared" si="25"/>
        <v>0</v>
      </c>
      <c r="N23" s="18">
        <f t="shared" si="25"/>
        <v>0</v>
      </c>
      <c r="O23" s="18">
        <f t="shared" si="25"/>
        <v>0</v>
      </c>
      <c r="P23" s="18">
        <f t="shared" si="25"/>
        <v>0</v>
      </c>
      <c r="Q23" s="18">
        <f t="shared" si="25"/>
        <v>0</v>
      </c>
      <c r="R23" s="18">
        <f t="shared" si="25"/>
        <v>0</v>
      </c>
      <c r="T23" s="31">
        <f t="shared" si="20"/>
        <v>0</v>
      </c>
    </row>
    <row r="24" spans="1:20">
      <c r="A24">
        <v>451.03</v>
      </c>
      <c r="B24" t="s">
        <v>264</v>
      </c>
      <c r="D24">
        <v>2</v>
      </c>
      <c r="F24" s="2">
        <v>436938.03</v>
      </c>
      <c r="G24" s="18">
        <f t="shared" si="25"/>
        <v>387080.83718449972</v>
      </c>
      <c r="H24" s="18">
        <f t="shared" si="25"/>
        <v>46543.958312893192</v>
      </c>
      <c r="I24" s="18">
        <f t="shared" si="25"/>
        <v>3006.1465298851281</v>
      </c>
      <c r="J24" s="18">
        <f t="shared" si="25"/>
        <v>307.08797272198393</v>
      </c>
      <c r="K24" s="18">
        <f t="shared" si="25"/>
        <v>0</v>
      </c>
      <c r="L24" s="18">
        <f t="shared" si="25"/>
        <v>0</v>
      </c>
      <c r="M24" s="18">
        <f t="shared" si="25"/>
        <v>0</v>
      </c>
      <c r="N24" s="18">
        <f t="shared" si="25"/>
        <v>0</v>
      </c>
      <c r="O24" s="18">
        <f t="shared" si="25"/>
        <v>0</v>
      </c>
      <c r="P24" s="18">
        <f t="shared" si="25"/>
        <v>0</v>
      </c>
      <c r="Q24" s="18">
        <f t="shared" si="25"/>
        <v>0</v>
      </c>
      <c r="R24" s="18">
        <f t="shared" si="25"/>
        <v>0</v>
      </c>
      <c r="T24" s="31">
        <f t="shared" si="20"/>
        <v>0</v>
      </c>
    </row>
    <row r="25" spans="1:20">
      <c r="A25">
        <v>451.04</v>
      </c>
      <c r="B25" t="s">
        <v>265</v>
      </c>
      <c r="D25">
        <v>2</v>
      </c>
      <c r="F25" s="2">
        <v>1565700.7100000004</v>
      </c>
      <c r="G25" s="18">
        <f t="shared" si="25"/>
        <v>1387045.0727467365</v>
      </c>
      <c r="H25" s="18">
        <f t="shared" si="25"/>
        <v>166783.16734459411</v>
      </c>
      <c r="I25" s="18">
        <f t="shared" si="25"/>
        <v>10772.067050801648</v>
      </c>
      <c r="J25" s="18">
        <f t="shared" si="25"/>
        <v>1100.4028578681307</v>
      </c>
      <c r="K25" s="18">
        <f t="shared" si="25"/>
        <v>0</v>
      </c>
      <c r="L25" s="18">
        <f t="shared" si="25"/>
        <v>0</v>
      </c>
      <c r="M25" s="18">
        <f t="shared" si="25"/>
        <v>0</v>
      </c>
      <c r="N25" s="18">
        <f t="shared" si="25"/>
        <v>0</v>
      </c>
      <c r="O25" s="18">
        <f t="shared" si="25"/>
        <v>0</v>
      </c>
      <c r="P25" s="18">
        <f t="shared" si="25"/>
        <v>0</v>
      </c>
      <c r="Q25" s="18">
        <f t="shared" si="25"/>
        <v>0</v>
      </c>
      <c r="R25" s="18">
        <f t="shared" si="25"/>
        <v>0</v>
      </c>
      <c r="T25" s="31">
        <f t="shared" si="20"/>
        <v>0</v>
      </c>
    </row>
    <row r="26" spans="1:20">
      <c r="A26">
        <v>451.05</v>
      </c>
      <c r="B26" t="s">
        <v>266</v>
      </c>
      <c r="D26">
        <v>16</v>
      </c>
      <c r="F26" s="2">
        <v>1417204.84</v>
      </c>
      <c r="G26" s="18">
        <f t="shared" si="25"/>
        <v>1298002.4416559539</v>
      </c>
      <c r="H26" s="18">
        <f t="shared" si="25"/>
        <v>115777.96951064367</v>
      </c>
      <c r="I26" s="18">
        <f t="shared" si="25"/>
        <v>2826.3926059514879</v>
      </c>
      <c r="J26" s="18">
        <f t="shared" si="25"/>
        <v>368.17738177065144</v>
      </c>
      <c r="K26" s="18">
        <f t="shared" si="25"/>
        <v>80.645736474254718</v>
      </c>
      <c r="L26" s="18">
        <f t="shared" si="25"/>
        <v>0</v>
      </c>
      <c r="M26" s="18">
        <f t="shared" si="25"/>
        <v>6.0206851427453927</v>
      </c>
      <c r="N26" s="18">
        <f t="shared" si="25"/>
        <v>137.55092185568697</v>
      </c>
      <c r="O26" s="18">
        <f t="shared" si="25"/>
        <v>5.6415022074880019</v>
      </c>
      <c r="P26" s="18">
        <f t="shared" si="25"/>
        <v>0</v>
      </c>
      <c r="Q26" s="18">
        <f t="shared" si="25"/>
        <v>0</v>
      </c>
      <c r="R26" s="18">
        <f t="shared" si="25"/>
        <v>0</v>
      </c>
      <c r="T26" s="31">
        <f t="shared" si="20"/>
        <v>0</v>
      </c>
    </row>
    <row r="27" spans="1:20">
      <c r="A27">
        <v>451.06</v>
      </c>
      <c r="B27" t="s">
        <v>267</v>
      </c>
      <c r="D27">
        <v>17</v>
      </c>
      <c r="F27" s="2">
        <v>136832</v>
      </c>
      <c r="G27" s="18">
        <f t="shared" si="25"/>
        <v>-121626.58411338845</v>
      </c>
      <c r="H27" s="18">
        <f t="shared" si="25"/>
        <v>268219.74116447446</v>
      </c>
      <c r="I27" s="18">
        <f t="shared" si="25"/>
        <v>-7389.2349546242485</v>
      </c>
      <c r="J27" s="18">
        <f t="shared" si="25"/>
        <v>-2371.9220964617116</v>
      </c>
      <c r="K27" s="18">
        <f t="shared" si="25"/>
        <v>0</v>
      </c>
      <c r="L27" s="18">
        <f t="shared" si="25"/>
        <v>0</v>
      </c>
      <c r="M27" s="18">
        <f t="shared" si="25"/>
        <v>0</v>
      </c>
      <c r="N27" s="18">
        <f t="shared" si="25"/>
        <v>0</v>
      </c>
      <c r="O27" s="18">
        <f t="shared" si="25"/>
        <v>0</v>
      </c>
      <c r="P27" s="18">
        <f t="shared" si="25"/>
        <v>0</v>
      </c>
      <c r="Q27" s="18">
        <f t="shared" si="25"/>
        <v>0</v>
      </c>
      <c r="R27" s="18">
        <f t="shared" si="25"/>
        <v>0</v>
      </c>
      <c r="T27" s="31">
        <f t="shared" si="20"/>
        <v>0</v>
      </c>
    </row>
    <row r="28" spans="1:20">
      <c r="A28">
        <v>451.07</v>
      </c>
      <c r="B28" t="s">
        <v>268</v>
      </c>
      <c r="D28">
        <v>10</v>
      </c>
      <c r="F28" s="2">
        <v>6931078.9399999995</v>
      </c>
      <c r="G28" s="18">
        <f t="shared" si="25"/>
        <v>2681846.3059743936</v>
      </c>
      <c r="H28" s="18">
        <f t="shared" si="25"/>
        <v>3966304.7349182637</v>
      </c>
      <c r="I28" s="18">
        <f t="shared" si="25"/>
        <v>256525.3312519851</v>
      </c>
      <c r="J28" s="18">
        <f t="shared" si="25"/>
        <v>26402.567855357061</v>
      </c>
      <c r="K28" s="18">
        <f t="shared" si="25"/>
        <v>0</v>
      </c>
      <c r="L28" s="18">
        <f t="shared" si="25"/>
        <v>0</v>
      </c>
      <c r="M28" s="18">
        <f t="shared" si="25"/>
        <v>0</v>
      </c>
      <c r="N28" s="18">
        <f t="shared" si="25"/>
        <v>0</v>
      </c>
      <c r="O28" s="18">
        <f t="shared" si="25"/>
        <v>0</v>
      </c>
      <c r="P28" s="18">
        <f t="shared" si="25"/>
        <v>0</v>
      </c>
      <c r="Q28" s="18">
        <f t="shared" si="25"/>
        <v>0</v>
      </c>
      <c r="R28" s="18">
        <f t="shared" si="25"/>
        <v>0</v>
      </c>
      <c r="T28" s="31">
        <f t="shared" si="20"/>
        <v>0</v>
      </c>
    </row>
    <row r="29" spans="1:20">
      <c r="A29">
        <v>451.08</v>
      </c>
      <c r="B29" t="s">
        <v>269</v>
      </c>
      <c r="D29">
        <v>2</v>
      </c>
      <c r="F29" s="2">
        <v>105921.51999999999</v>
      </c>
      <c r="G29" s="18">
        <f t="shared" si="25"/>
        <v>93835.253107757002</v>
      </c>
      <c r="H29" s="18">
        <f t="shared" si="25"/>
        <v>11283.080145983817</v>
      </c>
      <c r="I29" s="18">
        <f t="shared" si="25"/>
        <v>728.74318078506042</v>
      </c>
      <c r="J29" s="18">
        <f t="shared" si="25"/>
        <v>74.443565474104119</v>
      </c>
      <c r="K29" s="18">
        <f t="shared" si="25"/>
        <v>0</v>
      </c>
      <c r="L29" s="18">
        <f t="shared" si="25"/>
        <v>0</v>
      </c>
      <c r="M29" s="18">
        <f t="shared" si="25"/>
        <v>0</v>
      </c>
      <c r="N29" s="18">
        <f t="shared" si="25"/>
        <v>0</v>
      </c>
      <c r="O29" s="18">
        <f t="shared" si="25"/>
        <v>0</v>
      </c>
      <c r="P29" s="18">
        <f t="shared" si="25"/>
        <v>0</v>
      </c>
      <c r="Q29" s="18">
        <f t="shared" si="25"/>
        <v>0</v>
      </c>
      <c r="R29" s="18">
        <f t="shared" si="25"/>
        <v>0</v>
      </c>
      <c r="T29" s="31">
        <f t="shared" si="20"/>
        <v>0</v>
      </c>
    </row>
    <row r="30" spans="1:20">
      <c r="A30">
        <v>454.01</v>
      </c>
      <c r="B30" t="s">
        <v>270</v>
      </c>
      <c r="D30">
        <v>73</v>
      </c>
      <c r="F30" s="2">
        <v>59939.319999999992</v>
      </c>
      <c r="G30" s="18">
        <f t="shared" ref="G30:R41" si="26">INDEX(Alloc,($D30),(G$1))*$F30</f>
        <v>30126.401321799993</v>
      </c>
      <c r="H30" s="18">
        <f t="shared" si="26"/>
        <v>7950.4712834399979</v>
      </c>
      <c r="I30" s="18">
        <f t="shared" si="26"/>
        <v>8266.5313177999997</v>
      </c>
      <c r="J30" s="18">
        <f t="shared" si="26"/>
        <v>5585.2657162399983</v>
      </c>
      <c r="K30" s="18">
        <f t="shared" si="26"/>
        <v>3646.0488962799991</v>
      </c>
      <c r="L30" s="18">
        <f t="shared" si="26"/>
        <v>15.284526599999996</v>
      </c>
      <c r="M30" s="18">
        <f t="shared" si="26"/>
        <v>321.75426976</v>
      </c>
      <c r="N30" s="18">
        <f t="shared" si="26"/>
        <v>1970.2054483999996</v>
      </c>
      <c r="O30" s="18">
        <f t="shared" si="26"/>
        <v>1790.5073670399995</v>
      </c>
      <c r="P30" s="18">
        <f t="shared" si="26"/>
        <v>0</v>
      </c>
      <c r="Q30" s="18">
        <f t="shared" si="26"/>
        <v>247.54939159999992</v>
      </c>
      <c r="R30" s="18">
        <f t="shared" si="26"/>
        <v>19.300461039999998</v>
      </c>
      <c r="T30" s="31">
        <f t="shared" si="20"/>
        <v>0</v>
      </c>
    </row>
    <row r="31" spans="1:20">
      <c r="A31">
        <v>454.02</v>
      </c>
      <c r="B31" t="s">
        <v>271</v>
      </c>
      <c r="D31">
        <v>57</v>
      </c>
      <c r="F31" s="2">
        <v>7437200.2199999997</v>
      </c>
      <c r="G31" s="18">
        <f t="shared" si="26"/>
        <v>5040801.433724816</v>
      </c>
      <c r="H31" s="18">
        <f t="shared" si="26"/>
        <v>966561.36754418886</v>
      </c>
      <c r="I31" s="18">
        <f t="shared" si="26"/>
        <v>746677.10376085958</v>
      </c>
      <c r="J31" s="18">
        <f t="shared" si="26"/>
        <v>311130.37792768492</v>
      </c>
      <c r="K31" s="18">
        <f t="shared" si="26"/>
        <v>265033.67348788126</v>
      </c>
      <c r="L31" s="18">
        <f t="shared" si="26"/>
        <v>5937.3748760653343</v>
      </c>
      <c r="M31" s="18">
        <f t="shared" si="26"/>
        <v>74127.677786855886</v>
      </c>
      <c r="N31" s="18">
        <f t="shared" si="26"/>
        <v>16809.329350417</v>
      </c>
      <c r="O31" s="18">
        <f t="shared" si="26"/>
        <v>0</v>
      </c>
      <c r="P31" s="18">
        <f t="shared" si="26"/>
        <v>0</v>
      </c>
      <c r="Q31" s="18">
        <f t="shared" si="26"/>
        <v>4855.8178948725281</v>
      </c>
      <c r="R31" s="18">
        <f t="shared" si="26"/>
        <v>5266.0636463594547</v>
      </c>
      <c r="T31" s="31">
        <f t="shared" si="20"/>
        <v>0</v>
      </c>
    </row>
    <row r="32" spans="1:20">
      <c r="A32">
        <v>454.03</v>
      </c>
      <c r="B32" t="s">
        <v>272</v>
      </c>
      <c r="D32">
        <v>57</v>
      </c>
      <c r="F32" s="2">
        <v>4753198.22</v>
      </c>
      <c r="G32" s="18">
        <f t="shared" si="26"/>
        <v>3221632.8313605953</v>
      </c>
      <c r="H32" s="18">
        <f t="shared" si="26"/>
        <v>617740.2296333235</v>
      </c>
      <c r="I32" s="18">
        <f t="shared" si="26"/>
        <v>477209.72617715446</v>
      </c>
      <c r="J32" s="18">
        <f t="shared" si="26"/>
        <v>198846.92018602119</v>
      </c>
      <c r="K32" s="18">
        <f t="shared" si="26"/>
        <v>169385.998466861</v>
      </c>
      <c r="L32" s="18">
        <f t="shared" si="26"/>
        <v>3794.6429916588245</v>
      </c>
      <c r="M32" s="18">
        <f t="shared" si="26"/>
        <v>47375.831722494215</v>
      </c>
      <c r="N32" s="18">
        <f t="shared" si="26"/>
        <v>10743.031246212144</v>
      </c>
      <c r="O32" s="18">
        <f t="shared" si="26"/>
        <v>0</v>
      </c>
      <c r="P32" s="18">
        <f t="shared" si="26"/>
        <v>0</v>
      </c>
      <c r="Q32" s="18">
        <f t="shared" si="26"/>
        <v>3103.4077733290133</v>
      </c>
      <c r="R32" s="18">
        <f t="shared" si="26"/>
        <v>3365.6004423506661</v>
      </c>
      <c r="T32" s="31">
        <f t="shared" si="20"/>
        <v>0</v>
      </c>
    </row>
    <row r="33" spans="1:20">
      <c r="A33">
        <v>454.04</v>
      </c>
      <c r="B33" t="s">
        <v>273</v>
      </c>
      <c r="D33">
        <v>75</v>
      </c>
      <c r="F33" s="2">
        <v>1379005.1</v>
      </c>
      <c r="G33" s="18">
        <f t="shared" si="26"/>
        <v>767837.56148184324</v>
      </c>
      <c r="H33" s="18">
        <f t="shared" si="26"/>
        <v>174754.17695086088</v>
      </c>
      <c r="I33" s="18">
        <f t="shared" si="26"/>
        <v>165686.38886399157</v>
      </c>
      <c r="J33" s="18">
        <f t="shared" si="26"/>
        <v>99156.581986532867</v>
      </c>
      <c r="K33" s="18">
        <f t="shared" si="26"/>
        <v>67605.131549105965</v>
      </c>
      <c r="L33" s="18">
        <f t="shared" si="26"/>
        <v>401.24665145091484</v>
      </c>
      <c r="M33" s="18">
        <f t="shared" si="26"/>
        <v>9200.2285264517595</v>
      </c>
      <c r="N33" s="18">
        <f t="shared" si="26"/>
        <v>34820.940339074907</v>
      </c>
      <c r="O33" s="18">
        <f t="shared" si="26"/>
        <v>27723.734100568916</v>
      </c>
      <c r="P33" s="18">
        <f t="shared" si="26"/>
        <v>15990.097543284859</v>
      </c>
      <c r="Q33" s="18">
        <f t="shared" si="26"/>
        <v>15371.837694710282</v>
      </c>
      <c r="R33" s="18">
        <f t="shared" si="26"/>
        <v>457.1743121237559</v>
      </c>
      <c r="T33" s="31">
        <f t="shared" si="20"/>
        <v>0</v>
      </c>
    </row>
    <row r="34" spans="1:20">
      <c r="A34">
        <v>454.05</v>
      </c>
      <c r="B34" t="s">
        <v>274</v>
      </c>
      <c r="D34">
        <v>49</v>
      </c>
      <c r="F34" s="2">
        <v>4489158.0199999996</v>
      </c>
      <c r="G34" s="18">
        <f t="shared" si="26"/>
        <v>0</v>
      </c>
      <c r="H34" s="18">
        <f t="shared" si="26"/>
        <v>0</v>
      </c>
      <c r="I34" s="18">
        <f t="shared" si="26"/>
        <v>0</v>
      </c>
      <c r="J34" s="18">
        <f t="shared" si="26"/>
        <v>0</v>
      </c>
      <c r="K34" s="18">
        <f t="shared" si="26"/>
        <v>684688.49628504307</v>
      </c>
      <c r="L34" s="18">
        <f t="shared" si="26"/>
        <v>0</v>
      </c>
      <c r="M34" s="18">
        <f t="shared" si="26"/>
        <v>12880.541507813206</v>
      </c>
      <c r="N34" s="18">
        <f t="shared" si="26"/>
        <v>81344.443567511815</v>
      </c>
      <c r="O34" s="18">
        <f t="shared" si="26"/>
        <v>2858130.8650355893</v>
      </c>
      <c r="P34" s="18">
        <f t="shared" si="26"/>
        <v>848630.17637421389</v>
      </c>
      <c r="Q34" s="18">
        <f t="shared" si="26"/>
        <v>0</v>
      </c>
      <c r="R34" s="18">
        <f t="shared" si="26"/>
        <v>3483.4972298288499</v>
      </c>
      <c r="T34" s="31">
        <f t="shared" si="20"/>
        <v>0</v>
      </c>
    </row>
    <row r="35" spans="1:20">
      <c r="A35">
        <v>456.01</v>
      </c>
      <c r="B35" t="s">
        <v>275</v>
      </c>
      <c r="D35">
        <v>73</v>
      </c>
      <c r="F35" s="2">
        <v>20455657.079682089</v>
      </c>
      <c r="G35" s="18">
        <f t="shared" si="26"/>
        <v>10281320.083104411</v>
      </c>
      <c r="H35" s="18">
        <f t="shared" si="26"/>
        <v>2713279.2663631914</v>
      </c>
      <c r="I35" s="18">
        <f t="shared" si="26"/>
        <v>2821141.9461443555</v>
      </c>
      <c r="J35" s="18">
        <f t="shared" si="26"/>
        <v>1906099.0379989361</v>
      </c>
      <c r="K35" s="18">
        <f t="shared" si="26"/>
        <v>1244297.1644999818</v>
      </c>
      <c r="L35" s="18">
        <f t="shared" si="26"/>
        <v>5216.1925553189321</v>
      </c>
      <c r="M35" s="18">
        <f t="shared" si="26"/>
        <v>109805.96720373347</v>
      </c>
      <c r="N35" s="18">
        <f t="shared" si="26"/>
        <v>672377.44820915023</v>
      </c>
      <c r="O35" s="18">
        <f t="shared" si="26"/>
        <v>611051.38828426332</v>
      </c>
      <c r="P35" s="18">
        <f t="shared" si="26"/>
        <v>0</v>
      </c>
      <c r="Q35" s="18">
        <f t="shared" si="26"/>
        <v>84481.863739087014</v>
      </c>
      <c r="R35" s="18">
        <f t="shared" si="26"/>
        <v>6586.7215796576329</v>
      </c>
      <c r="T35" s="31">
        <f t="shared" si="20"/>
        <v>0</v>
      </c>
    </row>
    <row r="36" spans="1:20">
      <c r="A36">
        <v>456.02</v>
      </c>
      <c r="B36" t="s">
        <v>276</v>
      </c>
      <c r="D36">
        <v>71</v>
      </c>
      <c r="F36" s="2">
        <v>329248.65000000002</v>
      </c>
      <c r="G36" s="18">
        <f t="shared" si="26"/>
        <v>217511.92661122183</v>
      </c>
      <c r="H36" s="18">
        <f t="shared" si="26"/>
        <v>40737.791703686511</v>
      </c>
      <c r="I36" s="18">
        <f t="shared" si="26"/>
        <v>35498.15661058377</v>
      </c>
      <c r="J36" s="18">
        <f t="shared" si="26"/>
        <v>15105.924325856973</v>
      </c>
      <c r="K36" s="18">
        <f t="shared" si="26"/>
        <v>11051.316136066098</v>
      </c>
      <c r="L36" s="18">
        <f t="shared" si="26"/>
        <v>166.14008165933012</v>
      </c>
      <c r="M36" s="18">
        <f t="shared" si="26"/>
        <v>3539.2583677105708</v>
      </c>
      <c r="N36" s="18">
        <f t="shared" si="26"/>
        <v>4342.9644543350496</v>
      </c>
      <c r="O36" s="18">
        <f t="shared" si="26"/>
        <v>985.76213998042397</v>
      </c>
      <c r="P36" s="18">
        <f t="shared" si="26"/>
        <v>0</v>
      </c>
      <c r="Q36" s="18">
        <f t="shared" si="26"/>
        <v>176.16273390365455</v>
      </c>
      <c r="R36" s="18">
        <f t="shared" si="26"/>
        <v>133.24683499567294</v>
      </c>
      <c r="T36" s="31">
        <f t="shared" si="20"/>
        <v>0</v>
      </c>
    </row>
    <row r="37" spans="1:20">
      <c r="A37">
        <v>456.03</v>
      </c>
      <c r="B37" t="s">
        <v>277</v>
      </c>
      <c r="D37">
        <v>70</v>
      </c>
      <c r="F37" s="2">
        <v>1199230.6200000001</v>
      </c>
      <c r="G37" s="18">
        <f t="shared" si="26"/>
        <v>712509.05052292603</v>
      </c>
      <c r="H37" s="18">
        <f t="shared" si="26"/>
        <v>149049.09900659235</v>
      </c>
      <c r="I37" s="18">
        <f t="shared" si="26"/>
        <v>127540.24889479516</v>
      </c>
      <c r="J37" s="18">
        <f t="shared" si="26"/>
        <v>75701.788405980333</v>
      </c>
      <c r="K37" s="18">
        <f t="shared" si="26"/>
        <v>51608.079753646336</v>
      </c>
      <c r="L37" s="18">
        <f t="shared" si="26"/>
        <v>308.48214002708357</v>
      </c>
      <c r="M37" s="18">
        <f t="shared" si="26"/>
        <v>7106.606798376195</v>
      </c>
      <c r="N37" s="18">
        <f t="shared" si="26"/>
        <v>26634.388033609015</v>
      </c>
      <c r="O37" s="18">
        <f t="shared" si="26"/>
        <v>21074.62648117953</v>
      </c>
      <c r="P37" s="18">
        <f t="shared" si="26"/>
        <v>12709.161054175236</v>
      </c>
      <c r="Q37" s="18">
        <f t="shared" si="26"/>
        <v>14637.761361610055</v>
      </c>
      <c r="R37" s="18">
        <f t="shared" si="26"/>
        <v>351.32754708286939</v>
      </c>
      <c r="T37" s="31">
        <f t="shared" si="20"/>
        <v>0</v>
      </c>
    </row>
    <row r="38" spans="1:20">
      <c r="A38">
        <v>456.04</v>
      </c>
      <c r="B38" t="s">
        <v>278</v>
      </c>
      <c r="D38">
        <v>57</v>
      </c>
      <c r="F38" s="2">
        <v>138393.73000000001</v>
      </c>
      <c r="G38" s="18">
        <f t="shared" si="26"/>
        <v>93800.797607479923</v>
      </c>
      <c r="H38" s="18">
        <f t="shared" si="26"/>
        <v>17986.07392182609</v>
      </c>
      <c r="I38" s="18">
        <f t="shared" si="26"/>
        <v>13894.399295204452</v>
      </c>
      <c r="J38" s="18">
        <f t="shared" si="26"/>
        <v>5789.6106389511715</v>
      </c>
      <c r="K38" s="18">
        <f t="shared" si="26"/>
        <v>4931.8288555622612</v>
      </c>
      <c r="L38" s="18">
        <f t="shared" si="26"/>
        <v>110.4845144947529</v>
      </c>
      <c r="M38" s="18">
        <f t="shared" si="26"/>
        <v>1379.3908354885102</v>
      </c>
      <c r="N38" s="18">
        <f t="shared" si="26"/>
        <v>312.79321771475526</v>
      </c>
      <c r="O38" s="18">
        <f t="shared" si="26"/>
        <v>0</v>
      </c>
      <c r="P38" s="18">
        <f t="shared" si="26"/>
        <v>0</v>
      </c>
      <c r="Q38" s="18">
        <f t="shared" si="26"/>
        <v>90.35856650261826</v>
      </c>
      <c r="R38" s="18">
        <f t="shared" si="26"/>
        <v>97.992546775496919</v>
      </c>
      <c r="T38" s="31">
        <f t="shared" si="20"/>
        <v>0</v>
      </c>
    </row>
    <row r="39" spans="1:20">
      <c r="A39">
        <v>456.05</v>
      </c>
      <c r="B39" t="s">
        <v>279</v>
      </c>
      <c r="D39">
        <v>73</v>
      </c>
      <c r="F39" s="2">
        <v>16861340.101014063</v>
      </c>
      <c r="G39" s="18">
        <f t="shared" si="26"/>
        <v>8474762.4548711814</v>
      </c>
      <c r="H39" s="18">
        <f t="shared" si="26"/>
        <v>2236521.8736787071</v>
      </c>
      <c r="I39" s="18">
        <f t="shared" si="26"/>
        <v>2325431.7200313546</v>
      </c>
      <c r="J39" s="18">
        <f t="shared" si="26"/>
        <v>1571173.3932926923</v>
      </c>
      <c r="K39" s="18">
        <f t="shared" si="26"/>
        <v>1025658.4570045844</v>
      </c>
      <c r="L39" s="18">
        <f t="shared" si="26"/>
        <v>4299.6417257585854</v>
      </c>
      <c r="M39" s="18">
        <f t="shared" si="26"/>
        <v>90511.673662243498</v>
      </c>
      <c r="N39" s="18">
        <f t="shared" si="26"/>
        <v>554232.24912033218</v>
      </c>
      <c r="O39" s="18">
        <f t="shared" si="26"/>
        <v>503681.95149749203</v>
      </c>
      <c r="P39" s="18">
        <f t="shared" si="26"/>
        <v>0</v>
      </c>
      <c r="Q39" s="18">
        <f t="shared" si="26"/>
        <v>69637.334617188069</v>
      </c>
      <c r="R39" s="18">
        <f t="shared" si="26"/>
        <v>5429.3515125265285</v>
      </c>
      <c r="T39" s="31">
        <f t="shared" si="20"/>
        <v>0</v>
      </c>
    </row>
    <row r="40" spans="1:20">
      <c r="A40">
        <v>456.06</v>
      </c>
      <c r="B40" t="s">
        <v>280</v>
      </c>
      <c r="F40" s="2">
        <v>0</v>
      </c>
      <c r="G40" s="18">
        <f t="shared" si="26"/>
        <v>0</v>
      </c>
      <c r="H40" s="18">
        <f t="shared" si="26"/>
        <v>0</v>
      </c>
      <c r="I40" s="18">
        <f t="shared" si="26"/>
        <v>0</v>
      </c>
      <c r="J40" s="18">
        <f t="shared" si="26"/>
        <v>0</v>
      </c>
      <c r="K40" s="18">
        <f t="shared" si="26"/>
        <v>0</v>
      </c>
      <c r="L40" s="18">
        <f t="shared" si="26"/>
        <v>0</v>
      </c>
      <c r="M40" s="18">
        <f t="shared" si="26"/>
        <v>0</v>
      </c>
      <c r="N40" s="18">
        <f t="shared" si="26"/>
        <v>0</v>
      </c>
      <c r="O40" s="18">
        <f t="shared" si="26"/>
        <v>0</v>
      </c>
      <c r="P40" s="18">
        <f t="shared" si="26"/>
        <v>0</v>
      </c>
      <c r="Q40" s="18">
        <f t="shared" si="26"/>
        <v>0</v>
      </c>
      <c r="R40" s="18">
        <f t="shared" si="26"/>
        <v>0</v>
      </c>
      <c r="T40" s="31">
        <f t="shared" si="20"/>
        <v>0</v>
      </c>
    </row>
    <row r="41" spans="1:20">
      <c r="A41">
        <v>456.07</v>
      </c>
      <c r="B41" t="s">
        <v>281</v>
      </c>
      <c r="D41">
        <v>73</v>
      </c>
      <c r="F41" s="2">
        <v>25700</v>
      </c>
      <c r="G41" s="18">
        <f t="shared" si="26"/>
        <v>12917.205499999998</v>
      </c>
      <c r="H41" s="18">
        <f t="shared" si="26"/>
        <v>3408.8993999999993</v>
      </c>
      <c r="I41" s="18">
        <f t="shared" si="26"/>
        <v>3544.4155000000001</v>
      </c>
      <c r="J41" s="18">
        <f t="shared" si="26"/>
        <v>2394.7773999999995</v>
      </c>
      <c r="K41" s="18">
        <f t="shared" si="26"/>
        <v>1563.3052999999998</v>
      </c>
      <c r="L41" s="18">
        <f t="shared" si="26"/>
        <v>6.5534999999999988</v>
      </c>
      <c r="M41" s="18">
        <f t="shared" si="26"/>
        <v>137.95760000000001</v>
      </c>
      <c r="N41" s="18">
        <f t="shared" si="26"/>
        <v>844.7589999999999</v>
      </c>
      <c r="O41" s="18">
        <f t="shared" si="26"/>
        <v>767.71039999999994</v>
      </c>
      <c r="P41" s="18">
        <f t="shared" si="26"/>
        <v>0</v>
      </c>
      <c r="Q41" s="18">
        <f t="shared" si="26"/>
        <v>106.14099999999998</v>
      </c>
      <c r="R41" s="18">
        <f t="shared" si="26"/>
        <v>8.2754000000000012</v>
      </c>
      <c r="T41" s="31">
        <f t="shared" si="20"/>
        <v>0</v>
      </c>
    </row>
    <row r="42" spans="1:20">
      <c r="A42">
        <v>456.08</v>
      </c>
      <c r="B42" t="s">
        <v>282</v>
      </c>
      <c r="F42" s="2">
        <v>42630.26</v>
      </c>
      <c r="G42" s="18">
        <f t="shared" ref="G42:M49" si="27">INDEX(Alloc,($D42),(G$1))*$F42</f>
        <v>0</v>
      </c>
      <c r="H42" s="18">
        <f t="shared" si="27"/>
        <v>0</v>
      </c>
      <c r="I42" s="18">
        <f t="shared" si="27"/>
        <v>0</v>
      </c>
      <c r="J42" s="18">
        <f t="shared" si="27"/>
        <v>0</v>
      </c>
      <c r="K42" s="18">
        <f t="shared" si="27"/>
        <v>0</v>
      </c>
      <c r="L42" s="18">
        <f t="shared" si="27"/>
        <v>0</v>
      </c>
      <c r="M42" s="18">
        <f t="shared" si="27"/>
        <v>0</v>
      </c>
      <c r="N42" s="18">
        <v>0</v>
      </c>
      <c r="O42" s="18">
        <v>0</v>
      </c>
      <c r="P42" s="18">
        <f t="shared" ref="P42:P49" si="28">INDEX(Alloc,($D42),(P$1))*$F42</f>
        <v>0</v>
      </c>
      <c r="Q42" s="18">
        <v>42630</v>
      </c>
      <c r="R42" s="18">
        <f t="shared" ref="R42:R49" si="29">INDEX(Alloc,($D42),(R$1))*$F42</f>
        <v>0</v>
      </c>
      <c r="T42" s="31">
        <f t="shared" si="20"/>
        <v>-0.26000000000203727</v>
      </c>
    </row>
    <row r="43" spans="1:20">
      <c r="A43">
        <v>456.09</v>
      </c>
      <c r="B43" t="s">
        <v>283</v>
      </c>
      <c r="F43" s="2">
        <v>-5.0000000046566129E-2</v>
      </c>
      <c r="G43" s="18">
        <f t="shared" si="27"/>
        <v>0</v>
      </c>
      <c r="H43" s="18">
        <f t="shared" si="27"/>
        <v>0</v>
      </c>
      <c r="I43" s="18">
        <f t="shared" si="27"/>
        <v>0</v>
      </c>
      <c r="J43" s="18">
        <f t="shared" si="27"/>
        <v>0</v>
      </c>
      <c r="K43" s="18">
        <f t="shared" si="27"/>
        <v>0</v>
      </c>
      <c r="L43" s="18">
        <f t="shared" si="27"/>
        <v>0</v>
      </c>
      <c r="M43" s="18">
        <f t="shared" si="27"/>
        <v>0</v>
      </c>
      <c r="N43" s="18">
        <f t="shared" ref="N43:O49" si="30">INDEX(Alloc,($D43),(N$1))*$F43</f>
        <v>-2.5316658582991043E-2</v>
      </c>
      <c r="O43" s="18">
        <f t="shared" si="30"/>
        <v>-1.1295235479184288E-2</v>
      </c>
      <c r="P43" s="18">
        <f t="shared" si="28"/>
        <v>-1.338810598439079E-2</v>
      </c>
      <c r="Q43" s="18">
        <f t="shared" ref="Q43:Q49" si="31">INDEX(Alloc,($D43),(Q$1))*$F43</f>
        <v>0</v>
      </c>
      <c r="R43" s="18">
        <f t="shared" si="29"/>
        <v>0</v>
      </c>
      <c r="T43" s="31">
        <f t="shared" si="20"/>
        <v>0</v>
      </c>
    </row>
    <row r="44" spans="1:20">
      <c r="A44">
        <v>456.1</v>
      </c>
      <c r="B44" t="s">
        <v>284</v>
      </c>
      <c r="D44">
        <v>73</v>
      </c>
      <c r="F44" s="2">
        <v>84644.75</v>
      </c>
      <c r="G44" s="18">
        <f t="shared" si="27"/>
        <v>42543.721021249992</v>
      </c>
      <c r="H44" s="18">
        <f t="shared" si="27"/>
        <v>11227.448929499998</v>
      </c>
      <c r="I44" s="18">
        <f t="shared" si="27"/>
        <v>11673.780696250002</v>
      </c>
      <c r="J44" s="18">
        <f t="shared" si="27"/>
        <v>7887.3670944999985</v>
      </c>
      <c r="K44" s="18">
        <f t="shared" si="27"/>
        <v>5148.8554977499998</v>
      </c>
      <c r="L44" s="18">
        <f t="shared" si="27"/>
        <v>21.584411249999999</v>
      </c>
      <c r="M44" s="18">
        <f t="shared" si="27"/>
        <v>454.37301800000006</v>
      </c>
      <c r="N44" s="18">
        <f t="shared" si="30"/>
        <v>2782.2729324999996</v>
      </c>
      <c r="O44" s="18">
        <f t="shared" si="30"/>
        <v>2528.5079719999994</v>
      </c>
      <c r="P44" s="18">
        <f t="shared" si="28"/>
        <v>0</v>
      </c>
      <c r="Q44" s="18">
        <f t="shared" si="31"/>
        <v>349.58281749999992</v>
      </c>
      <c r="R44" s="18">
        <f t="shared" si="29"/>
        <v>27.255609500000002</v>
      </c>
      <c r="T44" s="31">
        <f t="shared" si="20"/>
        <v>0</v>
      </c>
    </row>
    <row r="45" spans="1:20">
      <c r="A45">
        <v>456.11</v>
      </c>
      <c r="B45" t="s">
        <v>285</v>
      </c>
      <c r="F45" s="2">
        <v>5.0000000046566129E-2</v>
      </c>
      <c r="G45" s="18">
        <f t="shared" si="27"/>
        <v>0</v>
      </c>
      <c r="H45" s="18">
        <f t="shared" si="27"/>
        <v>0</v>
      </c>
      <c r="I45" s="18">
        <f t="shared" si="27"/>
        <v>0</v>
      </c>
      <c r="J45" s="18">
        <f t="shared" si="27"/>
        <v>0</v>
      </c>
      <c r="K45" s="18">
        <f t="shared" si="27"/>
        <v>0</v>
      </c>
      <c r="L45" s="18">
        <f t="shared" si="27"/>
        <v>0</v>
      </c>
      <c r="M45" s="18">
        <f t="shared" si="27"/>
        <v>0</v>
      </c>
      <c r="N45" s="18">
        <f t="shared" si="30"/>
        <v>5.0000000046566129E-2</v>
      </c>
      <c r="O45" s="18">
        <f t="shared" si="30"/>
        <v>0</v>
      </c>
      <c r="P45" s="18">
        <f t="shared" si="28"/>
        <v>0</v>
      </c>
      <c r="Q45" s="18">
        <f t="shared" si="31"/>
        <v>0</v>
      </c>
      <c r="R45" s="18">
        <f t="shared" si="29"/>
        <v>0</v>
      </c>
      <c r="T45" s="31">
        <f t="shared" si="20"/>
        <v>0</v>
      </c>
    </row>
    <row r="46" spans="1:20">
      <c r="A46">
        <v>456.12</v>
      </c>
      <c r="B46" t="s">
        <v>286</v>
      </c>
      <c r="D46">
        <v>73</v>
      </c>
      <c r="F46" s="2">
        <v>296729</v>
      </c>
      <c r="G46" s="18">
        <f t="shared" si="27"/>
        <v>149140.44633499999</v>
      </c>
      <c r="H46" s="18">
        <f t="shared" si="27"/>
        <v>39358.728017999994</v>
      </c>
      <c r="I46" s="18">
        <f t="shared" si="27"/>
        <v>40923.380035000002</v>
      </c>
      <c r="J46" s="18">
        <f t="shared" si="27"/>
        <v>27649.801677999996</v>
      </c>
      <c r="K46" s="18">
        <f t="shared" si="27"/>
        <v>18049.728340999998</v>
      </c>
      <c r="L46" s="18">
        <f t="shared" si="27"/>
        <v>75.665894999999992</v>
      </c>
      <c r="M46" s="18">
        <f t="shared" si="27"/>
        <v>1592.8412720000001</v>
      </c>
      <c r="N46" s="18">
        <f t="shared" si="30"/>
        <v>9753.4822299999996</v>
      </c>
      <c r="O46" s="18">
        <f t="shared" si="30"/>
        <v>8863.8886879999991</v>
      </c>
      <c r="P46" s="18">
        <f t="shared" si="28"/>
        <v>0</v>
      </c>
      <c r="Q46" s="18">
        <f t="shared" si="31"/>
        <v>1225.4907699999997</v>
      </c>
      <c r="R46" s="18">
        <f t="shared" si="29"/>
        <v>95.546738000000005</v>
      </c>
      <c r="T46" s="31">
        <f t="shared" si="20"/>
        <v>0</v>
      </c>
    </row>
    <row r="47" spans="1:20">
      <c r="A47">
        <v>456.13</v>
      </c>
      <c r="B47" t="s">
        <v>287</v>
      </c>
      <c r="D47">
        <v>68</v>
      </c>
      <c r="F47" s="2">
        <v>262398.86</v>
      </c>
      <c r="G47" s="18">
        <f t="shared" si="27"/>
        <v>170920.61154794315</v>
      </c>
      <c r="H47" s="18">
        <f t="shared" si="27"/>
        <v>31864.308379235277</v>
      </c>
      <c r="I47" s="18">
        <f t="shared" si="27"/>
        <v>25524.651228190134</v>
      </c>
      <c r="J47" s="18">
        <f t="shared" si="27"/>
        <v>11171.414762133722</v>
      </c>
      <c r="K47" s="18">
        <f t="shared" si="27"/>
        <v>8658.6194781599406</v>
      </c>
      <c r="L47" s="18">
        <f t="shared" si="27"/>
        <v>92.266751541258813</v>
      </c>
      <c r="M47" s="18">
        <f t="shared" si="27"/>
        <v>2300.2294476183829</v>
      </c>
      <c r="N47" s="18">
        <f t="shared" si="30"/>
        <v>3866.3459224475905</v>
      </c>
      <c r="O47" s="18">
        <f t="shared" si="30"/>
        <v>1651.2750817758051</v>
      </c>
      <c r="P47" s="18">
        <f t="shared" si="28"/>
        <v>547.38749813027403</v>
      </c>
      <c r="Q47" s="18">
        <f t="shared" si="31"/>
        <v>5708.7498724986099</v>
      </c>
      <c r="R47" s="18">
        <f t="shared" si="29"/>
        <v>93.000030325873112</v>
      </c>
      <c r="T47" s="31">
        <f t="shared" si="20"/>
        <v>0</v>
      </c>
    </row>
    <row r="48" spans="1:20">
      <c r="A48">
        <v>456.14</v>
      </c>
      <c r="B48" t="s">
        <v>288</v>
      </c>
      <c r="D48">
        <v>68</v>
      </c>
      <c r="F48" s="2">
        <v>305.69000000227243</v>
      </c>
      <c r="G48" s="18">
        <f t="shared" si="27"/>
        <v>199.1194692861057</v>
      </c>
      <c r="H48" s="18">
        <f t="shared" si="27"/>
        <v>37.121351931638884</v>
      </c>
      <c r="I48" s="18">
        <f t="shared" si="27"/>
        <v>29.735764225513194</v>
      </c>
      <c r="J48" s="18">
        <f t="shared" si="27"/>
        <v>13.014499295698327</v>
      </c>
      <c r="K48" s="18">
        <f t="shared" si="27"/>
        <v>10.087137529097452</v>
      </c>
      <c r="L48" s="18">
        <f t="shared" si="27"/>
        <v>0.10748912277613203</v>
      </c>
      <c r="M48" s="18">
        <f t="shared" si="27"/>
        <v>2.6797263518892218</v>
      </c>
      <c r="N48" s="18">
        <f t="shared" si="30"/>
        <v>4.5042241610416678</v>
      </c>
      <c r="O48" s="18">
        <f t="shared" si="30"/>
        <v>1.9237060700332245</v>
      </c>
      <c r="P48" s="18">
        <f t="shared" si="28"/>
        <v>0.63769668932512658</v>
      </c>
      <c r="Q48" s="18">
        <f t="shared" si="31"/>
        <v>6.6505919596490353</v>
      </c>
      <c r="R48" s="18">
        <f t="shared" si="29"/>
        <v>0.10834337950449743</v>
      </c>
      <c r="T48" s="31">
        <f t="shared" si="20"/>
        <v>0</v>
      </c>
    </row>
    <row r="49" spans="1:20">
      <c r="A49">
        <v>456.15</v>
      </c>
      <c r="B49" t="s">
        <v>289</v>
      </c>
      <c r="F49" s="2">
        <v>0</v>
      </c>
      <c r="G49" s="18">
        <f t="shared" si="27"/>
        <v>0</v>
      </c>
      <c r="H49" s="18">
        <f t="shared" si="27"/>
        <v>0</v>
      </c>
      <c r="I49" s="18">
        <f t="shared" si="27"/>
        <v>0</v>
      </c>
      <c r="J49" s="18">
        <f t="shared" si="27"/>
        <v>0</v>
      </c>
      <c r="K49" s="18">
        <f t="shared" si="27"/>
        <v>0</v>
      </c>
      <c r="L49" s="18">
        <f t="shared" si="27"/>
        <v>0</v>
      </c>
      <c r="M49" s="18">
        <f t="shared" si="27"/>
        <v>0</v>
      </c>
      <c r="N49" s="18">
        <f t="shared" si="30"/>
        <v>0</v>
      </c>
      <c r="O49" s="18">
        <f t="shared" si="30"/>
        <v>0</v>
      </c>
      <c r="P49" s="18">
        <f t="shared" si="28"/>
        <v>0</v>
      </c>
      <c r="Q49" s="18">
        <f t="shared" si="31"/>
        <v>0</v>
      </c>
      <c r="R49" s="18">
        <f t="shared" si="29"/>
        <v>0</v>
      </c>
      <c r="T49" s="31">
        <f t="shared" si="20"/>
        <v>0</v>
      </c>
    </row>
    <row r="50" spans="1:20">
      <c r="B50" s="1" t="s">
        <v>290</v>
      </c>
      <c r="F50" s="3">
        <f>SUM(F20:F49)</f>
        <v>73686618.340696141</v>
      </c>
      <c r="G50" s="3">
        <f t="shared" ref="G50:R50" si="32">SUM(G20:G49)</f>
        <v>39493875.569864161</v>
      </c>
      <c r="H50" s="3">
        <f t="shared" si="32"/>
        <v>12076823.737745123</v>
      </c>
      <c r="I50" s="3">
        <f t="shared" si="32"/>
        <v>7157267.7294012178</v>
      </c>
      <c r="J50" s="3">
        <f t="shared" si="32"/>
        <v>4291040.698622846</v>
      </c>
      <c r="K50" s="3">
        <f t="shared" si="32"/>
        <v>3598037.4911521422</v>
      </c>
      <c r="L50" s="3">
        <f t="shared" ref="L50:M50" si="33">SUM(L20:L49)</f>
        <v>20445.668109947794</v>
      </c>
      <c r="M50" s="3">
        <f t="shared" si="33"/>
        <v>367508.28854627779</v>
      </c>
      <c r="N50" s="3">
        <f t="shared" si="32"/>
        <v>1420541.5338643859</v>
      </c>
      <c r="O50" s="3">
        <f t="shared" si="32"/>
        <v>4047335.0894986116</v>
      </c>
      <c r="P50" s="3">
        <f t="shared" si="32"/>
        <v>877862.02497000911</v>
      </c>
      <c r="Q50" s="3">
        <f t="shared" si="32"/>
        <v>310410.94036303001</v>
      </c>
      <c r="R50" s="3">
        <f t="shared" si="32"/>
        <v>25469.308558399389</v>
      </c>
      <c r="T50" s="31">
        <f t="shared" si="20"/>
        <v>-0.25999999046325684</v>
      </c>
    </row>
    <row r="51" spans="1:20">
      <c r="B51" s="1" t="s">
        <v>291</v>
      </c>
      <c r="F51" s="3">
        <f>SUM(F13,F17,F50)</f>
        <v>2067334450.1216047</v>
      </c>
      <c r="G51" s="3">
        <f t="shared" ref="G51:R51" si="34">SUM(G13,G17,G50)</f>
        <v>1121272335.825295</v>
      </c>
      <c r="H51" s="3">
        <f t="shared" si="34"/>
        <v>283019502.60804909</v>
      </c>
      <c r="I51" s="3">
        <f t="shared" si="34"/>
        <v>264237446.79691356</v>
      </c>
      <c r="J51" s="3">
        <f t="shared" si="34"/>
        <v>158934687.22114712</v>
      </c>
      <c r="K51" s="3">
        <f t="shared" si="34"/>
        <v>106826363.61479865</v>
      </c>
      <c r="L51" s="3">
        <f t="shared" ref="L51:M51" si="35">SUM(L13,L17,L50)</f>
        <v>276346.4792778095</v>
      </c>
      <c r="M51" s="3">
        <f t="shared" si="35"/>
        <v>10867149.199719146</v>
      </c>
      <c r="N51" s="3">
        <f t="shared" si="34"/>
        <v>50248008.565580517</v>
      </c>
      <c r="O51" s="3">
        <f t="shared" si="34"/>
        <v>45307899.337366708</v>
      </c>
      <c r="P51" s="3">
        <f t="shared" si="34"/>
        <v>8391141.0249700099</v>
      </c>
      <c r="Q51" s="3">
        <f t="shared" si="34"/>
        <v>17602004.13692487</v>
      </c>
      <c r="R51" s="3">
        <f t="shared" si="34"/>
        <v>351564.79168016982</v>
      </c>
      <c r="T51" s="31">
        <f t="shared" si="20"/>
        <v>-0.5198817253112793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152"/>
  <sheetViews>
    <sheetView topLeftCell="B1" workbookViewId="0">
      <pane xSplit="3" ySplit="3" topLeftCell="E108" activePane="bottomRight" state="frozen"/>
      <selection activeCell="B1" sqref="B1"/>
      <selection pane="topRight" activeCell="E1" sqref="E1"/>
      <selection pane="bottomLeft" activeCell="B4" sqref="B4"/>
      <selection pane="bottomRight" activeCell="A120" sqref="A120"/>
    </sheetView>
  </sheetViews>
  <sheetFormatPr defaultRowHeight="15"/>
  <cols>
    <col min="1" max="1" width="9.140625" style="5"/>
    <col min="2" max="2" width="72" style="5" customWidth="1"/>
    <col min="3" max="4" width="16.7109375" style="5" customWidth="1"/>
    <col min="5" max="5" width="16.140625" style="5" bestFit="1" customWidth="1"/>
    <col min="6" max="9" width="16.5703125" style="5" bestFit="1" customWidth="1"/>
    <col min="10" max="12" width="16.5703125" style="5" customWidth="1"/>
    <col min="13" max="14" width="16.5703125" style="5" bestFit="1" customWidth="1"/>
    <col min="15" max="15" width="16.5703125" style="5" customWidth="1"/>
    <col min="16" max="16" width="16.5703125" style="5" bestFit="1" customWidth="1"/>
    <col min="17" max="17" width="15.28515625" style="5" bestFit="1" customWidth="1"/>
    <col min="18" max="18" width="13.28515625" style="5" customWidth="1"/>
    <col min="19" max="21" width="16.5703125" style="5" bestFit="1" customWidth="1"/>
    <col min="22" max="22" width="6.7109375" style="5" customWidth="1"/>
    <col min="23" max="24" width="16.5703125" style="5" bestFit="1" customWidth="1"/>
    <col min="25" max="255" width="9.140625" style="5"/>
    <col min="256" max="256" width="72" style="5" customWidth="1"/>
    <col min="257" max="257" width="16.7109375" style="5" customWidth="1"/>
    <col min="258" max="258" width="16.140625" style="5" bestFit="1" customWidth="1"/>
    <col min="259" max="262" width="16.5703125" style="5" bestFit="1" customWidth="1"/>
    <col min="263" max="263" width="16.5703125" style="5" customWidth="1"/>
    <col min="264" max="265" width="16.5703125" style="5" bestFit="1" customWidth="1"/>
    <col min="266" max="266" width="16.5703125" style="5" customWidth="1"/>
    <col min="267" max="267" width="16.5703125" style="5" bestFit="1" customWidth="1"/>
    <col min="268" max="268" width="15.28515625" style="5" bestFit="1" customWidth="1"/>
    <col min="269" max="269" width="12.28515625" style="5" bestFit="1" customWidth="1"/>
    <col min="270" max="270" width="13.28515625" style="5" customWidth="1"/>
    <col min="271" max="271" width="6.7109375" style="5" customWidth="1"/>
    <col min="272" max="274" width="16.5703125" style="5" bestFit="1" customWidth="1"/>
    <col min="275" max="277" width="6.7109375" style="5" customWidth="1"/>
    <col min="278" max="279" width="16.5703125" style="5" bestFit="1" customWidth="1"/>
    <col min="280" max="280" width="6.7109375" style="5" customWidth="1"/>
    <col min="281" max="511" width="9.140625" style="5"/>
    <col min="512" max="512" width="72" style="5" customWidth="1"/>
    <col min="513" max="513" width="16.7109375" style="5" customWidth="1"/>
    <col min="514" max="514" width="16.140625" style="5" bestFit="1" customWidth="1"/>
    <col min="515" max="518" width="16.5703125" style="5" bestFit="1" customWidth="1"/>
    <col min="519" max="519" width="16.5703125" style="5" customWidth="1"/>
    <col min="520" max="521" width="16.5703125" style="5" bestFit="1" customWidth="1"/>
    <col min="522" max="522" width="16.5703125" style="5" customWidth="1"/>
    <col min="523" max="523" width="16.5703125" style="5" bestFit="1" customWidth="1"/>
    <col min="524" max="524" width="15.28515625" style="5" bestFit="1" customWidth="1"/>
    <col min="525" max="525" width="12.28515625" style="5" bestFit="1" customWidth="1"/>
    <col min="526" max="526" width="13.28515625" style="5" customWidth="1"/>
    <col min="527" max="527" width="6.7109375" style="5" customWidth="1"/>
    <col min="528" max="530" width="16.5703125" style="5" bestFit="1" customWidth="1"/>
    <col min="531" max="533" width="6.7109375" style="5" customWidth="1"/>
    <col min="534" max="535" width="16.5703125" style="5" bestFit="1" customWidth="1"/>
    <col min="536" max="536" width="6.7109375" style="5" customWidth="1"/>
    <col min="537" max="767" width="9.140625" style="5"/>
    <col min="768" max="768" width="72" style="5" customWidth="1"/>
    <col min="769" max="769" width="16.7109375" style="5" customWidth="1"/>
    <col min="770" max="770" width="16.140625" style="5" bestFit="1" customWidth="1"/>
    <col min="771" max="774" width="16.5703125" style="5" bestFit="1" customWidth="1"/>
    <col min="775" max="775" width="16.5703125" style="5" customWidth="1"/>
    <col min="776" max="777" width="16.5703125" style="5" bestFit="1" customWidth="1"/>
    <col min="778" max="778" width="16.5703125" style="5" customWidth="1"/>
    <col min="779" max="779" width="16.5703125" style="5" bestFit="1" customWidth="1"/>
    <col min="780" max="780" width="15.28515625" style="5" bestFit="1" customWidth="1"/>
    <col min="781" max="781" width="12.28515625" style="5" bestFit="1" customWidth="1"/>
    <col min="782" max="782" width="13.28515625" style="5" customWidth="1"/>
    <col min="783" max="783" width="6.7109375" style="5" customWidth="1"/>
    <col min="784" max="786" width="16.5703125" style="5" bestFit="1" customWidth="1"/>
    <col min="787" max="789" width="6.7109375" style="5" customWidth="1"/>
    <col min="790" max="791" width="16.5703125" style="5" bestFit="1" customWidth="1"/>
    <col min="792" max="792" width="6.7109375" style="5" customWidth="1"/>
    <col min="793" max="1023" width="9.140625" style="5"/>
    <col min="1024" max="1024" width="72" style="5" customWidth="1"/>
    <col min="1025" max="1025" width="16.7109375" style="5" customWidth="1"/>
    <col min="1026" max="1026" width="16.140625" style="5" bestFit="1" customWidth="1"/>
    <col min="1027" max="1030" width="16.5703125" style="5" bestFit="1" customWidth="1"/>
    <col min="1031" max="1031" width="16.5703125" style="5" customWidth="1"/>
    <col min="1032" max="1033" width="16.5703125" style="5" bestFit="1" customWidth="1"/>
    <col min="1034" max="1034" width="16.5703125" style="5" customWidth="1"/>
    <col min="1035" max="1035" width="16.5703125" style="5" bestFit="1" customWidth="1"/>
    <col min="1036" max="1036" width="15.28515625" style="5" bestFit="1" customWidth="1"/>
    <col min="1037" max="1037" width="12.28515625" style="5" bestFit="1" customWidth="1"/>
    <col min="1038" max="1038" width="13.28515625" style="5" customWidth="1"/>
    <col min="1039" max="1039" width="6.7109375" style="5" customWidth="1"/>
    <col min="1040" max="1042" width="16.5703125" style="5" bestFit="1" customWidth="1"/>
    <col min="1043" max="1045" width="6.7109375" style="5" customWidth="1"/>
    <col min="1046" max="1047" width="16.5703125" style="5" bestFit="1" customWidth="1"/>
    <col min="1048" max="1048" width="6.7109375" style="5" customWidth="1"/>
    <col min="1049" max="1279" width="9.140625" style="5"/>
    <col min="1280" max="1280" width="72" style="5" customWidth="1"/>
    <col min="1281" max="1281" width="16.7109375" style="5" customWidth="1"/>
    <col min="1282" max="1282" width="16.140625" style="5" bestFit="1" customWidth="1"/>
    <col min="1283" max="1286" width="16.5703125" style="5" bestFit="1" customWidth="1"/>
    <col min="1287" max="1287" width="16.5703125" style="5" customWidth="1"/>
    <col min="1288" max="1289" width="16.5703125" style="5" bestFit="1" customWidth="1"/>
    <col min="1290" max="1290" width="16.5703125" style="5" customWidth="1"/>
    <col min="1291" max="1291" width="16.5703125" style="5" bestFit="1" customWidth="1"/>
    <col min="1292" max="1292" width="15.28515625" style="5" bestFit="1" customWidth="1"/>
    <col min="1293" max="1293" width="12.28515625" style="5" bestFit="1" customWidth="1"/>
    <col min="1294" max="1294" width="13.28515625" style="5" customWidth="1"/>
    <col min="1295" max="1295" width="6.7109375" style="5" customWidth="1"/>
    <col min="1296" max="1298" width="16.5703125" style="5" bestFit="1" customWidth="1"/>
    <col min="1299" max="1301" width="6.7109375" style="5" customWidth="1"/>
    <col min="1302" max="1303" width="16.5703125" style="5" bestFit="1" customWidth="1"/>
    <col min="1304" max="1304" width="6.7109375" style="5" customWidth="1"/>
    <col min="1305" max="1535" width="9.140625" style="5"/>
    <col min="1536" max="1536" width="72" style="5" customWidth="1"/>
    <col min="1537" max="1537" width="16.7109375" style="5" customWidth="1"/>
    <col min="1538" max="1538" width="16.140625" style="5" bestFit="1" customWidth="1"/>
    <col min="1539" max="1542" width="16.5703125" style="5" bestFit="1" customWidth="1"/>
    <col min="1543" max="1543" width="16.5703125" style="5" customWidth="1"/>
    <col min="1544" max="1545" width="16.5703125" style="5" bestFit="1" customWidth="1"/>
    <col min="1546" max="1546" width="16.5703125" style="5" customWidth="1"/>
    <col min="1547" max="1547" width="16.5703125" style="5" bestFit="1" customWidth="1"/>
    <col min="1548" max="1548" width="15.28515625" style="5" bestFit="1" customWidth="1"/>
    <col min="1549" max="1549" width="12.28515625" style="5" bestFit="1" customWidth="1"/>
    <col min="1550" max="1550" width="13.28515625" style="5" customWidth="1"/>
    <col min="1551" max="1551" width="6.7109375" style="5" customWidth="1"/>
    <col min="1552" max="1554" width="16.5703125" style="5" bestFit="1" customWidth="1"/>
    <col min="1555" max="1557" width="6.7109375" style="5" customWidth="1"/>
    <col min="1558" max="1559" width="16.5703125" style="5" bestFit="1" customWidth="1"/>
    <col min="1560" max="1560" width="6.7109375" style="5" customWidth="1"/>
    <col min="1561" max="1791" width="9.140625" style="5"/>
    <col min="1792" max="1792" width="72" style="5" customWidth="1"/>
    <col min="1793" max="1793" width="16.7109375" style="5" customWidth="1"/>
    <col min="1794" max="1794" width="16.140625" style="5" bestFit="1" customWidth="1"/>
    <col min="1795" max="1798" width="16.5703125" style="5" bestFit="1" customWidth="1"/>
    <col min="1799" max="1799" width="16.5703125" style="5" customWidth="1"/>
    <col min="1800" max="1801" width="16.5703125" style="5" bestFit="1" customWidth="1"/>
    <col min="1802" max="1802" width="16.5703125" style="5" customWidth="1"/>
    <col min="1803" max="1803" width="16.5703125" style="5" bestFit="1" customWidth="1"/>
    <col min="1804" max="1804" width="15.28515625" style="5" bestFit="1" customWidth="1"/>
    <col min="1805" max="1805" width="12.28515625" style="5" bestFit="1" customWidth="1"/>
    <col min="1806" max="1806" width="13.28515625" style="5" customWidth="1"/>
    <col min="1807" max="1807" width="6.7109375" style="5" customWidth="1"/>
    <col min="1808" max="1810" width="16.5703125" style="5" bestFit="1" customWidth="1"/>
    <col min="1811" max="1813" width="6.7109375" style="5" customWidth="1"/>
    <col min="1814" max="1815" width="16.5703125" style="5" bestFit="1" customWidth="1"/>
    <col min="1816" max="1816" width="6.7109375" style="5" customWidth="1"/>
    <col min="1817" max="2047" width="9.140625" style="5"/>
    <col min="2048" max="2048" width="72" style="5" customWidth="1"/>
    <col min="2049" max="2049" width="16.7109375" style="5" customWidth="1"/>
    <col min="2050" max="2050" width="16.140625" style="5" bestFit="1" customWidth="1"/>
    <col min="2051" max="2054" width="16.5703125" style="5" bestFit="1" customWidth="1"/>
    <col min="2055" max="2055" width="16.5703125" style="5" customWidth="1"/>
    <col min="2056" max="2057" width="16.5703125" style="5" bestFit="1" customWidth="1"/>
    <col min="2058" max="2058" width="16.5703125" style="5" customWidth="1"/>
    <col min="2059" max="2059" width="16.5703125" style="5" bestFit="1" customWidth="1"/>
    <col min="2060" max="2060" width="15.28515625" style="5" bestFit="1" customWidth="1"/>
    <col min="2061" max="2061" width="12.28515625" style="5" bestFit="1" customWidth="1"/>
    <col min="2062" max="2062" width="13.28515625" style="5" customWidth="1"/>
    <col min="2063" max="2063" width="6.7109375" style="5" customWidth="1"/>
    <col min="2064" max="2066" width="16.5703125" style="5" bestFit="1" customWidth="1"/>
    <col min="2067" max="2069" width="6.7109375" style="5" customWidth="1"/>
    <col min="2070" max="2071" width="16.5703125" style="5" bestFit="1" customWidth="1"/>
    <col min="2072" max="2072" width="6.7109375" style="5" customWidth="1"/>
    <col min="2073" max="2303" width="9.140625" style="5"/>
    <col min="2304" max="2304" width="72" style="5" customWidth="1"/>
    <col min="2305" max="2305" width="16.7109375" style="5" customWidth="1"/>
    <col min="2306" max="2306" width="16.140625" style="5" bestFit="1" customWidth="1"/>
    <col min="2307" max="2310" width="16.5703125" style="5" bestFit="1" customWidth="1"/>
    <col min="2311" max="2311" width="16.5703125" style="5" customWidth="1"/>
    <col min="2312" max="2313" width="16.5703125" style="5" bestFit="1" customWidth="1"/>
    <col min="2314" max="2314" width="16.5703125" style="5" customWidth="1"/>
    <col min="2315" max="2315" width="16.5703125" style="5" bestFit="1" customWidth="1"/>
    <col min="2316" max="2316" width="15.28515625" style="5" bestFit="1" customWidth="1"/>
    <col min="2317" max="2317" width="12.28515625" style="5" bestFit="1" customWidth="1"/>
    <col min="2318" max="2318" width="13.28515625" style="5" customWidth="1"/>
    <col min="2319" max="2319" width="6.7109375" style="5" customWidth="1"/>
    <col min="2320" max="2322" width="16.5703125" style="5" bestFit="1" customWidth="1"/>
    <col min="2323" max="2325" width="6.7109375" style="5" customWidth="1"/>
    <col min="2326" max="2327" width="16.5703125" style="5" bestFit="1" customWidth="1"/>
    <col min="2328" max="2328" width="6.7109375" style="5" customWidth="1"/>
    <col min="2329" max="2559" width="9.140625" style="5"/>
    <col min="2560" max="2560" width="72" style="5" customWidth="1"/>
    <col min="2561" max="2561" width="16.7109375" style="5" customWidth="1"/>
    <col min="2562" max="2562" width="16.140625" style="5" bestFit="1" customWidth="1"/>
    <col min="2563" max="2566" width="16.5703125" style="5" bestFit="1" customWidth="1"/>
    <col min="2567" max="2567" width="16.5703125" style="5" customWidth="1"/>
    <col min="2568" max="2569" width="16.5703125" style="5" bestFit="1" customWidth="1"/>
    <col min="2570" max="2570" width="16.5703125" style="5" customWidth="1"/>
    <col min="2571" max="2571" width="16.5703125" style="5" bestFit="1" customWidth="1"/>
    <col min="2572" max="2572" width="15.28515625" style="5" bestFit="1" customWidth="1"/>
    <col min="2573" max="2573" width="12.28515625" style="5" bestFit="1" customWidth="1"/>
    <col min="2574" max="2574" width="13.28515625" style="5" customWidth="1"/>
    <col min="2575" max="2575" width="6.7109375" style="5" customWidth="1"/>
    <col min="2576" max="2578" width="16.5703125" style="5" bestFit="1" customWidth="1"/>
    <col min="2579" max="2581" width="6.7109375" style="5" customWidth="1"/>
    <col min="2582" max="2583" width="16.5703125" style="5" bestFit="1" customWidth="1"/>
    <col min="2584" max="2584" width="6.7109375" style="5" customWidth="1"/>
    <col min="2585" max="2815" width="9.140625" style="5"/>
    <col min="2816" max="2816" width="72" style="5" customWidth="1"/>
    <col min="2817" max="2817" width="16.7109375" style="5" customWidth="1"/>
    <col min="2818" max="2818" width="16.140625" style="5" bestFit="1" customWidth="1"/>
    <col min="2819" max="2822" width="16.5703125" style="5" bestFit="1" customWidth="1"/>
    <col min="2823" max="2823" width="16.5703125" style="5" customWidth="1"/>
    <col min="2824" max="2825" width="16.5703125" style="5" bestFit="1" customWidth="1"/>
    <col min="2826" max="2826" width="16.5703125" style="5" customWidth="1"/>
    <col min="2827" max="2827" width="16.5703125" style="5" bestFit="1" customWidth="1"/>
    <col min="2828" max="2828" width="15.28515625" style="5" bestFit="1" customWidth="1"/>
    <col min="2829" max="2829" width="12.28515625" style="5" bestFit="1" customWidth="1"/>
    <col min="2830" max="2830" width="13.28515625" style="5" customWidth="1"/>
    <col min="2831" max="2831" width="6.7109375" style="5" customWidth="1"/>
    <col min="2832" max="2834" width="16.5703125" style="5" bestFit="1" customWidth="1"/>
    <col min="2835" max="2837" width="6.7109375" style="5" customWidth="1"/>
    <col min="2838" max="2839" width="16.5703125" style="5" bestFit="1" customWidth="1"/>
    <col min="2840" max="2840" width="6.7109375" style="5" customWidth="1"/>
    <col min="2841" max="3071" width="9.140625" style="5"/>
    <col min="3072" max="3072" width="72" style="5" customWidth="1"/>
    <col min="3073" max="3073" width="16.7109375" style="5" customWidth="1"/>
    <col min="3074" max="3074" width="16.140625" style="5" bestFit="1" customWidth="1"/>
    <col min="3075" max="3078" width="16.5703125" style="5" bestFit="1" customWidth="1"/>
    <col min="3079" max="3079" width="16.5703125" style="5" customWidth="1"/>
    <col min="3080" max="3081" width="16.5703125" style="5" bestFit="1" customWidth="1"/>
    <col min="3082" max="3082" width="16.5703125" style="5" customWidth="1"/>
    <col min="3083" max="3083" width="16.5703125" style="5" bestFit="1" customWidth="1"/>
    <col min="3084" max="3084" width="15.28515625" style="5" bestFit="1" customWidth="1"/>
    <col min="3085" max="3085" width="12.28515625" style="5" bestFit="1" customWidth="1"/>
    <col min="3086" max="3086" width="13.28515625" style="5" customWidth="1"/>
    <col min="3087" max="3087" width="6.7109375" style="5" customWidth="1"/>
    <col min="3088" max="3090" width="16.5703125" style="5" bestFit="1" customWidth="1"/>
    <col min="3091" max="3093" width="6.7109375" style="5" customWidth="1"/>
    <col min="3094" max="3095" width="16.5703125" style="5" bestFit="1" customWidth="1"/>
    <col min="3096" max="3096" width="6.7109375" style="5" customWidth="1"/>
    <col min="3097" max="3327" width="9.140625" style="5"/>
    <col min="3328" max="3328" width="72" style="5" customWidth="1"/>
    <col min="3329" max="3329" width="16.7109375" style="5" customWidth="1"/>
    <col min="3330" max="3330" width="16.140625" style="5" bestFit="1" customWidth="1"/>
    <col min="3331" max="3334" width="16.5703125" style="5" bestFit="1" customWidth="1"/>
    <col min="3335" max="3335" width="16.5703125" style="5" customWidth="1"/>
    <col min="3336" max="3337" width="16.5703125" style="5" bestFit="1" customWidth="1"/>
    <col min="3338" max="3338" width="16.5703125" style="5" customWidth="1"/>
    <col min="3339" max="3339" width="16.5703125" style="5" bestFit="1" customWidth="1"/>
    <col min="3340" max="3340" width="15.28515625" style="5" bestFit="1" customWidth="1"/>
    <col min="3341" max="3341" width="12.28515625" style="5" bestFit="1" customWidth="1"/>
    <col min="3342" max="3342" width="13.28515625" style="5" customWidth="1"/>
    <col min="3343" max="3343" width="6.7109375" style="5" customWidth="1"/>
    <col min="3344" max="3346" width="16.5703125" style="5" bestFit="1" customWidth="1"/>
    <col min="3347" max="3349" width="6.7109375" style="5" customWidth="1"/>
    <col min="3350" max="3351" width="16.5703125" style="5" bestFit="1" customWidth="1"/>
    <col min="3352" max="3352" width="6.7109375" style="5" customWidth="1"/>
    <col min="3353" max="3583" width="9.140625" style="5"/>
    <col min="3584" max="3584" width="72" style="5" customWidth="1"/>
    <col min="3585" max="3585" width="16.7109375" style="5" customWidth="1"/>
    <col min="3586" max="3586" width="16.140625" style="5" bestFit="1" customWidth="1"/>
    <col min="3587" max="3590" width="16.5703125" style="5" bestFit="1" customWidth="1"/>
    <col min="3591" max="3591" width="16.5703125" style="5" customWidth="1"/>
    <col min="3592" max="3593" width="16.5703125" style="5" bestFit="1" customWidth="1"/>
    <col min="3594" max="3594" width="16.5703125" style="5" customWidth="1"/>
    <col min="3595" max="3595" width="16.5703125" style="5" bestFit="1" customWidth="1"/>
    <col min="3596" max="3596" width="15.28515625" style="5" bestFit="1" customWidth="1"/>
    <col min="3597" max="3597" width="12.28515625" style="5" bestFit="1" customWidth="1"/>
    <col min="3598" max="3598" width="13.28515625" style="5" customWidth="1"/>
    <col min="3599" max="3599" width="6.7109375" style="5" customWidth="1"/>
    <col min="3600" max="3602" width="16.5703125" style="5" bestFit="1" customWidth="1"/>
    <col min="3603" max="3605" width="6.7109375" style="5" customWidth="1"/>
    <col min="3606" max="3607" width="16.5703125" style="5" bestFit="1" customWidth="1"/>
    <col min="3608" max="3608" width="6.7109375" style="5" customWidth="1"/>
    <col min="3609" max="3839" width="9.140625" style="5"/>
    <col min="3840" max="3840" width="72" style="5" customWidth="1"/>
    <col min="3841" max="3841" width="16.7109375" style="5" customWidth="1"/>
    <col min="3842" max="3842" width="16.140625" style="5" bestFit="1" customWidth="1"/>
    <col min="3843" max="3846" width="16.5703125" style="5" bestFit="1" customWidth="1"/>
    <col min="3847" max="3847" width="16.5703125" style="5" customWidth="1"/>
    <col min="3848" max="3849" width="16.5703125" style="5" bestFit="1" customWidth="1"/>
    <col min="3850" max="3850" width="16.5703125" style="5" customWidth="1"/>
    <col min="3851" max="3851" width="16.5703125" style="5" bestFit="1" customWidth="1"/>
    <col min="3852" max="3852" width="15.28515625" style="5" bestFit="1" customWidth="1"/>
    <col min="3853" max="3853" width="12.28515625" style="5" bestFit="1" customWidth="1"/>
    <col min="3854" max="3854" width="13.28515625" style="5" customWidth="1"/>
    <col min="3855" max="3855" width="6.7109375" style="5" customWidth="1"/>
    <col min="3856" max="3858" width="16.5703125" style="5" bestFit="1" customWidth="1"/>
    <col min="3859" max="3861" width="6.7109375" style="5" customWidth="1"/>
    <col min="3862" max="3863" width="16.5703125" style="5" bestFit="1" customWidth="1"/>
    <col min="3864" max="3864" width="6.7109375" style="5" customWidth="1"/>
    <col min="3865" max="4095" width="9.140625" style="5"/>
    <col min="4096" max="4096" width="72" style="5" customWidth="1"/>
    <col min="4097" max="4097" width="16.7109375" style="5" customWidth="1"/>
    <col min="4098" max="4098" width="16.140625" style="5" bestFit="1" customWidth="1"/>
    <col min="4099" max="4102" width="16.5703125" style="5" bestFit="1" customWidth="1"/>
    <col min="4103" max="4103" width="16.5703125" style="5" customWidth="1"/>
    <col min="4104" max="4105" width="16.5703125" style="5" bestFit="1" customWidth="1"/>
    <col min="4106" max="4106" width="16.5703125" style="5" customWidth="1"/>
    <col min="4107" max="4107" width="16.5703125" style="5" bestFit="1" customWidth="1"/>
    <col min="4108" max="4108" width="15.28515625" style="5" bestFit="1" customWidth="1"/>
    <col min="4109" max="4109" width="12.28515625" style="5" bestFit="1" customWidth="1"/>
    <col min="4110" max="4110" width="13.28515625" style="5" customWidth="1"/>
    <col min="4111" max="4111" width="6.7109375" style="5" customWidth="1"/>
    <col min="4112" max="4114" width="16.5703125" style="5" bestFit="1" customWidth="1"/>
    <col min="4115" max="4117" width="6.7109375" style="5" customWidth="1"/>
    <col min="4118" max="4119" width="16.5703125" style="5" bestFit="1" customWidth="1"/>
    <col min="4120" max="4120" width="6.7109375" style="5" customWidth="1"/>
    <col min="4121" max="4351" width="9.140625" style="5"/>
    <col min="4352" max="4352" width="72" style="5" customWidth="1"/>
    <col min="4353" max="4353" width="16.7109375" style="5" customWidth="1"/>
    <col min="4354" max="4354" width="16.140625" style="5" bestFit="1" customWidth="1"/>
    <col min="4355" max="4358" width="16.5703125" style="5" bestFit="1" customWidth="1"/>
    <col min="4359" max="4359" width="16.5703125" style="5" customWidth="1"/>
    <col min="4360" max="4361" width="16.5703125" style="5" bestFit="1" customWidth="1"/>
    <col min="4362" max="4362" width="16.5703125" style="5" customWidth="1"/>
    <col min="4363" max="4363" width="16.5703125" style="5" bestFit="1" customWidth="1"/>
    <col min="4364" max="4364" width="15.28515625" style="5" bestFit="1" customWidth="1"/>
    <col min="4365" max="4365" width="12.28515625" style="5" bestFit="1" customWidth="1"/>
    <col min="4366" max="4366" width="13.28515625" style="5" customWidth="1"/>
    <col min="4367" max="4367" width="6.7109375" style="5" customWidth="1"/>
    <col min="4368" max="4370" width="16.5703125" style="5" bestFit="1" customWidth="1"/>
    <col min="4371" max="4373" width="6.7109375" style="5" customWidth="1"/>
    <col min="4374" max="4375" width="16.5703125" style="5" bestFit="1" customWidth="1"/>
    <col min="4376" max="4376" width="6.7109375" style="5" customWidth="1"/>
    <col min="4377" max="4607" width="9.140625" style="5"/>
    <col min="4608" max="4608" width="72" style="5" customWidth="1"/>
    <col min="4609" max="4609" width="16.7109375" style="5" customWidth="1"/>
    <col min="4610" max="4610" width="16.140625" style="5" bestFit="1" customWidth="1"/>
    <col min="4611" max="4614" width="16.5703125" style="5" bestFit="1" customWidth="1"/>
    <col min="4615" max="4615" width="16.5703125" style="5" customWidth="1"/>
    <col min="4616" max="4617" width="16.5703125" style="5" bestFit="1" customWidth="1"/>
    <col min="4618" max="4618" width="16.5703125" style="5" customWidth="1"/>
    <col min="4619" max="4619" width="16.5703125" style="5" bestFit="1" customWidth="1"/>
    <col min="4620" max="4620" width="15.28515625" style="5" bestFit="1" customWidth="1"/>
    <col min="4621" max="4621" width="12.28515625" style="5" bestFit="1" customWidth="1"/>
    <col min="4622" max="4622" width="13.28515625" style="5" customWidth="1"/>
    <col min="4623" max="4623" width="6.7109375" style="5" customWidth="1"/>
    <col min="4624" max="4626" width="16.5703125" style="5" bestFit="1" customWidth="1"/>
    <col min="4627" max="4629" width="6.7109375" style="5" customWidth="1"/>
    <col min="4630" max="4631" width="16.5703125" style="5" bestFit="1" customWidth="1"/>
    <col min="4632" max="4632" width="6.7109375" style="5" customWidth="1"/>
    <col min="4633" max="4863" width="9.140625" style="5"/>
    <col min="4864" max="4864" width="72" style="5" customWidth="1"/>
    <col min="4865" max="4865" width="16.7109375" style="5" customWidth="1"/>
    <col min="4866" max="4866" width="16.140625" style="5" bestFit="1" customWidth="1"/>
    <col min="4867" max="4870" width="16.5703125" style="5" bestFit="1" customWidth="1"/>
    <col min="4871" max="4871" width="16.5703125" style="5" customWidth="1"/>
    <col min="4872" max="4873" width="16.5703125" style="5" bestFit="1" customWidth="1"/>
    <col min="4874" max="4874" width="16.5703125" style="5" customWidth="1"/>
    <col min="4875" max="4875" width="16.5703125" style="5" bestFit="1" customWidth="1"/>
    <col min="4876" max="4876" width="15.28515625" style="5" bestFit="1" customWidth="1"/>
    <col min="4877" max="4877" width="12.28515625" style="5" bestFit="1" customWidth="1"/>
    <col min="4878" max="4878" width="13.28515625" style="5" customWidth="1"/>
    <col min="4879" max="4879" width="6.7109375" style="5" customWidth="1"/>
    <col min="4880" max="4882" width="16.5703125" style="5" bestFit="1" customWidth="1"/>
    <col min="4883" max="4885" width="6.7109375" style="5" customWidth="1"/>
    <col min="4886" max="4887" width="16.5703125" style="5" bestFit="1" customWidth="1"/>
    <col min="4888" max="4888" width="6.7109375" style="5" customWidth="1"/>
    <col min="4889" max="5119" width="9.140625" style="5"/>
    <col min="5120" max="5120" width="72" style="5" customWidth="1"/>
    <col min="5121" max="5121" width="16.7109375" style="5" customWidth="1"/>
    <col min="5122" max="5122" width="16.140625" style="5" bestFit="1" customWidth="1"/>
    <col min="5123" max="5126" width="16.5703125" style="5" bestFit="1" customWidth="1"/>
    <col min="5127" max="5127" width="16.5703125" style="5" customWidth="1"/>
    <col min="5128" max="5129" width="16.5703125" style="5" bestFit="1" customWidth="1"/>
    <col min="5130" max="5130" width="16.5703125" style="5" customWidth="1"/>
    <col min="5131" max="5131" width="16.5703125" style="5" bestFit="1" customWidth="1"/>
    <col min="5132" max="5132" width="15.28515625" style="5" bestFit="1" customWidth="1"/>
    <col min="5133" max="5133" width="12.28515625" style="5" bestFit="1" customWidth="1"/>
    <col min="5134" max="5134" width="13.28515625" style="5" customWidth="1"/>
    <col min="5135" max="5135" width="6.7109375" style="5" customWidth="1"/>
    <col min="5136" max="5138" width="16.5703125" style="5" bestFit="1" customWidth="1"/>
    <col min="5139" max="5141" width="6.7109375" style="5" customWidth="1"/>
    <col min="5142" max="5143" width="16.5703125" style="5" bestFit="1" customWidth="1"/>
    <col min="5144" max="5144" width="6.7109375" style="5" customWidth="1"/>
    <col min="5145" max="5375" width="9.140625" style="5"/>
    <col min="5376" max="5376" width="72" style="5" customWidth="1"/>
    <col min="5377" max="5377" width="16.7109375" style="5" customWidth="1"/>
    <col min="5378" max="5378" width="16.140625" style="5" bestFit="1" customWidth="1"/>
    <col min="5379" max="5382" width="16.5703125" style="5" bestFit="1" customWidth="1"/>
    <col min="5383" max="5383" width="16.5703125" style="5" customWidth="1"/>
    <col min="5384" max="5385" width="16.5703125" style="5" bestFit="1" customWidth="1"/>
    <col min="5386" max="5386" width="16.5703125" style="5" customWidth="1"/>
    <col min="5387" max="5387" width="16.5703125" style="5" bestFit="1" customWidth="1"/>
    <col min="5388" max="5388" width="15.28515625" style="5" bestFit="1" customWidth="1"/>
    <col min="5389" max="5389" width="12.28515625" style="5" bestFit="1" customWidth="1"/>
    <col min="5390" max="5390" width="13.28515625" style="5" customWidth="1"/>
    <col min="5391" max="5391" width="6.7109375" style="5" customWidth="1"/>
    <col min="5392" max="5394" width="16.5703125" style="5" bestFit="1" customWidth="1"/>
    <col min="5395" max="5397" width="6.7109375" style="5" customWidth="1"/>
    <col min="5398" max="5399" width="16.5703125" style="5" bestFit="1" customWidth="1"/>
    <col min="5400" max="5400" width="6.7109375" style="5" customWidth="1"/>
    <col min="5401" max="5631" width="9.140625" style="5"/>
    <col min="5632" max="5632" width="72" style="5" customWidth="1"/>
    <col min="5633" max="5633" width="16.7109375" style="5" customWidth="1"/>
    <col min="5634" max="5634" width="16.140625" style="5" bestFit="1" customWidth="1"/>
    <col min="5635" max="5638" width="16.5703125" style="5" bestFit="1" customWidth="1"/>
    <col min="5639" max="5639" width="16.5703125" style="5" customWidth="1"/>
    <col min="5640" max="5641" width="16.5703125" style="5" bestFit="1" customWidth="1"/>
    <col min="5642" max="5642" width="16.5703125" style="5" customWidth="1"/>
    <col min="5643" max="5643" width="16.5703125" style="5" bestFit="1" customWidth="1"/>
    <col min="5644" max="5644" width="15.28515625" style="5" bestFit="1" customWidth="1"/>
    <col min="5645" max="5645" width="12.28515625" style="5" bestFit="1" customWidth="1"/>
    <col min="5646" max="5646" width="13.28515625" style="5" customWidth="1"/>
    <col min="5647" max="5647" width="6.7109375" style="5" customWidth="1"/>
    <col min="5648" max="5650" width="16.5703125" style="5" bestFit="1" customWidth="1"/>
    <col min="5651" max="5653" width="6.7109375" style="5" customWidth="1"/>
    <col min="5654" max="5655" width="16.5703125" style="5" bestFit="1" customWidth="1"/>
    <col min="5656" max="5656" width="6.7109375" style="5" customWidth="1"/>
    <col min="5657" max="5887" width="9.140625" style="5"/>
    <col min="5888" max="5888" width="72" style="5" customWidth="1"/>
    <col min="5889" max="5889" width="16.7109375" style="5" customWidth="1"/>
    <col min="5890" max="5890" width="16.140625" style="5" bestFit="1" customWidth="1"/>
    <col min="5891" max="5894" width="16.5703125" style="5" bestFit="1" customWidth="1"/>
    <col min="5895" max="5895" width="16.5703125" style="5" customWidth="1"/>
    <col min="5896" max="5897" width="16.5703125" style="5" bestFit="1" customWidth="1"/>
    <col min="5898" max="5898" width="16.5703125" style="5" customWidth="1"/>
    <col min="5899" max="5899" width="16.5703125" style="5" bestFit="1" customWidth="1"/>
    <col min="5900" max="5900" width="15.28515625" style="5" bestFit="1" customWidth="1"/>
    <col min="5901" max="5901" width="12.28515625" style="5" bestFit="1" customWidth="1"/>
    <col min="5902" max="5902" width="13.28515625" style="5" customWidth="1"/>
    <col min="5903" max="5903" width="6.7109375" style="5" customWidth="1"/>
    <col min="5904" max="5906" width="16.5703125" style="5" bestFit="1" customWidth="1"/>
    <col min="5907" max="5909" width="6.7109375" style="5" customWidth="1"/>
    <col min="5910" max="5911" width="16.5703125" style="5" bestFit="1" customWidth="1"/>
    <col min="5912" max="5912" width="6.7109375" style="5" customWidth="1"/>
    <col min="5913" max="6143" width="9.140625" style="5"/>
    <col min="6144" max="6144" width="72" style="5" customWidth="1"/>
    <col min="6145" max="6145" width="16.7109375" style="5" customWidth="1"/>
    <col min="6146" max="6146" width="16.140625" style="5" bestFit="1" customWidth="1"/>
    <col min="6147" max="6150" width="16.5703125" style="5" bestFit="1" customWidth="1"/>
    <col min="6151" max="6151" width="16.5703125" style="5" customWidth="1"/>
    <col min="6152" max="6153" width="16.5703125" style="5" bestFit="1" customWidth="1"/>
    <col min="6154" max="6154" width="16.5703125" style="5" customWidth="1"/>
    <col min="6155" max="6155" width="16.5703125" style="5" bestFit="1" customWidth="1"/>
    <col min="6156" max="6156" width="15.28515625" style="5" bestFit="1" customWidth="1"/>
    <col min="6157" max="6157" width="12.28515625" style="5" bestFit="1" customWidth="1"/>
    <col min="6158" max="6158" width="13.28515625" style="5" customWidth="1"/>
    <col min="6159" max="6159" width="6.7109375" style="5" customWidth="1"/>
    <col min="6160" max="6162" width="16.5703125" style="5" bestFit="1" customWidth="1"/>
    <col min="6163" max="6165" width="6.7109375" style="5" customWidth="1"/>
    <col min="6166" max="6167" width="16.5703125" style="5" bestFit="1" customWidth="1"/>
    <col min="6168" max="6168" width="6.7109375" style="5" customWidth="1"/>
    <col min="6169" max="6399" width="9.140625" style="5"/>
    <col min="6400" max="6400" width="72" style="5" customWidth="1"/>
    <col min="6401" max="6401" width="16.7109375" style="5" customWidth="1"/>
    <col min="6402" max="6402" width="16.140625" style="5" bestFit="1" customWidth="1"/>
    <col min="6403" max="6406" width="16.5703125" style="5" bestFit="1" customWidth="1"/>
    <col min="6407" max="6407" width="16.5703125" style="5" customWidth="1"/>
    <col min="6408" max="6409" width="16.5703125" style="5" bestFit="1" customWidth="1"/>
    <col min="6410" max="6410" width="16.5703125" style="5" customWidth="1"/>
    <col min="6411" max="6411" width="16.5703125" style="5" bestFit="1" customWidth="1"/>
    <col min="6412" max="6412" width="15.28515625" style="5" bestFit="1" customWidth="1"/>
    <col min="6413" max="6413" width="12.28515625" style="5" bestFit="1" customWidth="1"/>
    <col min="6414" max="6414" width="13.28515625" style="5" customWidth="1"/>
    <col min="6415" max="6415" width="6.7109375" style="5" customWidth="1"/>
    <col min="6416" max="6418" width="16.5703125" style="5" bestFit="1" customWidth="1"/>
    <col min="6419" max="6421" width="6.7109375" style="5" customWidth="1"/>
    <col min="6422" max="6423" width="16.5703125" style="5" bestFit="1" customWidth="1"/>
    <col min="6424" max="6424" width="6.7109375" style="5" customWidth="1"/>
    <col min="6425" max="6655" width="9.140625" style="5"/>
    <col min="6656" max="6656" width="72" style="5" customWidth="1"/>
    <col min="6657" max="6657" width="16.7109375" style="5" customWidth="1"/>
    <col min="6658" max="6658" width="16.140625" style="5" bestFit="1" customWidth="1"/>
    <col min="6659" max="6662" width="16.5703125" style="5" bestFit="1" customWidth="1"/>
    <col min="6663" max="6663" width="16.5703125" style="5" customWidth="1"/>
    <col min="6664" max="6665" width="16.5703125" style="5" bestFit="1" customWidth="1"/>
    <col min="6666" max="6666" width="16.5703125" style="5" customWidth="1"/>
    <col min="6667" max="6667" width="16.5703125" style="5" bestFit="1" customWidth="1"/>
    <col min="6668" max="6668" width="15.28515625" style="5" bestFit="1" customWidth="1"/>
    <col min="6669" max="6669" width="12.28515625" style="5" bestFit="1" customWidth="1"/>
    <col min="6670" max="6670" width="13.28515625" style="5" customWidth="1"/>
    <col min="6671" max="6671" width="6.7109375" style="5" customWidth="1"/>
    <col min="6672" max="6674" width="16.5703125" style="5" bestFit="1" customWidth="1"/>
    <col min="6675" max="6677" width="6.7109375" style="5" customWidth="1"/>
    <col min="6678" max="6679" width="16.5703125" style="5" bestFit="1" customWidth="1"/>
    <col min="6680" max="6680" width="6.7109375" style="5" customWidth="1"/>
    <col min="6681" max="6911" width="9.140625" style="5"/>
    <col min="6912" max="6912" width="72" style="5" customWidth="1"/>
    <col min="6913" max="6913" width="16.7109375" style="5" customWidth="1"/>
    <col min="6914" max="6914" width="16.140625" style="5" bestFit="1" customWidth="1"/>
    <col min="6915" max="6918" width="16.5703125" style="5" bestFit="1" customWidth="1"/>
    <col min="6919" max="6919" width="16.5703125" style="5" customWidth="1"/>
    <col min="6920" max="6921" width="16.5703125" style="5" bestFit="1" customWidth="1"/>
    <col min="6922" max="6922" width="16.5703125" style="5" customWidth="1"/>
    <col min="6923" max="6923" width="16.5703125" style="5" bestFit="1" customWidth="1"/>
    <col min="6924" max="6924" width="15.28515625" style="5" bestFit="1" customWidth="1"/>
    <col min="6925" max="6925" width="12.28515625" style="5" bestFit="1" customWidth="1"/>
    <col min="6926" max="6926" width="13.28515625" style="5" customWidth="1"/>
    <col min="6927" max="6927" width="6.7109375" style="5" customWidth="1"/>
    <col min="6928" max="6930" width="16.5703125" style="5" bestFit="1" customWidth="1"/>
    <col min="6931" max="6933" width="6.7109375" style="5" customWidth="1"/>
    <col min="6934" max="6935" width="16.5703125" style="5" bestFit="1" customWidth="1"/>
    <col min="6936" max="6936" width="6.7109375" style="5" customWidth="1"/>
    <col min="6937" max="7167" width="9.140625" style="5"/>
    <col min="7168" max="7168" width="72" style="5" customWidth="1"/>
    <col min="7169" max="7169" width="16.7109375" style="5" customWidth="1"/>
    <col min="7170" max="7170" width="16.140625" style="5" bestFit="1" customWidth="1"/>
    <col min="7171" max="7174" width="16.5703125" style="5" bestFit="1" customWidth="1"/>
    <col min="7175" max="7175" width="16.5703125" style="5" customWidth="1"/>
    <col min="7176" max="7177" width="16.5703125" style="5" bestFit="1" customWidth="1"/>
    <col min="7178" max="7178" width="16.5703125" style="5" customWidth="1"/>
    <col min="7179" max="7179" width="16.5703125" style="5" bestFit="1" customWidth="1"/>
    <col min="7180" max="7180" width="15.28515625" style="5" bestFit="1" customWidth="1"/>
    <col min="7181" max="7181" width="12.28515625" style="5" bestFit="1" customWidth="1"/>
    <col min="7182" max="7182" width="13.28515625" style="5" customWidth="1"/>
    <col min="7183" max="7183" width="6.7109375" style="5" customWidth="1"/>
    <col min="7184" max="7186" width="16.5703125" style="5" bestFit="1" customWidth="1"/>
    <col min="7187" max="7189" width="6.7109375" style="5" customWidth="1"/>
    <col min="7190" max="7191" width="16.5703125" style="5" bestFit="1" customWidth="1"/>
    <col min="7192" max="7192" width="6.7109375" style="5" customWidth="1"/>
    <col min="7193" max="7423" width="9.140625" style="5"/>
    <col min="7424" max="7424" width="72" style="5" customWidth="1"/>
    <col min="7425" max="7425" width="16.7109375" style="5" customWidth="1"/>
    <col min="7426" max="7426" width="16.140625" style="5" bestFit="1" customWidth="1"/>
    <col min="7427" max="7430" width="16.5703125" style="5" bestFit="1" customWidth="1"/>
    <col min="7431" max="7431" width="16.5703125" style="5" customWidth="1"/>
    <col min="7432" max="7433" width="16.5703125" style="5" bestFit="1" customWidth="1"/>
    <col min="7434" max="7434" width="16.5703125" style="5" customWidth="1"/>
    <col min="7435" max="7435" width="16.5703125" style="5" bestFit="1" customWidth="1"/>
    <col min="7436" max="7436" width="15.28515625" style="5" bestFit="1" customWidth="1"/>
    <col min="7437" max="7437" width="12.28515625" style="5" bestFit="1" customWidth="1"/>
    <col min="7438" max="7438" width="13.28515625" style="5" customWidth="1"/>
    <col min="7439" max="7439" width="6.7109375" style="5" customWidth="1"/>
    <col min="7440" max="7442" width="16.5703125" style="5" bestFit="1" customWidth="1"/>
    <col min="7443" max="7445" width="6.7109375" style="5" customWidth="1"/>
    <col min="7446" max="7447" width="16.5703125" style="5" bestFit="1" customWidth="1"/>
    <col min="7448" max="7448" width="6.7109375" style="5" customWidth="1"/>
    <col min="7449" max="7679" width="9.140625" style="5"/>
    <col min="7680" max="7680" width="72" style="5" customWidth="1"/>
    <col min="7681" max="7681" width="16.7109375" style="5" customWidth="1"/>
    <col min="7682" max="7682" width="16.140625" style="5" bestFit="1" customWidth="1"/>
    <col min="7683" max="7686" width="16.5703125" style="5" bestFit="1" customWidth="1"/>
    <col min="7687" max="7687" width="16.5703125" style="5" customWidth="1"/>
    <col min="7688" max="7689" width="16.5703125" style="5" bestFit="1" customWidth="1"/>
    <col min="7690" max="7690" width="16.5703125" style="5" customWidth="1"/>
    <col min="7691" max="7691" width="16.5703125" style="5" bestFit="1" customWidth="1"/>
    <col min="7692" max="7692" width="15.28515625" style="5" bestFit="1" customWidth="1"/>
    <col min="7693" max="7693" width="12.28515625" style="5" bestFit="1" customWidth="1"/>
    <col min="7694" max="7694" width="13.28515625" style="5" customWidth="1"/>
    <col min="7695" max="7695" width="6.7109375" style="5" customWidth="1"/>
    <col min="7696" max="7698" width="16.5703125" style="5" bestFit="1" customWidth="1"/>
    <col min="7699" max="7701" width="6.7109375" style="5" customWidth="1"/>
    <col min="7702" max="7703" width="16.5703125" style="5" bestFit="1" customWidth="1"/>
    <col min="7704" max="7704" width="6.7109375" style="5" customWidth="1"/>
    <col min="7705" max="7935" width="9.140625" style="5"/>
    <col min="7936" max="7936" width="72" style="5" customWidth="1"/>
    <col min="7937" max="7937" width="16.7109375" style="5" customWidth="1"/>
    <col min="7938" max="7938" width="16.140625" style="5" bestFit="1" customWidth="1"/>
    <col min="7939" max="7942" width="16.5703125" style="5" bestFit="1" customWidth="1"/>
    <col min="7943" max="7943" width="16.5703125" style="5" customWidth="1"/>
    <col min="7944" max="7945" width="16.5703125" style="5" bestFit="1" customWidth="1"/>
    <col min="7946" max="7946" width="16.5703125" style="5" customWidth="1"/>
    <col min="7947" max="7947" width="16.5703125" style="5" bestFit="1" customWidth="1"/>
    <col min="7948" max="7948" width="15.28515625" style="5" bestFit="1" customWidth="1"/>
    <col min="7949" max="7949" width="12.28515625" style="5" bestFit="1" customWidth="1"/>
    <col min="7950" max="7950" width="13.28515625" style="5" customWidth="1"/>
    <col min="7951" max="7951" width="6.7109375" style="5" customWidth="1"/>
    <col min="7952" max="7954" width="16.5703125" style="5" bestFit="1" customWidth="1"/>
    <col min="7955" max="7957" width="6.7109375" style="5" customWidth="1"/>
    <col min="7958" max="7959" width="16.5703125" style="5" bestFit="1" customWidth="1"/>
    <col min="7960" max="7960" width="6.7109375" style="5" customWidth="1"/>
    <col min="7961" max="8191" width="9.140625" style="5"/>
    <col min="8192" max="8192" width="72" style="5" customWidth="1"/>
    <col min="8193" max="8193" width="16.7109375" style="5" customWidth="1"/>
    <col min="8194" max="8194" width="16.140625" style="5" bestFit="1" customWidth="1"/>
    <col min="8195" max="8198" width="16.5703125" style="5" bestFit="1" customWidth="1"/>
    <col min="8199" max="8199" width="16.5703125" style="5" customWidth="1"/>
    <col min="8200" max="8201" width="16.5703125" style="5" bestFit="1" customWidth="1"/>
    <col min="8202" max="8202" width="16.5703125" style="5" customWidth="1"/>
    <col min="8203" max="8203" width="16.5703125" style="5" bestFit="1" customWidth="1"/>
    <col min="8204" max="8204" width="15.28515625" style="5" bestFit="1" customWidth="1"/>
    <col min="8205" max="8205" width="12.28515625" style="5" bestFit="1" customWidth="1"/>
    <col min="8206" max="8206" width="13.28515625" style="5" customWidth="1"/>
    <col min="8207" max="8207" width="6.7109375" style="5" customWidth="1"/>
    <col min="8208" max="8210" width="16.5703125" style="5" bestFit="1" customWidth="1"/>
    <col min="8211" max="8213" width="6.7109375" style="5" customWidth="1"/>
    <col min="8214" max="8215" width="16.5703125" style="5" bestFit="1" customWidth="1"/>
    <col min="8216" max="8216" width="6.7109375" style="5" customWidth="1"/>
    <col min="8217" max="8447" width="9.140625" style="5"/>
    <col min="8448" max="8448" width="72" style="5" customWidth="1"/>
    <col min="8449" max="8449" width="16.7109375" style="5" customWidth="1"/>
    <col min="8450" max="8450" width="16.140625" style="5" bestFit="1" customWidth="1"/>
    <col min="8451" max="8454" width="16.5703125" style="5" bestFit="1" customWidth="1"/>
    <col min="8455" max="8455" width="16.5703125" style="5" customWidth="1"/>
    <col min="8456" max="8457" width="16.5703125" style="5" bestFit="1" customWidth="1"/>
    <col min="8458" max="8458" width="16.5703125" style="5" customWidth="1"/>
    <col min="8459" max="8459" width="16.5703125" style="5" bestFit="1" customWidth="1"/>
    <col min="8460" max="8460" width="15.28515625" style="5" bestFit="1" customWidth="1"/>
    <col min="8461" max="8461" width="12.28515625" style="5" bestFit="1" customWidth="1"/>
    <col min="8462" max="8462" width="13.28515625" style="5" customWidth="1"/>
    <col min="8463" max="8463" width="6.7109375" style="5" customWidth="1"/>
    <col min="8464" max="8466" width="16.5703125" style="5" bestFit="1" customWidth="1"/>
    <col min="8467" max="8469" width="6.7109375" style="5" customWidth="1"/>
    <col min="8470" max="8471" width="16.5703125" style="5" bestFit="1" customWidth="1"/>
    <col min="8472" max="8472" width="6.7109375" style="5" customWidth="1"/>
    <col min="8473" max="8703" width="9.140625" style="5"/>
    <col min="8704" max="8704" width="72" style="5" customWidth="1"/>
    <col min="8705" max="8705" width="16.7109375" style="5" customWidth="1"/>
    <col min="8706" max="8706" width="16.140625" style="5" bestFit="1" customWidth="1"/>
    <col min="8707" max="8710" width="16.5703125" style="5" bestFit="1" customWidth="1"/>
    <col min="8711" max="8711" width="16.5703125" style="5" customWidth="1"/>
    <col min="8712" max="8713" width="16.5703125" style="5" bestFit="1" customWidth="1"/>
    <col min="8714" max="8714" width="16.5703125" style="5" customWidth="1"/>
    <col min="8715" max="8715" width="16.5703125" style="5" bestFit="1" customWidth="1"/>
    <col min="8716" max="8716" width="15.28515625" style="5" bestFit="1" customWidth="1"/>
    <col min="8717" max="8717" width="12.28515625" style="5" bestFit="1" customWidth="1"/>
    <col min="8718" max="8718" width="13.28515625" style="5" customWidth="1"/>
    <col min="8719" max="8719" width="6.7109375" style="5" customWidth="1"/>
    <col min="8720" max="8722" width="16.5703125" style="5" bestFit="1" customWidth="1"/>
    <col min="8723" max="8725" width="6.7109375" style="5" customWidth="1"/>
    <col min="8726" max="8727" width="16.5703125" style="5" bestFit="1" customWidth="1"/>
    <col min="8728" max="8728" width="6.7109375" style="5" customWidth="1"/>
    <col min="8729" max="8959" width="9.140625" style="5"/>
    <col min="8960" max="8960" width="72" style="5" customWidth="1"/>
    <col min="8961" max="8961" width="16.7109375" style="5" customWidth="1"/>
    <col min="8962" max="8962" width="16.140625" style="5" bestFit="1" customWidth="1"/>
    <col min="8963" max="8966" width="16.5703125" style="5" bestFit="1" customWidth="1"/>
    <col min="8967" max="8967" width="16.5703125" style="5" customWidth="1"/>
    <col min="8968" max="8969" width="16.5703125" style="5" bestFit="1" customWidth="1"/>
    <col min="8970" max="8970" width="16.5703125" style="5" customWidth="1"/>
    <col min="8971" max="8971" width="16.5703125" style="5" bestFit="1" customWidth="1"/>
    <col min="8972" max="8972" width="15.28515625" style="5" bestFit="1" customWidth="1"/>
    <col min="8973" max="8973" width="12.28515625" style="5" bestFit="1" customWidth="1"/>
    <col min="8974" max="8974" width="13.28515625" style="5" customWidth="1"/>
    <col min="8975" max="8975" width="6.7109375" style="5" customWidth="1"/>
    <col min="8976" max="8978" width="16.5703125" style="5" bestFit="1" customWidth="1"/>
    <col min="8979" max="8981" width="6.7109375" style="5" customWidth="1"/>
    <col min="8982" max="8983" width="16.5703125" style="5" bestFit="1" customWidth="1"/>
    <col min="8984" max="8984" width="6.7109375" style="5" customWidth="1"/>
    <col min="8985" max="9215" width="9.140625" style="5"/>
    <col min="9216" max="9216" width="72" style="5" customWidth="1"/>
    <col min="9217" max="9217" width="16.7109375" style="5" customWidth="1"/>
    <col min="9218" max="9218" width="16.140625" style="5" bestFit="1" customWidth="1"/>
    <col min="9219" max="9222" width="16.5703125" style="5" bestFit="1" customWidth="1"/>
    <col min="9223" max="9223" width="16.5703125" style="5" customWidth="1"/>
    <col min="9224" max="9225" width="16.5703125" style="5" bestFit="1" customWidth="1"/>
    <col min="9226" max="9226" width="16.5703125" style="5" customWidth="1"/>
    <col min="9227" max="9227" width="16.5703125" style="5" bestFit="1" customWidth="1"/>
    <col min="9228" max="9228" width="15.28515625" style="5" bestFit="1" customWidth="1"/>
    <col min="9229" max="9229" width="12.28515625" style="5" bestFit="1" customWidth="1"/>
    <col min="9230" max="9230" width="13.28515625" style="5" customWidth="1"/>
    <col min="9231" max="9231" width="6.7109375" style="5" customWidth="1"/>
    <col min="9232" max="9234" width="16.5703125" style="5" bestFit="1" customWidth="1"/>
    <col min="9235" max="9237" width="6.7109375" style="5" customWidth="1"/>
    <col min="9238" max="9239" width="16.5703125" style="5" bestFit="1" customWidth="1"/>
    <col min="9240" max="9240" width="6.7109375" style="5" customWidth="1"/>
    <col min="9241" max="9471" width="9.140625" style="5"/>
    <col min="9472" max="9472" width="72" style="5" customWidth="1"/>
    <col min="9473" max="9473" width="16.7109375" style="5" customWidth="1"/>
    <col min="9474" max="9474" width="16.140625" style="5" bestFit="1" customWidth="1"/>
    <col min="9475" max="9478" width="16.5703125" style="5" bestFit="1" customWidth="1"/>
    <col min="9479" max="9479" width="16.5703125" style="5" customWidth="1"/>
    <col min="9480" max="9481" width="16.5703125" style="5" bestFit="1" customWidth="1"/>
    <col min="9482" max="9482" width="16.5703125" style="5" customWidth="1"/>
    <col min="9483" max="9483" width="16.5703125" style="5" bestFit="1" customWidth="1"/>
    <col min="9484" max="9484" width="15.28515625" style="5" bestFit="1" customWidth="1"/>
    <col min="9485" max="9485" width="12.28515625" style="5" bestFit="1" customWidth="1"/>
    <col min="9486" max="9486" width="13.28515625" style="5" customWidth="1"/>
    <col min="9487" max="9487" width="6.7109375" style="5" customWidth="1"/>
    <col min="9488" max="9490" width="16.5703125" style="5" bestFit="1" customWidth="1"/>
    <col min="9491" max="9493" width="6.7109375" style="5" customWidth="1"/>
    <col min="9494" max="9495" width="16.5703125" style="5" bestFit="1" customWidth="1"/>
    <col min="9496" max="9496" width="6.7109375" style="5" customWidth="1"/>
    <col min="9497" max="9727" width="9.140625" style="5"/>
    <col min="9728" max="9728" width="72" style="5" customWidth="1"/>
    <col min="9729" max="9729" width="16.7109375" style="5" customWidth="1"/>
    <col min="9730" max="9730" width="16.140625" style="5" bestFit="1" customWidth="1"/>
    <col min="9731" max="9734" width="16.5703125" style="5" bestFit="1" customWidth="1"/>
    <col min="9735" max="9735" width="16.5703125" style="5" customWidth="1"/>
    <col min="9736" max="9737" width="16.5703125" style="5" bestFit="1" customWidth="1"/>
    <col min="9738" max="9738" width="16.5703125" style="5" customWidth="1"/>
    <col min="9739" max="9739" width="16.5703125" style="5" bestFit="1" customWidth="1"/>
    <col min="9740" max="9740" width="15.28515625" style="5" bestFit="1" customWidth="1"/>
    <col min="9741" max="9741" width="12.28515625" style="5" bestFit="1" customWidth="1"/>
    <col min="9742" max="9742" width="13.28515625" style="5" customWidth="1"/>
    <col min="9743" max="9743" width="6.7109375" style="5" customWidth="1"/>
    <col min="9744" max="9746" width="16.5703125" style="5" bestFit="1" customWidth="1"/>
    <col min="9747" max="9749" width="6.7109375" style="5" customWidth="1"/>
    <col min="9750" max="9751" width="16.5703125" style="5" bestFit="1" customWidth="1"/>
    <col min="9752" max="9752" width="6.7109375" style="5" customWidth="1"/>
    <col min="9753" max="9983" width="9.140625" style="5"/>
    <col min="9984" max="9984" width="72" style="5" customWidth="1"/>
    <col min="9985" max="9985" width="16.7109375" style="5" customWidth="1"/>
    <col min="9986" max="9986" width="16.140625" style="5" bestFit="1" customWidth="1"/>
    <col min="9987" max="9990" width="16.5703125" style="5" bestFit="1" customWidth="1"/>
    <col min="9991" max="9991" width="16.5703125" style="5" customWidth="1"/>
    <col min="9992" max="9993" width="16.5703125" style="5" bestFit="1" customWidth="1"/>
    <col min="9994" max="9994" width="16.5703125" style="5" customWidth="1"/>
    <col min="9995" max="9995" width="16.5703125" style="5" bestFit="1" customWidth="1"/>
    <col min="9996" max="9996" width="15.28515625" style="5" bestFit="1" customWidth="1"/>
    <col min="9997" max="9997" width="12.28515625" style="5" bestFit="1" customWidth="1"/>
    <col min="9998" max="9998" width="13.28515625" style="5" customWidth="1"/>
    <col min="9999" max="9999" width="6.7109375" style="5" customWidth="1"/>
    <col min="10000" max="10002" width="16.5703125" style="5" bestFit="1" customWidth="1"/>
    <col min="10003" max="10005" width="6.7109375" style="5" customWidth="1"/>
    <col min="10006" max="10007" width="16.5703125" style="5" bestFit="1" customWidth="1"/>
    <col min="10008" max="10008" width="6.7109375" style="5" customWidth="1"/>
    <col min="10009" max="10239" width="9.140625" style="5"/>
    <col min="10240" max="10240" width="72" style="5" customWidth="1"/>
    <col min="10241" max="10241" width="16.7109375" style="5" customWidth="1"/>
    <col min="10242" max="10242" width="16.140625" style="5" bestFit="1" customWidth="1"/>
    <col min="10243" max="10246" width="16.5703125" style="5" bestFit="1" customWidth="1"/>
    <col min="10247" max="10247" width="16.5703125" style="5" customWidth="1"/>
    <col min="10248" max="10249" width="16.5703125" style="5" bestFit="1" customWidth="1"/>
    <col min="10250" max="10250" width="16.5703125" style="5" customWidth="1"/>
    <col min="10251" max="10251" width="16.5703125" style="5" bestFit="1" customWidth="1"/>
    <col min="10252" max="10252" width="15.28515625" style="5" bestFit="1" customWidth="1"/>
    <col min="10253" max="10253" width="12.28515625" style="5" bestFit="1" customWidth="1"/>
    <col min="10254" max="10254" width="13.28515625" style="5" customWidth="1"/>
    <col min="10255" max="10255" width="6.7109375" style="5" customWidth="1"/>
    <col min="10256" max="10258" width="16.5703125" style="5" bestFit="1" customWidth="1"/>
    <col min="10259" max="10261" width="6.7109375" style="5" customWidth="1"/>
    <col min="10262" max="10263" width="16.5703125" style="5" bestFit="1" customWidth="1"/>
    <col min="10264" max="10264" width="6.7109375" style="5" customWidth="1"/>
    <col min="10265" max="10495" width="9.140625" style="5"/>
    <col min="10496" max="10496" width="72" style="5" customWidth="1"/>
    <col min="10497" max="10497" width="16.7109375" style="5" customWidth="1"/>
    <col min="10498" max="10498" width="16.140625" style="5" bestFit="1" customWidth="1"/>
    <col min="10499" max="10502" width="16.5703125" style="5" bestFit="1" customWidth="1"/>
    <col min="10503" max="10503" width="16.5703125" style="5" customWidth="1"/>
    <col min="10504" max="10505" width="16.5703125" style="5" bestFit="1" customWidth="1"/>
    <col min="10506" max="10506" width="16.5703125" style="5" customWidth="1"/>
    <col min="10507" max="10507" width="16.5703125" style="5" bestFit="1" customWidth="1"/>
    <col min="10508" max="10508" width="15.28515625" style="5" bestFit="1" customWidth="1"/>
    <col min="10509" max="10509" width="12.28515625" style="5" bestFit="1" customWidth="1"/>
    <col min="10510" max="10510" width="13.28515625" style="5" customWidth="1"/>
    <col min="10511" max="10511" width="6.7109375" style="5" customWidth="1"/>
    <col min="10512" max="10514" width="16.5703125" style="5" bestFit="1" customWidth="1"/>
    <col min="10515" max="10517" width="6.7109375" style="5" customWidth="1"/>
    <col min="10518" max="10519" width="16.5703125" style="5" bestFit="1" customWidth="1"/>
    <col min="10520" max="10520" width="6.7109375" style="5" customWidth="1"/>
    <col min="10521" max="10751" width="9.140625" style="5"/>
    <col min="10752" max="10752" width="72" style="5" customWidth="1"/>
    <col min="10753" max="10753" width="16.7109375" style="5" customWidth="1"/>
    <col min="10754" max="10754" width="16.140625" style="5" bestFit="1" customWidth="1"/>
    <col min="10755" max="10758" width="16.5703125" style="5" bestFit="1" customWidth="1"/>
    <col min="10759" max="10759" width="16.5703125" style="5" customWidth="1"/>
    <col min="10760" max="10761" width="16.5703125" style="5" bestFit="1" customWidth="1"/>
    <col min="10762" max="10762" width="16.5703125" style="5" customWidth="1"/>
    <col min="10763" max="10763" width="16.5703125" style="5" bestFit="1" customWidth="1"/>
    <col min="10764" max="10764" width="15.28515625" style="5" bestFit="1" customWidth="1"/>
    <col min="10765" max="10765" width="12.28515625" style="5" bestFit="1" customWidth="1"/>
    <col min="10766" max="10766" width="13.28515625" style="5" customWidth="1"/>
    <col min="10767" max="10767" width="6.7109375" style="5" customWidth="1"/>
    <col min="10768" max="10770" width="16.5703125" style="5" bestFit="1" customWidth="1"/>
    <col min="10771" max="10773" width="6.7109375" style="5" customWidth="1"/>
    <col min="10774" max="10775" width="16.5703125" style="5" bestFit="1" customWidth="1"/>
    <col min="10776" max="10776" width="6.7109375" style="5" customWidth="1"/>
    <col min="10777" max="11007" width="9.140625" style="5"/>
    <col min="11008" max="11008" width="72" style="5" customWidth="1"/>
    <col min="11009" max="11009" width="16.7109375" style="5" customWidth="1"/>
    <col min="11010" max="11010" width="16.140625" style="5" bestFit="1" customWidth="1"/>
    <col min="11011" max="11014" width="16.5703125" style="5" bestFit="1" customWidth="1"/>
    <col min="11015" max="11015" width="16.5703125" style="5" customWidth="1"/>
    <col min="11016" max="11017" width="16.5703125" style="5" bestFit="1" customWidth="1"/>
    <col min="11018" max="11018" width="16.5703125" style="5" customWidth="1"/>
    <col min="11019" max="11019" width="16.5703125" style="5" bestFit="1" customWidth="1"/>
    <col min="11020" max="11020" width="15.28515625" style="5" bestFit="1" customWidth="1"/>
    <col min="11021" max="11021" width="12.28515625" style="5" bestFit="1" customWidth="1"/>
    <col min="11022" max="11022" width="13.28515625" style="5" customWidth="1"/>
    <col min="11023" max="11023" width="6.7109375" style="5" customWidth="1"/>
    <col min="11024" max="11026" width="16.5703125" style="5" bestFit="1" customWidth="1"/>
    <col min="11027" max="11029" width="6.7109375" style="5" customWidth="1"/>
    <col min="11030" max="11031" width="16.5703125" style="5" bestFit="1" customWidth="1"/>
    <col min="11032" max="11032" width="6.7109375" style="5" customWidth="1"/>
    <col min="11033" max="11263" width="9.140625" style="5"/>
    <col min="11264" max="11264" width="72" style="5" customWidth="1"/>
    <col min="11265" max="11265" width="16.7109375" style="5" customWidth="1"/>
    <col min="11266" max="11266" width="16.140625" style="5" bestFit="1" customWidth="1"/>
    <col min="11267" max="11270" width="16.5703125" style="5" bestFit="1" customWidth="1"/>
    <col min="11271" max="11271" width="16.5703125" style="5" customWidth="1"/>
    <col min="11272" max="11273" width="16.5703125" style="5" bestFit="1" customWidth="1"/>
    <col min="11274" max="11274" width="16.5703125" style="5" customWidth="1"/>
    <col min="11275" max="11275" width="16.5703125" style="5" bestFit="1" customWidth="1"/>
    <col min="11276" max="11276" width="15.28515625" style="5" bestFit="1" customWidth="1"/>
    <col min="11277" max="11277" width="12.28515625" style="5" bestFit="1" customWidth="1"/>
    <col min="11278" max="11278" width="13.28515625" style="5" customWidth="1"/>
    <col min="11279" max="11279" width="6.7109375" style="5" customWidth="1"/>
    <col min="11280" max="11282" width="16.5703125" style="5" bestFit="1" customWidth="1"/>
    <col min="11283" max="11285" width="6.7109375" style="5" customWidth="1"/>
    <col min="11286" max="11287" width="16.5703125" style="5" bestFit="1" customWidth="1"/>
    <col min="11288" max="11288" width="6.7109375" style="5" customWidth="1"/>
    <col min="11289" max="11519" width="9.140625" style="5"/>
    <col min="11520" max="11520" width="72" style="5" customWidth="1"/>
    <col min="11521" max="11521" width="16.7109375" style="5" customWidth="1"/>
    <col min="11522" max="11522" width="16.140625" style="5" bestFit="1" customWidth="1"/>
    <col min="11523" max="11526" width="16.5703125" style="5" bestFit="1" customWidth="1"/>
    <col min="11527" max="11527" width="16.5703125" style="5" customWidth="1"/>
    <col min="11528" max="11529" width="16.5703125" style="5" bestFit="1" customWidth="1"/>
    <col min="11530" max="11530" width="16.5703125" style="5" customWidth="1"/>
    <col min="11531" max="11531" width="16.5703125" style="5" bestFit="1" customWidth="1"/>
    <col min="11532" max="11532" width="15.28515625" style="5" bestFit="1" customWidth="1"/>
    <col min="11533" max="11533" width="12.28515625" style="5" bestFit="1" customWidth="1"/>
    <col min="11534" max="11534" width="13.28515625" style="5" customWidth="1"/>
    <col min="11535" max="11535" width="6.7109375" style="5" customWidth="1"/>
    <col min="11536" max="11538" width="16.5703125" style="5" bestFit="1" customWidth="1"/>
    <col min="11539" max="11541" width="6.7109375" style="5" customWidth="1"/>
    <col min="11542" max="11543" width="16.5703125" style="5" bestFit="1" customWidth="1"/>
    <col min="11544" max="11544" width="6.7109375" style="5" customWidth="1"/>
    <col min="11545" max="11775" width="9.140625" style="5"/>
    <col min="11776" max="11776" width="72" style="5" customWidth="1"/>
    <col min="11777" max="11777" width="16.7109375" style="5" customWidth="1"/>
    <col min="11778" max="11778" width="16.140625" style="5" bestFit="1" customWidth="1"/>
    <col min="11779" max="11782" width="16.5703125" style="5" bestFit="1" customWidth="1"/>
    <col min="11783" max="11783" width="16.5703125" style="5" customWidth="1"/>
    <col min="11784" max="11785" width="16.5703125" style="5" bestFit="1" customWidth="1"/>
    <col min="11786" max="11786" width="16.5703125" style="5" customWidth="1"/>
    <col min="11787" max="11787" width="16.5703125" style="5" bestFit="1" customWidth="1"/>
    <col min="11788" max="11788" width="15.28515625" style="5" bestFit="1" customWidth="1"/>
    <col min="11789" max="11789" width="12.28515625" style="5" bestFit="1" customWidth="1"/>
    <col min="11790" max="11790" width="13.28515625" style="5" customWidth="1"/>
    <col min="11791" max="11791" width="6.7109375" style="5" customWidth="1"/>
    <col min="11792" max="11794" width="16.5703125" style="5" bestFit="1" customWidth="1"/>
    <col min="11795" max="11797" width="6.7109375" style="5" customWidth="1"/>
    <col min="11798" max="11799" width="16.5703125" style="5" bestFit="1" customWidth="1"/>
    <col min="11800" max="11800" width="6.7109375" style="5" customWidth="1"/>
    <col min="11801" max="12031" width="9.140625" style="5"/>
    <col min="12032" max="12032" width="72" style="5" customWidth="1"/>
    <col min="12033" max="12033" width="16.7109375" style="5" customWidth="1"/>
    <col min="12034" max="12034" width="16.140625" style="5" bestFit="1" customWidth="1"/>
    <col min="12035" max="12038" width="16.5703125" style="5" bestFit="1" customWidth="1"/>
    <col min="12039" max="12039" width="16.5703125" style="5" customWidth="1"/>
    <col min="12040" max="12041" width="16.5703125" style="5" bestFit="1" customWidth="1"/>
    <col min="12042" max="12042" width="16.5703125" style="5" customWidth="1"/>
    <col min="12043" max="12043" width="16.5703125" style="5" bestFit="1" customWidth="1"/>
    <col min="12044" max="12044" width="15.28515625" style="5" bestFit="1" customWidth="1"/>
    <col min="12045" max="12045" width="12.28515625" style="5" bestFit="1" customWidth="1"/>
    <col min="12046" max="12046" width="13.28515625" style="5" customWidth="1"/>
    <col min="12047" max="12047" width="6.7109375" style="5" customWidth="1"/>
    <col min="12048" max="12050" width="16.5703125" style="5" bestFit="1" customWidth="1"/>
    <col min="12051" max="12053" width="6.7109375" style="5" customWidth="1"/>
    <col min="12054" max="12055" width="16.5703125" style="5" bestFit="1" customWidth="1"/>
    <col min="12056" max="12056" width="6.7109375" style="5" customWidth="1"/>
    <col min="12057" max="12287" width="9.140625" style="5"/>
    <col min="12288" max="12288" width="72" style="5" customWidth="1"/>
    <col min="12289" max="12289" width="16.7109375" style="5" customWidth="1"/>
    <col min="12290" max="12290" width="16.140625" style="5" bestFit="1" customWidth="1"/>
    <col min="12291" max="12294" width="16.5703125" style="5" bestFit="1" customWidth="1"/>
    <col min="12295" max="12295" width="16.5703125" style="5" customWidth="1"/>
    <col min="12296" max="12297" width="16.5703125" style="5" bestFit="1" customWidth="1"/>
    <col min="12298" max="12298" width="16.5703125" style="5" customWidth="1"/>
    <col min="12299" max="12299" width="16.5703125" style="5" bestFit="1" customWidth="1"/>
    <col min="12300" max="12300" width="15.28515625" style="5" bestFit="1" customWidth="1"/>
    <col min="12301" max="12301" width="12.28515625" style="5" bestFit="1" customWidth="1"/>
    <col min="12302" max="12302" width="13.28515625" style="5" customWidth="1"/>
    <col min="12303" max="12303" width="6.7109375" style="5" customWidth="1"/>
    <col min="12304" max="12306" width="16.5703125" style="5" bestFit="1" customWidth="1"/>
    <col min="12307" max="12309" width="6.7109375" style="5" customWidth="1"/>
    <col min="12310" max="12311" width="16.5703125" style="5" bestFit="1" customWidth="1"/>
    <col min="12312" max="12312" width="6.7109375" style="5" customWidth="1"/>
    <col min="12313" max="12543" width="9.140625" style="5"/>
    <col min="12544" max="12544" width="72" style="5" customWidth="1"/>
    <col min="12545" max="12545" width="16.7109375" style="5" customWidth="1"/>
    <col min="12546" max="12546" width="16.140625" style="5" bestFit="1" customWidth="1"/>
    <col min="12547" max="12550" width="16.5703125" style="5" bestFit="1" customWidth="1"/>
    <col min="12551" max="12551" width="16.5703125" style="5" customWidth="1"/>
    <col min="12552" max="12553" width="16.5703125" style="5" bestFit="1" customWidth="1"/>
    <col min="12554" max="12554" width="16.5703125" style="5" customWidth="1"/>
    <col min="12555" max="12555" width="16.5703125" style="5" bestFit="1" customWidth="1"/>
    <col min="12556" max="12556" width="15.28515625" style="5" bestFit="1" customWidth="1"/>
    <col min="12557" max="12557" width="12.28515625" style="5" bestFit="1" customWidth="1"/>
    <col min="12558" max="12558" width="13.28515625" style="5" customWidth="1"/>
    <col min="12559" max="12559" width="6.7109375" style="5" customWidth="1"/>
    <col min="12560" max="12562" width="16.5703125" style="5" bestFit="1" customWidth="1"/>
    <col min="12563" max="12565" width="6.7109375" style="5" customWidth="1"/>
    <col min="12566" max="12567" width="16.5703125" style="5" bestFit="1" customWidth="1"/>
    <col min="12568" max="12568" width="6.7109375" style="5" customWidth="1"/>
    <col min="12569" max="12799" width="9.140625" style="5"/>
    <col min="12800" max="12800" width="72" style="5" customWidth="1"/>
    <col min="12801" max="12801" width="16.7109375" style="5" customWidth="1"/>
    <col min="12802" max="12802" width="16.140625" style="5" bestFit="1" customWidth="1"/>
    <col min="12803" max="12806" width="16.5703125" style="5" bestFit="1" customWidth="1"/>
    <col min="12807" max="12807" width="16.5703125" style="5" customWidth="1"/>
    <col min="12808" max="12809" width="16.5703125" style="5" bestFit="1" customWidth="1"/>
    <col min="12810" max="12810" width="16.5703125" style="5" customWidth="1"/>
    <col min="12811" max="12811" width="16.5703125" style="5" bestFit="1" customWidth="1"/>
    <col min="12812" max="12812" width="15.28515625" style="5" bestFit="1" customWidth="1"/>
    <col min="12813" max="12813" width="12.28515625" style="5" bestFit="1" customWidth="1"/>
    <col min="12814" max="12814" width="13.28515625" style="5" customWidth="1"/>
    <col min="12815" max="12815" width="6.7109375" style="5" customWidth="1"/>
    <col min="12816" max="12818" width="16.5703125" style="5" bestFit="1" customWidth="1"/>
    <col min="12819" max="12821" width="6.7109375" style="5" customWidth="1"/>
    <col min="12822" max="12823" width="16.5703125" style="5" bestFit="1" customWidth="1"/>
    <col min="12824" max="12824" width="6.7109375" style="5" customWidth="1"/>
    <col min="12825" max="13055" width="9.140625" style="5"/>
    <col min="13056" max="13056" width="72" style="5" customWidth="1"/>
    <col min="13057" max="13057" width="16.7109375" style="5" customWidth="1"/>
    <col min="13058" max="13058" width="16.140625" style="5" bestFit="1" customWidth="1"/>
    <col min="13059" max="13062" width="16.5703125" style="5" bestFit="1" customWidth="1"/>
    <col min="13063" max="13063" width="16.5703125" style="5" customWidth="1"/>
    <col min="13064" max="13065" width="16.5703125" style="5" bestFit="1" customWidth="1"/>
    <col min="13066" max="13066" width="16.5703125" style="5" customWidth="1"/>
    <col min="13067" max="13067" width="16.5703125" style="5" bestFit="1" customWidth="1"/>
    <col min="13068" max="13068" width="15.28515625" style="5" bestFit="1" customWidth="1"/>
    <col min="13069" max="13069" width="12.28515625" style="5" bestFit="1" customWidth="1"/>
    <col min="13070" max="13070" width="13.28515625" style="5" customWidth="1"/>
    <col min="13071" max="13071" width="6.7109375" style="5" customWidth="1"/>
    <col min="13072" max="13074" width="16.5703125" style="5" bestFit="1" customWidth="1"/>
    <col min="13075" max="13077" width="6.7109375" style="5" customWidth="1"/>
    <col min="13078" max="13079" width="16.5703125" style="5" bestFit="1" customWidth="1"/>
    <col min="13080" max="13080" width="6.7109375" style="5" customWidth="1"/>
    <col min="13081" max="13311" width="9.140625" style="5"/>
    <col min="13312" max="13312" width="72" style="5" customWidth="1"/>
    <col min="13313" max="13313" width="16.7109375" style="5" customWidth="1"/>
    <col min="13314" max="13314" width="16.140625" style="5" bestFit="1" customWidth="1"/>
    <col min="13315" max="13318" width="16.5703125" style="5" bestFit="1" customWidth="1"/>
    <col min="13319" max="13319" width="16.5703125" style="5" customWidth="1"/>
    <col min="13320" max="13321" width="16.5703125" style="5" bestFit="1" customWidth="1"/>
    <col min="13322" max="13322" width="16.5703125" style="5" customWidth="1"/>
    <col min="13323" max="13323" width="16.5703125" style="5" bestFit="1" customWidth="1"/>
    <col min="13324" max="13324" width="15.28515625" style="5" bestFit="1" customWidth="1"/>
    <col min="13325" max="13325" width="12.28515625" style="5" bestFit="1" customWidth="1"/>
    <col min="13326" max="13326" width="13.28515625" style="5" customWidth="1"/>
    <col min="13327" max="13327" width="6.7109375" style="5" customWidth="1"/>
    <col min="13328" max="13330" width="16.5703125" style="5" bestFit="1" customWidth="1"/>
    <col min="13331" max="13333" width="6.7109375" style="5" customWidth="1"/>
    <col min="13334" max="13335" width="16.5703125" style="5" bestFit="1" customWidth="1"/>
    <col min="13336" max="13336" width="6.7109375" style="5" customWidth="1"/>
    <col min="13337" max="13567" width="9.140625" style="5"/>
    <col min="13568" max="13568" width="72" style="5" customWidth="1"/>
    <col min="13569" max="13569" width="16.7109375" style="5" customWidth="1"/>
    <col min="13570" max="13570" width="16.140625" style="5" bestFit="1" customWidth="1"/>
    <col min="13571" max="13574" width="16.5703125" style="5" bestFit="1" customWidth="1"/>
    <col min="13575" max="13575" width="16.5703125" style="5" customWidth="1"/>
    <col min="13576" max="13577" width="16.5703125" style="5" bestFit="1" customWidth="1"/>
    <col min="13578" max="13578" width="16.5703125" style="5" customWidth="1"/>
    <col min="13579" max="13579" width="16.5703125" style="5" bestFit="1" customWidth="1"/>
    <col min="13580" max="13580" width="15.28515625" style="5" bestFit="1" customWidth="1"/>
    <col min="13581" max="13581" width="12.28515625" style="5" bestFit="1" customWidth="1"/>
    <col min="13582" max="13582" width="13.28515625" style="5" customWidth="1"/>
    <col min="13583" max="13583" width="6.7109375" style="5" customWidth="1"/>
    <col min="13584" max="13586" width="16.5703125" style="5" bestFit="1" customWidth="1"/>
    <col min="13587" max="13589" width="6.7109375" style="5" customWidth="1"/>
    <col min="13590" max="13591" width="16.5703125" style="5" bestFit="1" customWidth="1"/>
    <col min="13592" max="13592" width="6.7109375" style="5" customWidth="1"/>
    <col min="13593" max="13823" width="9.140625" style="5"/>
    <col min="13824" max="13824" width="72" style="5" customWidth="1"/>
    <col min="13825" max="13825" width="16.7109375" style="5" customWidth="1"/>
    <col min="13826" max="13826" width="16.140625" style="5" bestFit="1" customWidth="1"/>
    <col min="13827" max="13830" width="16.5703125" style="5" bestFit="1" customWidth="1"/>
    <col min="13831" max="13831" width="16.5703125" style="5" customWidth="1"/>
    <col min="13832" max="13833" width="16.5703125" style="5" bestFit="1" customWidth="1"/>
    <col min="13834" max="13834" width="16.5703125" style="5" customWidth="1"/>
    <col min="13835" max="13835" width="16.5703125" style="5" bestFit="1" customWidth="1"/>
    <col min="13836" max="13836" width="15.28515625" style="5" bestFit="1" customWidth="1"/>
    <col min="13837" max="13837" width="12.28515625" style="5" bestFit="1" customWidth="1"/>
    <col min="13838" max="13838" width="13.28515625" style="5" customWidth="1"/>
    <col min="13839" max="13839" width="6.7109375" style="5" customWidth="1"/>
    <col min="13840" max="13842" width="16.5703125" style="5" bestFit="1" customWidth="1"/>
    <col min="13843" max="13845" width="6.7109375" style="5" customWidth="1"/>
    <col min="13846" max="13847" width="16.5703125" style="5" bestFit="1" customWidth="1"/>
    <col min="13848" max="13848" width="6.7109375" style="5" customWidth="1"/>
    <col min="13849" max="14079" width="9.140625" style="5"/>
    <col min="14080" max="14080" width="72" style="5" customWidth="1"/>
    <col min="14081" max="14081" width="16.7109375" style="5" customWidth="1"/>
    <col min="14082" max="14082" width="16.140625" style="5" bestFit="1" customWidth="1"/>
    <col min="14083" max="14086" width="16.5703125" style="5" bestFit="1" customWidth="1"/>
    <col min="14087" max="14087" width="16.5703125" style="5" customWidth="1"/>
    <col min="14088" max="14089" width="16.5703125" style="5" bestFit="1" customWidth="1"/>
    <col min="14090" max="14090" width="16.5703125" style="5" customWidth="1"/>
    <col min="14091" max="14091" width="16.5703125" style="5" bestFit="1" customWidth="1"/>
    <col min="14092" max="14092" width="15.28515625" style="5" bestFit="1" customWidth="1"/>
    <col min="14093" max="14093" width="12.28515625" style="5" bestFit="1" customWidth="1"/>
    <col min="14094" max="14094" width="13.28515625" style="5" customWidth="1"/>
    <col min="14095" max="14095" width="6.7109375" style="5" customWidth="1"/>
    <col min="14096" max="14098" width="16.5703125" style="5" bestFit="1" customWidth="1"/>
    <col min="14099" max="14101" width="6.7109375" style="5" customWidth="1"/>
    <col min="14102" max="14103" width="16.5703125" style="5" bestFit="1" customWidth="1"/>
    <col min="14104" max="14104" width="6.7109375" style="5" customWidth="1"/>
    <col min="14105" max="14335" width="9.140625" style="5"/>
    <col min="14336" max="14336" width="72" style="5" customWidth="1"/>
    <col min="14337" max="14337" width="16.7109375" style="5" customWidth="1"/>
    <col min="14338" max="14338" width="16.140625" style="5" bestFit="1" customWidth="1"/>
    <col min="14339" max="14342" width="16.5703125" style="5" bestFit="1" customWidth="1"/>
    <col min="14343" max="14343" width="16.5703125" style="5" customWidth="1"/>
    <col min="14344" max="14345" width="16.5703125" style="5" bestFit="1" customWidth="1"/>
    <col min="14346" max="14346" width="16.5703125" style="5" customWidth="1"/>
    <col min="14347" max="14347" width="16.5703125" style="5" bestFit="1" customWidth="1"/>
    <col min="14348" max="14348" width="15.28515625" style="5" bestFit="1" customWidth="1"/>
    <col min="14349" max="14349" width="12.28515625" style="5" bestFit="1" customWidth="1"/>
    <col min="14350" max="14350" width="13.28515625" style="5" customWidth="1"/>
    <col min="14351" max="14351" width="6.7109375" style="5" customWidth="1"/>
    <col min="14352" max="14354" width="16.5703125" style="5" bestFit="1" customWidth="1"/>
    <col min="14355" max="14357" width="6.7109375" style="5" customWidth="1"/>
    <col min="14358" max="14359" width="16.5703125" style="5" bestFit="1" customWidth="1"/>
    <col min="14360" max="14360" width="6.7109375" style="5" customWidth="1"/>
    <col min="14361" max="14591" width="9.140625" style="5"/>
    <col min="14592" max="14592" width="72" style="5" customWidth="1"/>
    <col min="14593" max="14593" width="16.7109375" style="5" customWidth="1"/>
    <col min="14594" max="14594" width="16.140625" style="5" bestFit="1" customWidth="1"/>
    <col min="14595" max="14598" width="16.5703125" style="5" bestFit="1" customWidth="1"/>
    <col min="14599" max="14599" width="16.5703125" style="5" customWidth="1"/>
    <col min="14600" max="14601" width="16.5703125" style="5" bestFit="1" customWidth="1"/>
    <col min="14602" max="14602" width="16.5703125" style="5" customWidth="1"/>
    <col min="14603" max="14603" width="16.5703125" style="5" bestFit="1" customWidth="1"/>
    <col min="14604" max="14604" width="15.28515625" style="5" bestFit="1" customWidth="1"/>
    <col min="14605" max="14605" width="12.28515625" style="5" bestFit="1" customWidth="1"/>
    <col min="14606" max="14606" width="13.28515625" style="5" customWidth="1"/>
    <col min="14607" max="14607" width="6.7109375" style="5" customWidth="1"/>
    <col min="14608" max="14610" width="16.5703125" style="5" bestFit="1" customWidth="1"/>
    <col min="14611" max="14613" width="6.7109375" style="5" customWidth="1"/>
    <col min="14614" max="14615" width="16.5703125" style="5" bestFit="1" customWidth="1"/>
    <col min="14616" max="14616" width="6.7109375" style="5" customWidth="1"/>
    <col min="14617" max="14847" width="9.140625" style="5"/>
    <col min="14848" max="14848" width="72" style="5" customWidth="1"/>
    <col min="14849" max="14849" width="16.7109375" style="5" customWidth="1"/>
    <col min="14850" max="14850" width="16.140625" style="5" bestFit="1" customWidth="1"/>
    <col min="14851" max="14854" width="16.5703125" style="5" bestFit="1" customWidth="1"/>
    <col min="14855" max="14855" width="16.5703125" style="5" customWidth="1"/>
    <col min="14856" max="14857" width="16.5703125" style="5" bestFit="1" customWidth="1"/>
    <col min="14858" max="14858" width="16.5703125" style="5" customWidth="1"/>
    <col min="14859" max="14859" width="16.5703125" style="5" bestFit="1" customWidth="1"/>
    <col min="14860" max="14860" width="15.28515625" style="5" bestFit="1" customWidth="1"/>
    <col min="14861" max="14861" width="12.28515625" style="5" bestFit="1" customWidth="1"/>
    <col min="14862" max="14862" width="13.28515625" style="5" customWidth="1"/>
    <col min="14863" max="14863" width="6.7109375" style="5" customWidth="1"/>
    <col min="14864" max="14866" width="16.5703125" style="5" bestFit="1" customWidth="1"/>
    <col min="14867" max="14869" width="6.7109375" style="5" customWidth="1"/>
    <col min="14870" max="14871" width="16.5703125" style="5" bestFit="1" customWidth="1"/>
    <col min="14872" max="14872" width="6.7109375" style="5" customWidth="1"/>
    <col min="14873" max="15103" width="9.140625" style="5"/>
    <col min="15104" max="15104" width="72" style="5" customWidth="1"/>
    <col min="15105" max="15105" width="16.7109375" style="5" customWidth="1"/>
    <col min="15106" max="15106" width="16.140625" style="5" bestFit="1" customWidth="1"/>
    <col min="15107" max="15110" width="16.5703125" style="5" bestFit="1" customWidth="1"/>
    <col min="15111" max="15111" width="16.5703125" style="5" customWidth="1"/>
    <col min="15112" max="15113" width="16.5703125" style="5" bestFit="1" customWidth="1"/>
    <col min="15114" max="15114" width="16.5703125" style="5" customWidth="1"/>
    <col min="15115" max="15115" width="16.5703125" style="5" bestFit="1" customWidth="1"/>
    <col min="15116" max="15116" width="15.28515625" style="5" bestFit="1" customWidth="1"/>
    <col min="15117" max="15117" width="12.28515625" style="5" bestFit="1" customWidth="1"/>
    <col min="15118" max="15118" width="13.28515625" style="5" customWidth="1"/>
    <col min="15119" max="15119" width="6.7109375" style="5" customWidth="1"/>
    <col min="15120" max="15122" width="16.5703125" style="5" bestFit="1" customWidth="1"/>
    <col min="15123" max="15125" width="6.7109375" style="5" customWidth="1"/>
    <col min="15126" max="15127" width="16.5703125" style="5" bestFit="1" customWidth="1"/>
    <col min="15128" max="15128" width="6.7109375" style="5" customWidth="1"/>
    <col min="15129" max="15359" width="9.140625" style="5"/>
    <col min="15360" max="15360" width="72" style="5" customWidth="1"/>
    <col min="15361" max="15361" width="16.7109375" style="5" customWidth="1"/>
    <col min="15362" max="15362" width="16.140625" style="5" bestFit="1" customWidth="1"/>
    <col min="15363" max="15366" width="16.5703125" style="5" bestFit="1" customWidth="1"/>
    <col min="15367" max="15367" width="16.5703125" style="5" customWidth="1"/>
    <col min="15368" max="15369" width="16.5703125" style="5" bestFit="1" customWidth="1"/>
    <col min="15370" max="15370" width="16.5703125" style="5" customWidth="1"/>
    <col min="15371" max="15371" width="16.5703125" style="5" bestFit="1" customWidth="1"/>
    <col min="15372" max="15372" width="15.28515625" style="5" bestFit="1" customWidth="1"/>
    <col min="15373" max="15373" width="12.28515625" style="5" bestFit="1" customWidth="1"/>
    <col min="15374" max="15374" width="13.28515625" style="5" customWidth="1"/>
    <col min="15375" max="15375" width="6.7109375" style="5" customWidth="1"/>
    <col min="15376" max="15378" width="16.5703125" style="5" bestFit="1" customWidth="1"/>
    <col min="15379" max="15381" width="6.7109375" style="5" customWidth="1"/>
    <col min="15382" max="15383" width="16.5703125" style="5" bestFit="1" customWidth="1"/>
    <col min="15384" max="15384" width="6.7109375" style="5" customWidth="1"/>
    <col min="15385" max="15615" width="9.140625" style="5"/>
    <col min="15616" max="15616" width="72" style="5" customWidth="1"/>
    <col min="15617" max="15617" width="16.7109375" style="5" customWidth="1"/>
    <col min="15618" max="15618" width="16.140625" style="5" bestFit="1" customWidth="1"/>
    <col min="15619" max="15622" width="16.5703125" style="5" bestFit="1" customWidth="1"/>
    <col min="15623" max="15623" width="16.5703125" style="5" customWidth="1"/>
    <col min="15624" max="15625" width="16.5703125" style="5" bestFit="1" customWidth="1"/>
    <col min="15626" max="15626" width="16.5703125" style="5" customWidth="1"/>
    <col min="15627" max="15627" width="16.5703125" style="5" bestFit="1" customWidth="1"/>
    <col min="15628" max="15628" width="15.28515625" style="5" bestFit="1" customWidth="1"/>
    <col min="15629" max="15629" width="12.28515625" style="5" bestFit="1" customWidth="1"/>
    <col min="15630" max="15630" width="13.28515625" style="5" customWidth="1"/>
    <col min="15631" max="15631" width="6.7109375" style="5" customWidth="1"/>
    <col min="15632" max="15634" width="16.5703125" style="5" bestFit="1" customWidth="1"/>
    <col min="15635" max="15637" width="6.7109375" style="5" customWidth="1"/>
    <col min="15638" max="15639" width="16.5703125" style="5" bestFit="1" customWidth="1"/>
    <col min="15640" max="15640" width="6.7109375" style="5" customWidth="1"/>
    <col min="15641" max="15871" width="9.140625" style="5"/>
    <col min="15872" max="15872" width="72" style="5" customWidth="1"/>
    <col min="15873" max="15873" width="16.7109375" style="5" customWidth="1"/>
    <col min="15874" max="15874" width="16.140625" style="5" bestFit="1" customWidth="1"/>
    <col min="15875" max="15878" width="16.5703125" style="5" bestFit="1" customWidth="1"/>
    <col min="15879" max="15879" width="16.5703125" style="5" customWidth="1"/>
    <col min="15880" max="15881" width="16.5703125" style="5" bestFit="1" customWidth="1"/>
    <col min="15882" max="15882" width="16.5703125" style="5" customWidth="1"/>
    <col min="15883" max="15883" width="16.5703125" style="5" bestFit="1" customWidth="1"/>
    <col min="15884" max="15884" width="15.28515625" style="5" bestFit="1" customWidth="1"/>
    <col min="15885" max="15885" width="12.28515625" style="5" bestFit="1" customWidth="1"/>
    <col min="15886" max="15886" width="13.28515625" style="5" customWidth="1"/>
    <col min="15887" max="15887" width="6.7109375" style="5" customWidth="1"/>
    <col min="15888" max="15890" width="16.5703125" style="5" bestFit="1" customWidth="1"/>
    <col min="15891" max="15893" width="6.7109375" style="5" customWidth="1"/>
    <col min="15894" max="15895" width="16.5703125" style="5" bestFit="1" customWidth="1"/>
    <col min="15896" max="15896" width="6.7109375" style="5" customWidth="1"/>
    <col min="15897" max="16127" width="9.140625" style="5"/>
    <col min="16128" max="16128" width="72" style="5" customWidth="1"/>
    <col min="16129" max="16129" width="16.7109375" style="5" customWidth="1"/>
    <col min="16130" max="16130" width="16.140625" style="5" bestFit="1" customWidth="1"/>
    <col min="16131" max="16134" width="16.5703125" style="5" bestFit="1" customWidth="1"/>
    <col min="16135" max="16135" width="16.5703125" style="5" customWidth="1"/>
    <col min="16136" max="16137" width="16.5703125" style="5" bestFit="1" customWidth="1"/>
    <col min="16138" max="16138" width="16.5703125" style="5" customWidth="1"/>
    <col min="16139" max="16139" width="16.5703125" style="5" bestFit="1" customWidth="1"/>
    <col min="16140" max="16140" width="15.28515625" style="5" bestFit="1" customWidth="1"/>
    <col min="16141" max="16141" width="12.28515625" style="5" bestFit="1" customWidth="1"/>
    <col min="16142" max="16142" width="13.28515625" style="5" customWidth="1"/>
    <col min="16143" max="16143" width="6.7109375" style="5" customWidth="1"/>
    <col min="16144" max="16146" width="16.5703125" style="5" bestFit="1" customWidth="1"/>
    <col min="16147" max="16149" width="6.7109375" style="5" customWidth="1"/>
    <col min="16150" max="16151" width="16.5703125" style="5" bestFit="1" customWidth="1"/>
    <col min="16152" max="16152" width="6.7109375" style="5" customWidth="1"/>
    <col min="16153" max="16384" width="9.140625" style="5"/>
  </cols>
  <sheetData>
    <row r="1" spans="2:24" ht="31.5">
      <c r="C1" s="6" t="s">
        <v>302</v>
      </c>
      <c r="D1" s="6"/>
    </row>
    <row r="2" spans="2:24" s="7" customFormat="1" ht="15.75">
      <c r="C2" s="8"/>
      <c r="D2" s="35"/>
      <c r="E2" s="36"/>
      <c r="S2" s="103" t="s">
        <v>303</v>
      </c>
      <c r="T2" s="103"/>
      <c r="U2" s="103"/>
      <c r="W2" s="103" t="s">
        <v>303</v>
      </c>
      <c r="X2" s="103"/>
    </row>
    <row r="3" spans="2:24" s="7" customFormat="1" ht="39">
      <c r="B3" s="9" t="s">
        <v>304</v>
      </c>
      <c r="C3" s="9" t="s">
        <v>435</v>
      </c>
      <c r="D3" s="9" t="s">
        <v>434</v>
      </c>
      <c r="E3" s="10" t="s">
        <v>1</v>
      </c>
      <c r="F3" s="10" t="s">
        <v>305</v>
      </c>
      <c r="G3" s="10" t="s">
        <v>306</v>
      </c>
      <c r="H3" s="10" t="s">
        <v>307</v>
      </c>
      <c r="I3" s="10" t="s">
        <v>308</v>
      </c>
      <c r="J3" s="10" t="s">
        <v>555</v>
      </c>
      <c r="K3" s="10">
        <v>35</v>
      </c>
      <c r="L3" s="10">
        <v>43</v>
      </c>
      <c r="M3" s="10" t="s">
        <v>309</v>
      </c>
      <c r="N3" s="10" t="s">
        <v>310</v>
      </c>
      <c r="O3" s="10" t="s">
        <v>311</v>
      </c>
      <c r="P3" s="10" t="s">
        <v>312</v>
      </c>
      <c r="Q3" s="10" t="s">
        <v>313</v>
      </c>
      <c r="R3" s="10" t="s">
        <v>314</v>
      </c>
      <c r="S3" s="10" t="s">
        <v>315</v>
      </c>
      <c r="T3" s="10" t="s">
        <v>316</v>
      </c>
      <c r="U3" s="10" t="s">
        <v>317</v>
      </c>
      <c r="V3" s="10" t="s">
        <v>314</v>
      </c>
      <c r="W3" s="10" t="s">
        <v>318</v>
      </c>
      <c r="X3" s="10" t="s">
        <v>319</v>
      </c>
    </row>
    <row r="4" spans="2:24" s="7" customFormat="1">
      <c r="B4" s="9"/>
      <c r="C4" s="9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2:24" s="7" customFormat="1">
      <c r="B5" s="9" t="s">
        <v>320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r="6" spans="2:24" s="7" customFormat="1">
      <c r="B6" s="5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2:24">
      <c r="B7" s="12" t="s">
        <v>438</v>
      </c>
      <c r="C7" s="13" t="s">
        <v>321</v>
      </c>
      <c r="D7" s="13">
        <v>1</v>
      </c>
      <c r="E7" s="14">
        <f>SUM(F7:Q7)</f>
        <v>1115040</v>
      </c>
      <c r="F7" s="14">
        <v>980660</v>
      </c>
      <c r="G7" s="14">
        <v>117918</v>
      </c>
      <c r="H7" s="14">
        <v>7616</v>
      </c>
      <c r="I7" s="14">
        <v>778</v>
      </c>
      <c r="J7" s="14">
        <v>475</v>
      </c>
      <c r="K7" s="14">
        <v>1</v>
      </c>
      <c r="L7" s="14">
        <v>158</v>
      </c>
      <c r="M7" s="14">
        <v>158</v>
      </c>
      <c r="N7" s="14">
        <v>25</v>
      </c>
      <c r="O7" s="14">
        <f>W7+X7</f>
        <v>16</v>
      </c>
      <c r="P7" s="14">
        <v>7227</v>
      </c>
      <c r="Q7" s="14">
        <v>8</v>
      </c>
      <c r="R7" s="14"/>
      <c r="S7" s="14">
        <v>475</v>
      </c>
      <c r="T7" s="14">
        <v>1</v>
      </c>
      <c r="U7" s="14">
        <v>158</v>
      </c>
      <c r="V7" s="14"/>
      <c r="W7" s="14">
        <v>2</v>
      </c>
      <c r="X7" s="14">
        <v>14</v>
      </c>
    </row>
    <row r="8" spans="2:24">
      <c r="B8" s="12" t="s">
        <v>439</v>
      </c>
      <c r="C8" s="13" t="s">
        <v>322</v>
      </c>
      <c r="D8" s="13">
        <f>D7+1</f>
        <v>2</v>
      </c>
      <c r="E8" s="14">
        <f t="shared" ref="E8:E71" si="0">SUM(F8:Q8)</f>
        <v>1106972</v>
      </c>
      <c r="F8" s="14">
        <v>980660</v>
      </c>
      <c r="G8" s="14">
        <v>117918</v>
      </c>
      <c r="H8" s="14">
        <v>7616</v>
      </c>
      <c r="I8" s="14">
        <v>778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f t="shared" ref="O8:O58" si="1">W8+X8</f>
        <v>0</v>
      </c>
      <c r="P8" s="14">
        <v>0</v>
      </c>
      <c r="Q8" s="14">
        <v>0</v>
      </c>
      <c r="R8" s="14"/>
      <c r="S8" s="14">
        <v>0</v>
      </c>
      <c r="T8" s="14">
        <v>0</v>
      </c>
      <c r="U8" s="14">
        <v>0</v>
      </c>
      <c r="V8" s="14"/>
      <c r="W8" s="14">
        <v>0</v>
      </c>
      <c r="X8" s="14">
        <v>0</v>
      </c>
    </row>
    <row r="9" spans="2:24">
      <c r="B9" s="12" t="s">
        <v>440</v>
      </c>
      <c r="C9" s="13" t="s">
        <v>323</v>
      </c>
      <c r="D9" s="13">
        <f t="shared" ref="D9:D72" si="2">D8+1</f>
        <v>3</v>
      </c>
      <c r="E9" s="14">
        <f t="shared" si="0"/>
        <v>25302937.027326714</v>
      </c>
      <c r="F9" s="14">
        <v>21775683.003815174</v>
      </c>
      <c r="G9" s="14">
        <v>2606606.821129892</v>
      </c>
      <c r="H9" s="14">
        <v>216906.71686354594</v>
      </c>
      <c r="I9" s="14">
        <v>121483.56323524928</v>
      </c>
      <c r="J9" s="14">
        <v>42408.004722189718</v>
      </c>
      <c r="K9" s="14">
        <v>16.75537372639668</v>
      </c>
      <c r="L9" s="14">
        <v>5567.961830232286</v>
      </c>
      <c r="M9" s="14">
        <v>78494.339012835961</v>
      </c>
      <c r="N9" s="14">
        <v>47853.400905634764</v>
      </c>
      <c r="O9" s="14">
        <f t="shared" si="1"/>
        <v>302986.52947190317</v>
      </c>
      <c r="P9" s="14">
        <v>104905.13428470223</v>
      </c>
      <c r="Q9" s="14">
        <v>24.796681627020366</v>
      </c>
      <c r="R9" s="14"/>
      <c r="S9" s="14">
        <v>42408.004722189718</v>
      </c>
      <c r="T9" s="14">
        <v>16.75537372639668</v>
      </c>
      <c r="U9" s="14">
        <v>5567.961830232286</v>
      </c>
      <c r="V9" s="14"/>
      <c r="W9" s="14">
        <v>15058.300807760153</v>
      </c>
      <c r="X9" s="14">
        <v>287928.22866414301</v>
      </c>
    </row>
    <row r="10" spans="2:24">
      <c r="B10" s="12" t="s">
        <v>441</v>
      </c>
      <c r="C10" s="13" t="s">
        <v>324</v>
      </c>
      <c r="D10" s="13">
        <f t="shared" si="2"/>
        <v>4</v>
      </c>
      <c r="E10" s="14">
        <f t="shared" si="0"/>
        <v>1137948</v>
      </c>
      <c r="F10" s="14">
        <v>999962</v>
      </c>
      <c r="G10" s="14">
        <v>128234</v>
      </c>
      <c r="H10" s="14">
        <v>7993</v>
      </c>
      <c r="I10" s="14">
        <v>815</v>
      </c>
      <c r="J10" s="14">
        <v>494</v>
      </c>
      <c r="K10" s="14">
        <v>1</v>
      </c>
      <c r="L10" s="14">
        <v>164</v>
      </c>
      <c r="M10" s="14">
        <v>190</v>
      </c>
      <c r="N10" s="14">
        <v>37</v>
      </c>
      <c r="O10" s="14">
        <f t="shared" si="1"/>
        <v>49</v>
      </c>
      <c r="P10" s="14">
        <v>0</v>
      </c>
      <c r="Q10" s="14">
        <v>9</v>
      </c>
      <c r="R10" s="14"/>
      <c r="S10" s="14">
        <v>494</v>
      </c>
      <c r="T10" s="14">
        <v>1</v>
      </c>
      <c r="U10" s="14">
        <v>164</v>
      </c>
      <c r="V10" s="14"/>
      <c r="W10" s="14">
        <v>2</v>
      </c>
      <c r="X10" s="14">
        <v>47</v>
      </c>
    </row>
    <row r="11" spans="2:24">
      <c r="B11" s="12" t="s">
        <v>442</v>
      </c>
      <c r="C11" s="13" t="s">
        <v>325</v>
      </c>
      <c r="D11" s="13">
        <f t="shared" si="2"/>
        <v>5</v>
      </c>
      <c r="E11" s="14">
        <f t="shared" si="0"/>
        <v>1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1</v>
      </c>
      <c r="N11" s="14">
        <v>0</v>
      </c>
      <c r="O11" s="14">
        <f t="shared" si="1"/>
        <v>0</v>
      </c>
      <c r="P11" s="14">
        <v>0</v>
      </c>
      <c r="Q11" s="14">
        <v>0</v>
      </c>
      <c r="R11" s="14"/>
      <c r="S11" s="14">
        <v>0</v>
      </c>
      <c r="T11" s="14">
        <v>0</v>
      </c>
      <c r="U11" s="14">
        <v>0</v>
      </c>
      <c r="V11" s="14"/>
      <c r="W11" s="14">
        <v>0</v>
      </c>
      <c r="X11" s="14">
        <v>0</v>
      </c>
    </row>
    <row r="12" spans="2:24">
      <c r="B12" s="12" t="s">
        <v>443</v>
      </c>
      <c r="C12" s="13" t="s">
        <v>326</v>
      </c>
      <c r="D12" s="13">
        <f t="shared" si="2"/>
        <v>6</v>
      </c>
      <c r="E12" s="14">
        <f t="shared" si="0"/>
        <v>18752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f t="shared" si="1"/>
        <v>18752</v>
      </c>
      <c r="P12" s="14">
        <v>0</v>
      </c>
      <c r="Q12" s="14">
        <v>0</v>
      </c>
      <c r="R12" s="14"/>
      <c r="S12" s="14">
        <v>0</v>
      </c>
      <c r="T12" s="14">
        <v>0</v>
      </c>
      <c r="U12" s="14">
        <v>0</v>
      </c>
      <c r="V12" s="14"/>
      <c r="W12" s="14">
        <v>259792</v>
      </c>
      <c r="X12" s="14">
        <v>-241040</v>
      </c>
    </row>
    <row r="13" spans="2:24">
      <c r="B13" s="12" t="s">
        <v>444</v>
      </c>
      <c r="C13" s="13" t="s">
        <v>327</v>
      </c>
      <c r="D13" s="13">
        <f t="shared" si="2"/>
        <v>7</v>
      </c>
      <c r="E13" s="14">
        <f t="shared" si="0"/>
        <v>7494527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f t="shared" si="1"/>
        <v>7494527</v>
      </c>
      <c r="P13" s="14">
        <v>0</v>
      </c>
      <c r="Q13" s="14">
        <v>0</v>
      </c>
      <c r="R13" s="14"/>
      <c r="S13" s="14">
        <v>0</v>
      </c>
      <c r="T13" s="14">
        <v>0</v>
      </c>
      <c r="U13" s="14">
        <v>0</v>
      </c>
      <c r="V13" s="14"/>
      <c r="W13" s="14">
        <v>339573</v>
      </c>
      <c r="X13" s="14">
        <v>7154954</v>
      </c>
    </row>
    <row r="14" spans="2:24">
      <c r="B14" s="12" t="s">
        <v>445</v>
      </c>
      <c r="C14" s="13" t="s">
        <v>328</v>
      </c>
      <c r="D14" s="13">
        <f t="shared" si="2"/>
        <v>8</v>
      </c>
      <c r="E14" s="14">
        <f t="shared" si="0"/>
        <v>1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f t="shared" si="1"/>
        <v>0</v>
      </c>
      <c r="P14" s="14">
        <v>0</v>
      </c>
      <c r="Q14" s="14">
        <v>1</v>
      </c>
      <c r="R14" s="14"/>
      <c r="S14" s="14">
        <v>0</v>
      </c>
      <c r="T14" s="14">
        <v>0</v>
      </c>
      <c r="U14" s="14">
        <v>0</v>
      </c>
      <c r="V14" s="14"/>
      <c r="W14" s="14">
        <v>0</v>
      </c>
      <c r="X14" s="14">
        <v>0</v>
      </c>
    </row>
    <row r="15" spans="2:24">
      <c r="B15" s="12" t="s">
        <v>110</v>
      </c>
      <c r="C15" s="13" t="s">
        <v>329</v>
      </c>
      <c r="D15" s="13">
        <f t="shared" si="2"/>
        <v>9</v>
      </c>
      <c r="E15" s="14">
        <f t="shared" si="0"/>
        <v>-30322648.739999998</v>
      </c>
      <c r="F15" s="14">
        <v>-26452302.719999999</v>
      </c>
      <c r="G15" s="14">
        <v>-2326458.21</v>
      </c>
      <c r="H15" s="14">
        <v>-1018782.5900000001</v>
      </c>
      <c r="I15" s="14">
        <v>-449649.14</v>
      </c>
      <c r="J15" s="14">
        <v>-37392.75</v>
      </c>
      <c r="K15" s="14">
        <v>0</v>
      </c>
      <c r="L15" s="14">
        <v>0</v>
      </c>
      <c r="M15" s="14">
        <v>-376</v>
      </c>
      <c r="N15" s="14">
        <v>0</v>
      </c>
      <c r="O15" s="14">
        <f t="shared" si="1"/>
        <v>0</v>
      </c>
      <c r="P15" s="14">
        <v>-37687.33</v>
      </c>
      <c r="Q15" s="14">
        <v>0</v>
      </c>
      <c r="R15" s="14"/>
      <c r="S15" s="14">
        <v>-37392.75</v>
      </c>
      <c r="T15" s="14">
        <v>0</v>
      </c>
      <c r="U15" s="14">
        <v>0</v>
      </c>
      <c r="V15" s="14"/>
      <c r="W15" s="14">
        <v>0</v>
      </c>
      <c r="X15" s="14">
        <v>0</v>
      </c>
    </row>
    <row r="16" spans="2:24">
      <c r="B16" s="12" t="s">
        <v>112</v>
      </c>
      <c r="C16" s="15" t="s">
        <v>330</v>
      </c>
      <c r="D16" s="13">
        <f t="shared" si="2"/>
        <v>10</v>
      </c>
      <c r="E16" s="14">
        <f t="shared" si="0"/>
        <v>-54720677.887500003</v>
      </c>
      <c r="F16" s="14">
        <v>-21173102.935833331</v>
      </c>
      <c r="G16" s="14">
        <v>-31313866.958082631</v>
      </c>
      <c r="H16" s="14">
        <v>-2025260.4454428728</v>
      </c>
      <c r="I16" s="14">
        <v>-208447.54814116366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f t="shared" si="1"/>
        <v>0</v>
      </c>
      <c r="P16" s="14">
        <v>0</v>
      </c>
      <c r="Q16" s="14">
        <v>0</v>
      </c>
      <c r="R16" s="14"/>
      <c r="S16" s="14">
        <v>0</v>
      </c>
      <c r="T16" s="14">
        <v>0</v>
      </c>
      <c r="U16" s="14">
        <v>0</v>
      </c>
      <c r="V16" s="14"/>
      <c r="W16" s="14">
        <v>0</v>
      </c>
      <c r="X16" s="14">
        <v>0</v>
      </c>
    </row>
    <row r="17" spans="2:24">
      <c r="B17" s="12" t="s">
        <v>446</v>
      </c>
      <c r="C17" s="13" t="s">
        <v>331</v>
      </c>
      <c r="D17" s="13">
        <f t="shared" si="2"/>
        <v>11</v>
      </c>
      <c r="E17" s="14">
        <f t="shared" si="0"/>
        <v>3221790.9</v>
      </c>
      <c r="F17" s="14">
        <v>0</v>
      </c>
      <c r="G17" s="14">
        <v>0</v>
      </c>
      <c r="H17" s="14">
        <v>0</v>
      </c>
      <c r="I17" s="14">
        <v>0</v>
      </c>
      <c r="J17" s="14">
        <v>813608.53999999992</v>
      </c>
      <c r="K17" s="14">
        <v>0</v>
      </c>
      <c r="L17" s="14">
        <v>47249.630000000005</v>
      </c>
      <c r="M17" s="14">
        <v>2341535.54</v>
      </c>
      <c r="N17" s="14">
        <v>0</v>
      </c>
      <c r="O17" s="14">
        <f t="shared" si="1"/>
        <v>0</v>
      </c>
      <c r="P17" s="14">
        <v>0</v>
      </c>
      <c r="Q17" s="14">
        <v>19397.189999999999</v>
      </c>
      <c r="R17" s="14"/>
      <c r="S17" s="14">
        <v>813608.53999999992</v>
      </c>
      <c r="T17" s="14">
        <v>0</v>
      </c>
      <c r="U17" s="14">
        <v>47249.630000000005</v>
      </c>
      <c r="V17" s="14"/>
      <c r="W17" s="14">
        <v>0</v>
      </c>
      <c r="X17" s="14">
        <v>0</v>
      </c>
    </row>
    <row r="18" spans="2:24">
      <c r="B18" s="12" t="s">
        <v>447</v>
      </c>
      <c r="C18" s="13" t="s">
        <v>332</v>
      </c>
      <c r="D18" s="13">
        <f t="shared" si="2"/>
        <v>12</v>
      </c>
      <c r="E18" s="14">
        <f t="shared" si="0"/>
        <v>1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f t="shared" si="1"/>
        <v>0</v>
      </c>
      <c r="P18" s="14">
        <v>1</v>
      </c>
      <c r="Q18" s="14">
        <v>0</v>
      </c>
      <c r="R18" s="14"/>
      <c r="S18" s="14">
        <v>0</v>
      </c>
      <c r="T18" s="14">
        <v>0</v>
      </c>
      <c r="U18" s="14">
        <v>0</v>
      </c>
      <c r="V18" s="14"/>
      <c r="W18" s="14">
        <v>0</v>
      </c>
      <c r="X18" s="14">
        <v>0</v>
      </c>
    </row>
    <row r="19" spans="2:24">
      <c r="B19" s="12" t="s">
        <v>448</v>
      </c>
      <c r="C19" s="13" t="s">
        <v>333</v>
      </c>
      <c r="D19" s="13">
        <f t="shared" si="2"/>
        <v>13</v>
      </c>
      <c r="E19" s="14">
        <f t="shared" si="0"/>
        <v>2848786.98</v>
      </c>
      <c r="F19" s="14">
        <v>2235979.81</v>
      </c>
      <c r="G19" s="14">
        <v>365876.75000000017</v>
      </c>
      <c r="H19" s="14">
        <v>86999.130000000019</v>
      </c>
      <c r="I19" s="14">
        <v>29142.55</v>
      </c>
      <c r="J19" s="14">
        <v>39987.639999999992</v>
      </c>
      <c r="K19" s="14">
        <v>0</v>
      </c>
      <c r="L19" s="14">
        <v>7387.39</v>
      </c>
      <c r="M19" s="14">
        <v>-475.21999999999991</v>
      </c>
      <c r="N19" s="14">
        <v>9912.07</v>
      </c>
      <c r="O19" s="14">
        <f t="shared" si="1"/>
        <v>-16.84</v>
      </c>
      <c r="P19" s="14">
        <v>73933.81</v>
      </c>
      <c r="Q19" s="14">
        <v>59.89</v>
      </c>
      <c r="R19" s="14"/>
      <c r="S19" s="14">
        <v>39987.639999999992</v>
      </c>
      <c r="T19" s="14">
        <v>0</v>
      </c>
      <c r="U19" s="14">
        <v>7387.39</v>
      </c>
      <c r="V19" s="14"/>
      <c r="W19" s="14">
        <v>0</v>
      </c>
      <c r="X19" s="14">
        <v>-16.84</v>
      </c>
    </row>
    <row r="20" spans="2:24">
      <c r="B20" s="12" t="s">
        <v>449</v>
      </c>
      <c r="C20" s="13" t="s">
        <v>334</v>
      </c>
      <c r="D20" s="13">
        <f t="shared" si="2"/>
        <v>14</v>
      </c>
      <c r="E20" s="14">
        <f t="shared" si="0"/>
        <v>301500.40999999992</v>
      </c>
      <c r="F20" s="14">
        <v>291301.34999999998</v>
      </c>
      <c r="G20" s="14">
        <v>10080.040000000001</v>
      </c>
      <c r="H20" s="14">
        <v>40.159999999999997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f t="shared" si="1"/>
        <v>0</v>
      </c>
      <c r="P20" s="14">
        <v>78.86</v>
      </c>
      <c r="Q20" s="14">
        <v>0</v>
      </c>
      <c r="R20" s="14"/>
      <c r="S20" s="14">
        <v>0</v>
      </c>
      <c r="T20" s="14">
        <v>0</v>
      </c>
      <c r="U20" s="14">
        <v>0</v>
      </c>
      <c r="V20" s="14"/>
      <c r="W20" s="14">
        <v>0</v>
      </c>
      <c r="X20" s="14">
        <v>0</v>
      </c>
    </row>
    <row r="21" spans="2:24">
      <c r="B21" s="12" t="s">
        <v>450</v>
      </c>
      <c r="C21" s="13" t="s">
        <v>335</v>
      </c>
      <c r="D21" s="13">
        <f t="shared" si="2"/>
        <v>15</v>
      </c>
      <c r="E21" s="14">
        <f t="shared" si="0"/>
        <v>1376036.6900000004</v>
      </c>
      <c r="F21" s="14">
        <v>1342833.9800000002</v>
      </c>
      <c r="G21" s="14">
        <v>32624.380000000005</v>
      </c>
      <c r="H21" s="14">
        <v>578.33000000000004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f t="shared" si="1"/>
        <v>0</v>
      </c>
      <c r="P21" s="14">
        <v>0</v>
      </c>
      <c r="Q21" s="14">
        <v>0</v>
      </c>
      <c r="R21" s="14"/>
      <c r="S21" s="14">
        <v>0</v>
      </c>
      <c r="T21" s="14">
        <v>0</v>
      </c>
      <c r="U21" s="14">
        <v>0</v>
      </c>
      <c r="V21" s="14"/>
      <c r="W21" s="14">
        <v>0</v>
      </c>
      <c r="X21" s="14">
        <v>0</v>
      </c>
    </row>
    <row r="22" spans="2:24">
      <c r="B22" s="12" t="s">
        <v>451</v>
      </c>
      <c r="C22" s="13" t="s">
        <v>336</v>
      </c>
      <c r="D22" s="13">
        <f t="shared" si="2"/>
        <v>16</v>
      </c>
      <c r="E22" s="14">
        <f t="shared" si="0"/>
        <v>1532384.3199999998</v>
      </c>
      <c r="F22" s="14">
        <v>1403494.0699999996</v>
      </c>
      <c r="G22" s="14">
        <v>125187.51000000001</v>
      </c>
      <c r="H22" s="14">
        <v>3056.099999999999</v>
      </c>
      <c r="I22" s="14">
        <v>398.09999999999997</v>
      </c>
      <c r="J22" s="14">
        <v>87.2</v>
      </c>
      <c r="K22" s="14">
        <v>0</v>
      </c>
      <c r="L22" s="14">
        <v>6.51</v>
      </c>
      <c r="M22" s="14">
        <v>148.72999999999999</v>
      </c>
      <c r="N22" s="14">
        <v>6.1</v>
      </c>
      <c r="O22" s="14">
        <f t="shared" si="1"/>
        <v>0</v>
      </c>
      <c r="P22" s="14">
        <v>0</v>
      </c>
      <c r="Q22" s="14">
        <v>0</v>
      </c>
      <c r="R22" s="14"/>
      <c r="S22" s="14">
        <v>87.2</v>
      </c>
      <c r="T22" s="14">
        <v>0</v>
      </c>
      <c r="U22" s="14">
        <v>6.51</v>
      </c>
      <c r="V22" s="14"/>
      <c r="W22" s="14">
        <v>0</v>
      </c>
      <c r="X22" s="14">
        <v>0</v>
      </c>
    </row>
    <row r="23" spans="2:24">
      <c r="B23" s="12" t="s">
        <v>452</v>
      </c>
      <c r="C23" s="13" t="s">
        <v>337</v>
      </c>
      <c r="D23" s="13">
        <f t="shared" si="2"/>
        <v>17</v>
      </c>
      <c r="E23" s="14">
        <f t="shared" si="0"/>
        <v>980.69999999999982</v>
      </c>
      <c r="F23" s="14">
        <v>-871.72000000000025</v>
      </c>
      <c r="G23" s="14">
        <v>1922.38</v>
      </c>
      <c r="H23" s="14">
        <v>-52.959999999999994</v>
      </c>
      <c r="I23" s="14">
        <v>-17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f t="shared" si="1"/>
        <v>0</v>
      </c>
      <c r="P23" s="14">
        <v>0</v>
      </c>
      <c r="Q23" s="14">
        <v>0</v>
      </c>
      <c r="R23" s="14"/>
      <c r="S23" s="14">
        <v>0</v>
      </c>
      <c r="T23" s="14">
        <v>0</v>
      </c>
      <c r="U23" s="14">
        <v>0</v>
      </c>
      <c r="V23" s="14"/>
      <c r="W23" s="14">
        <v>0</v>
      </c>
      <c r="X23" s="14">
        <v>0</v>
      </c>
    </row>
    <row r="24" spans="2:24">
      <c r="B24" s="12" t="s">
        <v>453</v>
      </c>
      <c r="C24" s="13" t="s">
        <v>338</v>
      </c>
      <c r="D24" s="13">
        <f t="shared" si="2"/>
        <v>18</v>
      </c>
      <c r="E24" s="14">
        <f t="shared" si="0"/>
        <v>1247308.1208836439</v>
      </c>
      <c r="F24" s="14">
        <v>1109044.7117056099</v>
      </c>
      <c r="G24" s="14">
        <v>88251.373678375225</v>
      </c>
      <c r="H24" s="14">
        <v>27420.671695450379</v>
      </c>
      <c r="I24" s="14">
        <v>19431.316323957533</v>
      </c>
      <c r="J24" s="14">
        <v>128.35130925331777</v>
      </c>
      <c r="K24" s="14">
        <v>0</v>
      </c>
      <c r="L24" s="14">
        <v>0</v>
      </c>
      <c r="M24" s="14">
        <v>0</v>
      </c>
      <c r="N24" s="14">
        <v>0</v>
      </c>
      <c r="O24" s="14">
        <f t="shared" si="1"/>
        <v>0</v>
      </c>
      <c r="P24" s="14">
        <v>3031.6961709974385</v>
      </c>
      <c r="Q24" s="14">
        <v>0</v>
      </c>
      <c r="R24" s="14"/>
      <c r="S24" s="14">
        <v>128.35130925331777</v>
      </c>
      <c r="T24" s="14">
        <v>0</v>
      </c>
      <c r="U24" s="14">
        <v>0</v>
      </c>
      <c r="V24" s="14"/>
      <c r="W24" s="14">
        <v>0</v>
      </c>
      <c r="X24" s="14">
        <v>0</v>
      </c>
    </row>
    <row r="25" spans="2:24">
      <c r="B25" s="12" t="s">
        <v>454</v>
      </c>
      <c r="C25" s="13" t="s">
        <v>339</v>
      </c>
      <c r="D25" s="13">
        <f t="shared" si="2"/>
        <v>19</v>
      </c>
      <c r="E25" s="14">
        <f t="shared" si="0"/>
        <v>173542936</v>
      </c>
      <c r="F25" s="14">
        <v>112832556</v>
      </c>
      <c r="G25" s="14">
        <v>31972604.787878789</v>
      </c>
      <c r="H25" s="14">
        <v>8684715.833333334</v>
      </c>
      <c r="I25" s="14">
        <v>983431</v>
      </c>
      <c r="J25" s="14">
        <v>12204754</v>
      </c>
      <c r="K25" s="14">
        <v>28682</v>
      </c>
      <c r="L25" s="14">
        <v>4265921</v>
      </c>
      <c r="M25" s="14">
        <v>1032350.3787878788</v>
      </c>
      <c r="N25" s="14">
        <v>534206</v>
      </c>
      <c r="O25" s="14">
        <f t="shared" si="1"/>
        <v>750194.00000000012</v>
      </c>
      <c r="P25" s="14">
        <v>0</v>
      </c>
      <c r="Q25" s="14">
        <v>253521</v>
      </c>
      <c r="R25" s="14"/>
      <c r="S25" s="14">
        <v>12204754</v>
      </c>
      <c r="T25" s="14">
        <v>28682</v>
      </c>
      <c r="U25" s="14">
        <v>4265921</v>
      </c>
      <c r="V25" s="14"/>
      <c r="W25" s="14">
        <v>30620.163265306124</v>
      </c>
      <c r="X25" s="14">
        <v>719573.83673469396</v>
      </c>
    </row>
    <row r="26" spans="2:24">
      <c r="B26" s="12" t="s">
        <v>455</v>
      </c>
      <c r="C26" s="13" t="s">
        <v>340</v>
      </c>
      <c r="D26" s="13">
        <f t="shared" si="2"/>
        <v>20</v>
      </c>
      <c r="E26" s="14">
        <f t="shared" si="0"/>
        <v>403017</v>
      </c>
      <c r="F26" s="14">
        <v>349601</v>
      </c>
      <c r="G26" s="14">
        <v>51562</v>
      </c>
      <c r="H26" s="14">
        <v>1826</v>
      </c>
      <c r="I26" s="14">
        <v>28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f t="shared" si="1"/>
        <v>0</v>
      </c>
      <c r="P26" s="14">
        <v>0</v>
      </c>
      <c r="Q26" s="14">
        <v>0</v>
      </c>
      <c r="R26" s="14"/>
      <c r="S26" s="14">
        <v>0</v>
      </c>
      <c r="T26" s="14">
        <v>0</v>
      </c>
      <c r="U26" s="14">
        <v>0</v>
      </c>
      <c r="V26" s="14"/>
      <c r="W26" s="14">
        <v>0</v>
      </c>
      <c r="X26" s="14">
        <v>0</v>
      </c>
    </row>
    <row r="27" spans="2:24">
      <c r="B27" s="12" t="s">
        <v>456</v>
      </c>
      <c r="C27" s="13" t="s">
        <v>341</v>
      </c>
      <c r="D27" s="13">
        <f t="shared" si="2"/>
        <v>21</v>
      </c>
      <c r="E27" s="14">
        <f t="shared" si="0"/>
        <v>404799745.95307964</v>
      </c>
      <c r="F27" s="14">
        <v>295642644.14069372</v>
      </c>
      <c r="G27" s="14">
        <v>46340552.898913719</v>
      </c>
      <c r="H27" s="14">
        <v>5943198.0976538872</v>
      </c>
      <c r="I27" s="14">
        <v>75445.980448461574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f t="shared" si="1"/>
        <v>0</v>
      </c>
      <c r="P27" s="14">
        <v>56797904.835369848</v>
      </c>
      <c r="Q27" s="14">
        <v>0</v>
      </c>
      <c r="R27" s="14"/>
      <c r="S27" s="14">
        <v>0</v>
      </c>
      <c r="T27" s="14">
        <v>0</v>
      </c>
      <c r="U27" s="14">
        <v>0</v>
      </c>
      <c r="V27" s="14"/>
      <c r="W27" s="14">
        <v>0</v>
      </c>
      <c r="X27" s="14">
        <v>0</v>
      </c>
    </row>
    <row r="28" spans="2:24">
      <c r="B28" s="12" t="s">
        <v>457</v>
      </c>
      <c r="C28" s="13" t="s">
        <v>342</v>
      </c>
      <c r="D28" s="13">
        <f t="shared" si="2"/>
        <v>22</v>
      </c>
      <c r="E28" s="14">
        <f t="shared" si="0"/>
        <v>1963503474.129941</v>
      </c>
      <c r="F28" s="14">
        <v>1066627454</v>
      </c>
      <c r="G28" s="14">
        <v>266944271</v>
      </c>
      <c r="H28" s="14">
        <v>252922820</v>
      </c>
      <c r="I28" s="14">
        <v>151834735</v>
      </c>
      <c r="J28" s="14">
        <v>101394675</v>
      </c>
      <c r="K28" s="14">
        <v>248214</v>
      </c>
      <c r="L28" s="14">
        <v>10337826</v>
      </c>
      <c r="M28" s="14">
        <v>47836622.129941091</v>
      </c>
      <c r="N28" s="14">
        <v>40360092</v>
      </c>
      <c r="O28" s="14">
        <f t="shared" si="1"/>
        <v>7513279</v>
      </c>
      <c r="P28" s="14">
        <v>17167097</v>
      </c>
      <c r="Q28" s="14">
        <v>316389</v>
      </c>
      <c r="R28" s="14"/>
      <c r="S28" s="14">
        <v>101394675</v>
      </c>
      <c r="T28" s="14">
        <v>248214</v>
      </c>
      <c r="U28" s="14">
        <v>10337826</v>
      </c>
      <c r="V28" s="14"/>
      <c r="W28" s="14">
        <v>0</v>
      </c>
      <c r="X28" s="14">
        <v>7513279</v>
      </c>
    </row>
    <row r="29" spans="2:24">
      <c r="B29" s="12" t="s">
        <v>458</v>
      </c>
      <c r="C29" s="13" t="s">
        <v>343</v>
      </c>
      <c r="D29" s="13">
        <f t="shared" si="2"/>
        <v>23</v>
      </c>
      <c r="E29" s="14">
        <f t="shared" si="0"/>
        <v>1955673806.129941</v>
      </c>
      <c r="F29" s="14">
        <v>1066627454</v>
      </c>
      <c r="G29" s="14">
        <v>266944271</v>
      </c>
      <c r="H29" s="14">
        <v>252922820</v>
      </c>
      <c r="I29" s="14">
        <v>151834735</v>
      </c>
      <c r="J29" s="14">
        <v>101394675</v>
      </c>
      <c r="K29" s="14">
        <v>248214</v>
      </c>
      <c r="L29" s="14">
        <v>10337826</v>
      </c>
      <c r="M29" s="14">
        <v>47836622.129941091</v>
      </c>
      <c r="N29" s="14">
        <v>40360092</v>
      </c>
      <c r="O29" s="14">
        <f t="shared" si="1"/>
        <v>0</v>
      </c>
      <c r="P29" s="14">
        <v>17167097</v>
      </c>
      <c r="Q29" s="14">
        <v>0</v>
      </c>
      <c r="R29" s="14"/>
      <c r="S29" s="14">
        <v>101394675</v>
      </c>
      <c r="T29" s="14">
        <v>248214</v>
      </c>
      <c r="U29" s="14">
        <v>10337826</v>
      </c>
      <c r="V29" s="14"/>
      <c r="W29" s="14">
        <v>0</v>
      </c>
      <c r="X29" s="14">
        <v>0</v>
      </c>
    </row>
    <row r="30" spans="2:24">
      <c r="B30" s="12" t="s">
        <v>459</v>
      </c>
      <c r="C30" s="13" t="s">
        <v>344</v>
      </c>
      <c r="D30" s="13">
        <f t="shared" si="2"/>
        <v>24</v>
      </c>
      <c r="E30" s="14">
        <f t="shared" si="0"/>
        <v>1</v>
      </c>
      <c r="F30" s="14">
        <v>1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f t="shared" si="1"/>
        <v>0</v>
      </c>
      <c r="P30" s="14">
        <v>0</v>
      </c>
      <c r="Q30" s="14">
        <v>0</v>
      </c>
      <c r="R30" s="14"/>
      <c r="S30" s="14">
        <v>0</v>
      </c>
      <c r="T30" s="14">
        <v>0</v>
      </c>
      <c r="U30" s="14">
        <v>0</v>
      </c>
      <c r="V30" s="14"/>
      <c r="W30" s="14">
        <v>0</v>
      </c>
      <c r="X30" s="14">
        <v>0</v>
      </c>
    </row>
    <row r="31" spans="2:24">
      <c r="B31" s="12" t="s">
        <v>460</v>
      </c>
      <c r="C31" s="13" t="s">
        <v>345</v>
      </c>
      <c r="D31" s="13">
        <f t="shared" si="2"/>
        <v>25</v>
      </c>
      <c r="E31" s="14">
        <f t="shared" si="0"/>
        <v>491404408.74264705</v>
      </c>
      <c r="F31" s="14">
        <v>361443716.53278774</v>
      </c>
      <c r="G31" s="14">
        <v>71223270.920080781</v>
      </c>
      <c r="H31" s="14">
        <v>43117510.157735966</v>
      </c>
      <c r="I31" s="14">
        <v>14458390.062042588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f t="shared" si="1"/>
        <v>0</v>
      </c>
      <c r="P31" s="14">
        <v>1132486.0600000008</v>
      </c>
      <c r="Q31" s="14">
        <v>29035.010000000002</v>
      </c>
      <c r="R31" s="14"/>
      <c r="S31" s="14">
        <v>0</v>
      </c>
      <c r="T31" s="14">
        <v>0</v>
      </c>
      <c r="U31" s="14">
        <v>0</v>
      </c>
      <c r="V31" s="14"/>
      <c r="W31" s="14">
        <v>0</v>
      </c>
      <c r="X31" s="14">
        <v>0</v>
      </c>
    </row>
    <row r="32" spans="2:24">
      <c r="B32" s="12" t="s">
        <v>461</v>
      </c>
      <c r="C32" s="13" t="s">
        <v>346</v>
      </c>
      <c r="D32" s="13">
        <f t="shared" si="2"/>
        <v>26</v>
      </c>
      <c r="E32" s="14">
        <f t="shared" si="0"/>
        <v>4147590.7055583242</v>
      </c>
      <c r="F32" s="14">
        <v>2449337.0233694115</v>
      </c>
      <c r="G32" s="14">
        <v>452185.59957767127</v>
      </c>
      <c r="H32" s="14">
        <v>407742.38404954295</v>
      </c>
      <c r="I32" s="14">
        <v>238328.87931575972</v>
      </c>
      <c r="J32" s="14">
        <v>160009.09787502696</v>
      </c>
      <c r="K32" s="14">
        <v>4.2699602406555197</v>
      </c>
      <c r="L32" s="14">
        <v>26944.35931570884</v>
      </c>
      <c r="M32" s="14">
        <v>87032.883781565266</v>
      </c>
      <c r="N32" s="14">
        <v>71371.975379274751</v>
      </c>
      <c r="O32" s="14">
        <f t="shared" si="1"/>
        <v>239990.70555832356</v>
      </c>
      <c r="P32" s="14">
        <v>13181.805734309255</v>
      </c>
      <c r="Q32" s="14">
        <v>1461.7216414892087</v>
      </c>
      <c r="R32" s="14"/>
      <c r="S32" s="14">
        <v>160009.09787502696</v>
      </c>
      <c r="T32" s="14">
        <v>4.2699602406555197</v>
      </c>
      <c r="U32" s="14">
        <v>26944.35931570884</v>
      </c>
      <c r="V32" s="14"/>
      <c r="W32" s="14">
        <v>12060.963921797667</v>
      </c>
      <c r="X32" s="14">
        <v>227929.7416365259</v>
      </c>
    </row>
    <row r="33" spans="2:24">
      <c r="B33" s="12" t="s">
        <v>462</v>
      </c>
      <c r="C33" s="13" t="s">
        <v>347</v>
      </c>
      <c r="D33" s="13">
        <f t="shared" si="2"/>
        <v>27</v>
      </c>
      <c r="E33" s="14">
        <f t="shared" si="0"/>
        <v>4115660.1608276716</v>
      </c>
      <c r="F33" s="14">
        <v>2449337.0233694115</v>
      </c>
      <c r="G33" s="14">
        <v>452185.59957767127</v>
      </c>
      <c r="H33" s="14">
        <v>407742.38404954295</v>
      </c>
      <c r="I33" s="14">
        <v>238328.87931575972</v>
      </c>
      <c r="J33" s="14">
        <v>160009.09787502696</v>
      </c>
      <c r="K33" s="14">
        <v>4.2699602406555197</v>
      </c>
      <c r="L33" s="14">
        <v>0</v>
      </c>
      <c r="M33" s="14">
        <v>87032.883781565266</v>
      </c>
      <c r="N33" s="14">
        <v>66385.789964330965</v>
      </c>
      <c r="O33" s="14">
        <f t="shared" si="1"/>
        <v>239990.70555832356</v>
      </c>
      <c r="P33" s="14">
        <v>13181.805734309255</v>
      </c>
      <c r="Q33" s="14">
        <v>1461.7216414892087</v>
      </c>
      <c r="R33" s="14"/>
      <c r="S33" s="14">
        <v>160009.09787502696</v>
      </c>
      <c r="T33" s="14">
        <v>4.2699602406555197</v>
      </c>
      <c r="U33" s="14">
        <v>0</v>
      </c>
      <c r="V33" s="14"/>
      <c r="W33" s="14">
        <v>12060.963921797667</v>
      </c>
      <c r="X33" s="14">
        <v>227929.7416365259</v>
      </c>
    </row>
    <row r="34" spans="2:24">
      <c r="B34" s="12" t="s">
        <v>463</v>
      </c>
      <c r="C34" s="13" t="s">
        <v>348</v>
      </c>
      <c r="D34" s="13">
        <f t="shared" si="2"/>
        <v>28</v>
      </c>
      <c r="E34" s="14">
        <f t="shared" si="0"/>
        <v>3875669.4552693479</v>
      </c>
      <c r="F34" s="14">
        <v>2449337.0233694115</v>
      </c>
      <c r="G34" s="14">
        <v>452185.59957767127</v>
      </c>
      <c r="H34" s="14">
        <v>407742.38404954295</v>
      </c>
      <c r="I34" s="14">
        <v>238328.87931575972</v>
      </c>
      <c r="J34" s="14">
        <v>160009.09787502696</v>
      </c>
      <c r="K34" s="14">
        <v>4.2699602406555197</v>
      </c>
      <c r="L34" s="14">
        <v>0</v>
      </c>
      <c r="M34" s="14">
        <v>87032.883781565266</v>
      </c>
      <c r="N34" s="14">
        <v>66385.789964330965</v>
      </c>
      <c r="O34" s="14">
        <f t="shared" si="1"/>
        <v>0</v>
      </c>
      <c r="P34" s="14">
        <v>13181.805734309255</v>
      </c>
      <c r="Q34" s="14">
        <v>1461.7216414892087</v>
      </c>
      <c r="R34" s="14"/>
      <c r="S34" s="14">
        <v>160009.09787502696</v>
      </c>
      <c r="T34" s="14">
        <v>4.2699602406555197</v>
      </c>
      <c r="U34" s="14">
        <v>0</v>
      </c>
      <c r="V34" s="14"/>
      <c r="W34" s="14">
        <v>0</v>
      </c>
      <c r="X34" s="14">
        <v>0</v>
      </c>
    </row>
    <row r="35" spans="2:24">
      <c r="B35" s="12" t="s">
        <v>464</v>
      </c>
      <c r="C35" s="13" t="s">
        <v>349</v>
      </c>
      <c r="D35" s="13">
        <f t="shared" si="2"/>
        <v>29</v>
      </c>
      <c r="E35" s="14">
        <f t="shared" si="0"/>
        <v>4184918.5092511764</v>
      </c>
      <c r="F35" s="14">
        <v>2401760.8159533199</v>
      </c>
      <c r="G35" s="14">
        <v>483797.35950569448</v>
      </c>
      <c r="H35" s="14">
        <v>451080.23982046382</v>
      </c>
      <c r="I35" s="14">
        <v>256180.171393383</v>
      </c>
      <c r="J35" s="14">
        <v>175561.10593684699</v>
      </c>
      <c r="K35" s="14">
        <v>4.0419526549894496</v>
      </c>
      <c r="L35" s="14">
        <v>0</v>
      </c>
      <c r="M35" s="14">
        <v>90791.570981487195</v>
      </c>
      <c r="N35" s="14">
        <v>67179.705291231017</v>
      </c>
      <c r="O35" s="14">
        <f t="shared" si="1"/>
        <v>243260.65072504251</v>
      </c>
      <c r="P35" s="14">
        <v>13772.381425311305</v>
      </c>
      <c r="Q35" s="14">
        <v>1530.4662657410647</v>
      </c>
      <c r="R35" s="14"/>
      <c r="S35" s="14">
        <v>175561.10593684699</v>
      </c>
      <c r="T35" s="14">
        <v>4.0419526549894496</v>
      </c>
      <c r="U35" s="14">
        <v>0</v>
      </c>
      <c r="V35" s="14"/>
      <c r="W35" s="14">
        <v>12414.482378834524</v>
      </c>
      <c r="X35" s="14">
        <v>230846.168346208</v>
      </c>
    </row>
    <row r="36" spans="2:24">
      <c r="B36" s="12" t="s">
        <v>465</v>
      </c>
      <c r="C36" s="13" t="s">
        <v>350</v>
      </c>
      <c r="D36" s="13">
        <f t="shared" si="2"/>
        <v>30</v>
      </c>
      <c r="E36" s="14">
        <f t="shared" si="0"/>
        <v>3941657.8585261339</v>
      </c>
      <c r="F36" s="14">
        <v>2401760.8159533199</v>
      </c>
      <c r="G36" s="14">
        <v>483797.35950569448</v>
      </c>
      <c r="H36" s="14">
        <v>451080.23982046382</v>
      </c>
      <c r="I36" s="14">
        <v>256180.171393383</v>
      </c>
      <c r="J36" s="14">
        <v>175561.10593684699</v>
      </c>
      <c r="K36" s="14">
        <v>4.0419526549894496</v>
      </c>
      <c r="L36" s="14">
        <v>0</v>
      </c>
      <c r="M36" s="14">
        <v>90791.570981487195</v>
      </c>
      <c r="N36" s="14">
        <v>67179.705291231017</v>
      </c>
      <c r="O36" s="14">
        <f t="shared" si="1"/>
        <v>0</v>
      </c>
      <c r="P36" s="14">
        <v>13772.381425311305</v>
      </c>
      <c r="Q36" s="14">
        <v>1530.4662657410647</v>
      </c>
      <c r="R36" s="14"/>
      <c r="S36" s="14">
        <v>175561.10593684699</v>
      </c>
      <c r="T36" s="14">
        <v>4.0419526549894496</v>
      </c>
      <c r="U36" s="14">
        <v>0</v>
      </c>
      <c r="V36" s="14"/>
      <c r="W36" s="14">
        <v>0</v>
      </c>
      <c r="X36" s="14">
        <v>0</v>
      </c>
    </row>
    <row r="37" spans="2:24">
      <c r="B37" s="12" t="s">
        <v>466</v>
      </c>
      <c r="C37" s="13" t="s">
        <v>351</v>
      </c>
      <c r="D37" s="13">
        <f t="shared" si="2"/>
        <v>31</v>
      </c>
      <c r="E37" s="14">
        <f t="shared" si="0"/>
        <v>-10782.6924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-10782.6924</v>
      </c>
      <c r="O37" s="14">
        <f t="shared" si="1"/>
        <v>0</v>
      </c>
      <c r="P37" s="14">
        <v>0</v>
      </c>
      <c r="Q37" s="14">
        <v>0</v>
      </c>
      <c r="R37" s="14"/>
      <c r="S37" s="14">
        <v>0</v>
      </c>
      <c r="T37" s="14">
        <v>0</v>
      </c>
      <c r="U37" s="14">
        <v>0</v>
      </c>
      <c r="V37" s="14"/>
      <c r="W37" s="14">
        <v>0</v>
      </c>
      <c r="X37" s="14">
        <v>0</v>
      </c>
    </row>
    <row r="38" spans="2:24">
      <c r="B38" s="12" t="s">
        <v>467</v>
      </c>
      <c r="C38" s="13" t="s">
        <v>352</v>
      </c>
      <c r="D38" s="13">
        <f t="shared" si="2"/>
        <v>32</v>
      </c>
      <c r="E38" s="14">
        <f t="shared" si="0"/>
        <v>-220823.63379989978</v>
      </c>
      <c r="F38" s="14">
        <v>0</v>
      </c>
      <c r="G38" s="14">
        <v>0</v>
      </c>
      <c r="H38" s="14">
        <v>0</v>
      </c>
      <c r="I38" s="14">
        <v>0</v>
      </c>
      <c r="J38" s="14">
        <v>-9600.18</v>
      </c>
      <c r="K38" s="14">
        <v>0</v>
      </c>
      <c r="L38" s="14">
        <v>0</v>
      </c>
      <c r="M38" s="14">
        <v>-74119.409106299776</v>
      </c>
      <c r="N38" s="14">
        <v>-51224.674693600005</v>
      </c>
      <c r="O38" s="14">
        <f t="shared" si="1"/>
        <v>-85879.37</v>
      </c>
      <c r="P38" s="14">
        <v>0</v>
      </c>
      <c r="Q38" s="14">
        <v>0</v>
      </c>
      <c r="R38" s="14"/>
      <c r="S38" s="14">
        <v>-9600.18</v>
      </c>
      <c r="T38" s="14">
        <v>0</v>
      </c>
      <c r="U38" s="14">
        <v>0</v>
      </c>
      <c r="V38" s="14"/>
      <c r="W38" s="14">
        <v>0</v>
      </c>
      <c r="X38" s="14">
        <v>-85879.37</v>
      </c>
    </row>
    <row r="39" spans="2:24">
      <c r="B39" s="12" t="s">
        <v>468</v>
      </c>
      <c r="C39" s="13" t="s">
        <v>353</v>
      </c>
      <c r="D39" s="13">
        <f t="shared" si="2"/>
        <v>33</v>
      </c>
      <c r="E39" s="14">
        <f t="shared" si="0"/>
        <v>-11695665.535143986</v>
      </c>
      <c r="F39" s="14">
        <v>0</v>
      </c>
      <c r="G39" s="14">
        <v>0</v>
      </c>
      <c r="H39" s="14">
        <v>0</v>
      </c>
      <c r="I39" s="14">
        <v>0</v>
      </c>
      <c r="J39" s="14">
        <v>-649747.09400000004</v>
      </c>
      <c r="K39" s="14">
        <v>0</v>
      </c>
      <c r="L39" s="14">
        <v>0</v>
      </c>
      <c r="M39" s="14">
        <v>-3693957.1280391854</v>
      </c>
      <c r="N39" s="14">
        <v>-3946793.8331048009</v>
      </c>
      <c r="O39" s="14">
        <f t="shared" si="1"/>
        <v>-3405167.48</v>
      </c>
      <c r="P39" s="14">
        <v>0</v>
      </c>
      <c r="Q39" s="14">
        <v>0</v>
      </c>
      <c r="R39" s="14"/>
      <c r="S39" s="14">
        <v>-649747.09400000004</v>
      </c>
      <c r="T39" s="14">
        <v>0</v>
      </c>
      <c r="U39" s="14">
        <v>0</v>
      </c>
      <c r="V39" s="14"/>
      <c r="W39" s="14">
        <v>0</v>
      </c>
      <c r="X39" s="14">
        <v>-3405167.48</v>
      </c>
    </row>
    <row r="40" spans="2:24">
      <c r="B40" s="12" t="s">
        <v>469</v>
      </c>
      <c r="C40" s="13" t="s">
        <v>354</v>
      </c>
      <c r="D40" s="13">
        <f t="shared" si="2"/>
        <v>34</v>
      </c>
      <c r="E40" s="14">
        <f t="shared" si="0"/>
        <v>-1499101.6792449784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-1499101.6792449784</v>
      </c>
      <c r="N40" s="14">
        <v>0</v>
      </c>
      <c r="O40" s="14">
        <f t="shared" si="1"/>
        <v>0</v>
      </c>
      <c r="P40" s="14">
        <v>0</v>
      </c>
      <c r="Q40" s="14">
        <v>0</v>
      </c>
      <c r="R40" s="14"/>
      <c r="S40" s="14">
        <v>0</v>
      </c>
      <c r="T40" s="14">
        <v>0</v>
      </c>
      <c r="U40" s="14">
        <v>0</v>
      </c>
      <c r="V40" s="14"/>
      <c r="W40" s="14">
        <v>0</v>
      </c>
      <c r="X40" s="14">
        <v>0</v>
      </c>
    </row>
    <row r="41" spans="2:24">
      <c r="B41" s="12" t="s">
        <v>470</v>
      </c>
      <c r="C41" s="13" t="s">
        <v>355</v>
      </c>
      <c r="D41" s="13">
        <f t="shared" si="2"/>
        <v>35</v>
      </c>
      <c r="E41" s="14">
        <f t="shared" si="0"/>
        <v>-18068917.610241123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-16494305.592241121</v>
      </c>
      <c r="N41" s="14">
        <v>-1574612.0180000002</v>
      </c>
      <c r="O41" s="14">
        <f t="shared" si="1"/>
        <v>0</v>
      </c>
      <c r="P41" s="14">
        <v>0</v>
      </c>
      <c r="Q41" s="14">
        <v>0</v>
      </c>
      <c r="R41" s="14"/>
      <c r="S41" s="14">
        <v>0</v>
      </c>
      <c r="T41" s="14">
        <v>0</v>
      </c>
      <c r="U41" s="14">
        <v>0</v>
      </c>
      <c r="V41" s="14"/>
      <c r="W41" s="14">
        <v>0</v>
      </c>
      <c r="X41" s="14">
        <v>0</v>
      </c>
    </row>
    <row r="42" spans="2:24">
      <c r="B42" s="12" t="s">
        <v>472</v>
      </c>
      <c r="C42" s="13" t="s">
        <v>356</v>
      </c>
      <c r="D42" s="13">
        <f t="shared" si="2"/>
        <v>36</v>
      </c>
      <c r="E42" s="14">
        <f t="shared" si="0"/>
        <v>5346857.3397640157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4604125.9627512153</v>
      </c>
      <c r="N42" s="14">
        <v>742731.37701280008</v>
      </c>
      <c r="O42" s="14">
        <f t="shared" si="1"/>
        <v>0</v>
      </c>
      <c r="P42" s="14">
        <v>0</v>
      </c>
      <c r="Q42" s="14">
        <v>0</v>
      </c>
      <c r="R42" s="14"/>
      <c r="S42" s="14">
        <v>0</v>
      </c>
      <c r="T42" s="14">
        <v>0</v>
      </c>
      <c r="U42" s="14">
        <v>0</v>
      </c>
      <c r="V42" s="14"/>
      <c r="W42" s="14">
        <v>0</v>
      </c>
      <c r="X42" s="14">
        <v>0</v>
      </c>
    </row>
    <row r="43" spans="2:24">
      <c r="B43" s="12" t="s">
        <v>471</v>
      </c>
      <c r="C43" s="13" t="s">
        <v>357</v>
      </c>
      <c r="D43" s="13">
        <f t="shared" si="2"/>
        <v>37</v>
      </c>
      <c r="E43" s="14">
        <f t="shared" si="0"/>
        <v>720950.67220432428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365041.24012752424</v>
      </c>
      <c r="N43" s="14">
        <v>162866.1520768</v>
      </c>
      <c r="O43" s="14">
        <f t="shared" si="1"/>
        <v>193043.28</v>
      </c>
      <c r="P43" s="14">
        <v>0</v>
      </c>
      <c r="Q43" s="14">
        <v>0</v>
      </c>
      <c r="R43" s="14"/>
      <c r="S43" s="14">
        <v>0</v>
      </c>
      <c r="T43" s="14">
        <v>0</v>
      </c>
      <c r="U43" s="14">
        <v>0</v>
      </c>
      <c r="V43" s="14"/>
      <c r="W43" s="14">
        <v>0</v>
      </c>
      <c r="X43" s="14">
        <v>193043.28</v>
      </c>
    </row>
    <row r="44" spans="2:24">
      <c r="B44" s="12" t="s">
        <v>473</v>
      </c>
      <c r="C44" s="13" t="s">
        <v>358</v>
      </c>
      <c r="D44" s="13">
        <f t="shared" si="2"/>
        <v>38</v>
      </c>
      <c r="E44" s="14">
        <f t="shared" si="0"/>
        <v>36623515.68906261</v>
      </c>
      <c r="F44" s="14">
        <v>0</v>
      </c>
      <c r="G44" s="14">
        <v>0</v>
      </c>
      <c r="H44" s="14">
        <v>0</v>
      </c>
      <c r="I44" s="14">
        <v>0</v>
      </c>
      <c r="J44" s="14">
        <v>774254.26600000006</v>
      </c>
      <c r="K44" s="14">
        <v>0</v>
      </c>
      <c r="L44" s="14">
        <v>0</v>
      </c>
      <c r="M44" s="14">
        <v>14726654.160007808</v>
      </c>
      <c r="N44" s="14">
        <v>14438848.538054798</v>
      </c>
      <c r="O44" s="14">
        <f t="shared" si="1"/>
        <v>6683758.7249999996</v>
      </c>
      <c r="P44" s="14">
        <v>0</v>
      </c>
      <c r="Q44" s="14">
        <v>0</v>
      </c>
      <c r="R44" s="14"/>
      <c r="S44" s="14">
        <v>774254.26600000006</v>
      </c>
      <c r="T44" s="14">
        <v>0</v>
      </c>
      <c r="U44" s="14">
        <v>0</v>
      </c>
      <c r="V44" s="14"/>
      <c r="W44" s="14">
        <v>0</v>
      </c>
      <c r="X44" s="14">
        <v>6683758.7249999996</v>
      </c>
    </row>
    <row r="45" spans="2:24">
      <c r="B45" s="12" t="s">
        <v>474</v>
      </c>
      <c r="C45" s="13" t="s">
        <v>359</v>
      </c>
      <c r="D45" s="13">
        <f t="shared" si="2"/>
        <v>39</v>
      </c>
      <c r="E45" s="14">
        <f t="shared" si="0"/>
        <v>1638327.3314998201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1638327.3314998201</v>
      </c>
      <c r="N45" s="14">
        <v>0</v>
      </c>
      <c r="O45" s="14">
        <f t="shared" si="1"/>
        <v>0</v>
      </c>
      <c r="P45" s="14">
        <v>0</v>
      </c>
      <c r="Q45" s="14">
        <v>0</v>
      </c>
      <c r="R45" s="14"/>
      <c r="S45" s="14">
        <v>0</v>
      </c>
      <c r="T45" s="14">
        <v>0</v>
      </c>
      <c r="U45" s="14">
        <v>0</v>
      </c>
      <c r="V45" s="14"/>
      <c r="W45" s="14">
        <v>0</v>
      </c>
      <c r="X45" s="14">
        <v>0</v>
      </c>
    </row>
    <row r="46" spans="2:24">
      <c r="B46" s="12" t="s">
        <v>470</v>
      </c>
      <c r="C46" s="13" t="s">
        <v>360</v>
      </c>
      <c r="D46" s="13">
        <f t="shared" si="2"/>
        <v>40</v>
      </c>
      <c r="E46" s="14">
        <f t="shared" si="0"/>
        <v>34343068.147723362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27686863.057723358</v>
      </c>
      <c r="N46" s="14">
        <v>6656205.0899999999</v>
      </c>
      <c r="O46" s="14">
        <f t="shared" si="1"/>
        <v>0</v>
      </c>
      <c r="P46" s="14">
        <v>0</v>
      </c>
      <c r="Q46" s="14">
        <v>0</v>
      </c>
      <c r="R46" s="14"/>
      <c r="S46" s="14">
        <v>0</v>
      </c>
      <c r="T46" s="14">
        <v>0</v>
      </c>
      <c r="U46" s="14">
        <v>0</v>
      </c>
      <c r="V46" s="14"/>
      <c r="W46" s="14">
        <v>0</v>
      </c>
      <c r="X46" s="14">
        <v>0</v>
      </c>
    </row>
    <row r="47" spans="2:24">
      <c r="B47" s="12" t="s">
        <v>475</v>
      </c>
      <c r="C47" s="13" t="s">
        <v>361</v>
      </c>
      <c r="D47" s="13">
        <f t="shared" si="2"/>
        <v>41</v>
      </c>
      <c r="E47" s="14">
        <f t="shared" si="0"/>
        <v>3221790.9</v>
      </c>
      <c r="F47" s="14">
        <v>0</v>
      </c>
      <c r="G47" s="14">
        <v>0</v>
      </c>
      <c r="H47" s="14">
        <v>0</v>
      </c>
      <c r="I47" s="14">
        <v>0</v>
      </c>
      <c r="J47" s="14">
        <v>813608.53999999992</v>
      </c>
      <c r="K47" s="14">
        <v>0</v>
      </c>
      <c r="L47" s="14">
        <v>47249.630000000005</v>
      </c>
      <c r="M47" s="14">
        <v>2341535.54</v>
      </c>
      <c r="N47" s="14">
        <v>0</v>
      </c>
      <c r="O47" s="14">
        <f t="shared" si="1"/>
        <v>0</v>
      </c>
      <c r="P47" s="14">
        <v>0</v>
      </c>
      <c r="Q47" s="14">
        <v>19397.189999999999</v>
      </c>
      <c r="R47" s="14"/>
      <c r="S47" s="14">
        <v>813608.53999999992</v>
      </c>
      <c r="T47" s="14">
        <v>0</v>
      </c>
      <c r="U47" s="14">
        <v>47249.630000000005</v>
      </c>
      <c r="V47" s="14"/>
      <c r="W47" s="14">
        <v>0</v>
      </c>
      <c r="X47" s="14">
        <v>0</v>
      </c>
    </row>
    <row r="48" spans="2:24">
      <c r="B48" s="12" t="s">
        <v>476</v>
      </c>
      <c r="C48" s="13" t="s">
        <v>362</v>
      </c>
      <c r="D48" s="13">
        <f t="shared" si="2"/>
        <v>42</v>
      </c>
      <c r="E48" s="14">
        <f t="shared" si="0"/>
        <v>26055023</v>
      </c>
      <c r="F48" s="14">
        <v>10667069</v>
      </c>
      <c r="G48" s="14">
        <v>4170814</v>
      </c>
      <c r="H48" s="14">
        <v>5246789</v>
      </c>
      <c r="I48" s="14">
        <v>2979109</v>
      </c>
      <c r="J48" s="14">
        <v>2825681</v>
      </c>
      <c r="K48" s="14">
        <v>529</v>
      </c>
      <c r="L48" s="14">
        <v>141783</v>
      </c>
      <c r="M48" s="14">
        <v>0</v>
      </c>
      <c r="N48" s="14">
        <v>0</v>
      </c>
      <c r="O48" s="14">
        <f t="shared" si="1"/>
        <v>0</v>
      </c>
      <c r="P48" s="14">
        <v>21527</v>
      </c>
      <c r="Q48" s="14">
        <v>1722</v>
      </c>
      <c r="R48" s="14"/>
      <c r="S48" s="14">
        <v>2825681</v>
      </c>
      <c r="T48" s="14">
        <v>529</v>
      </c>
      <c r="U48" s="14">
        <v>141783</v>
      </c>
      <c r="V48" s="14"/>
      <c r="W48" s="14">
        <v>0</v>
      </c>
      <c r="X48" s="14">
        <v>0</v>
      </c>
    </row>
    <row r="49" spans="1:24">
      <c r="B49" s="12" t="s">
        <v>477</v>
      </c>
      <c r="C49" s="13" t="s">
        <v>363</v>
      </c>
      <c r="D49" s="13">
        <f t="shared" si="2"/>
        <v>43</v>
      </c>
      <c r="E49" s="14">
        <f t="shared" si="0"/>
        <v>13712733</v>
      </c>
      <c r="F49" s="14">
        <v>6801670</v>
      </c>
      <c r="G49" s="14">
        <v>2002826</v>
      </c>
      <c r="H49" s="14">
        <v>2405759</v>
      </c>
      <c r="I49" s="14">
        <v>1500444</v>
      </c>
      <c r="J49" s="14">
        <v>867734</v>
      </c>
      <c r="K49" s="14">
        <v>0</v>
      </c>
      <c r="L49" s="14">
        <v>120817</v>
      </c>
      <c r="M49" s="14">
        <v>0</v>
      </c>
      <c r="N49" s="14">
        <v>0</v>
      </c>
      <c r="O49" s="14">
        <f t="shared" si="1"/>
        <v>0</v>
      </c>
      <c r="P49" s="14">
        <v>12009</v>
      </c>
      <c r="Q49" s="14">
        <v>1474</v>
      </c>
      <c r="R49" s="14"/>
      <c r="S49" s="14">
        <v>867734</v>
      </c>
      <c r="T49" s="14">
        <v>0</v>
      </c>
      <c r="U49" s="14">
        <v>120817</v>
      </c>
      <c r="V49" s="14"/>
      <c r="W49" s="14">
        <v>0</v>
      </c>
      <c r="X49" s="14">
        <v>0</v>
      </c>
    </row>
    <row r="50" spans="1:24">
      <c r="B50" s="12" t="s">
        <v>478</v>
      </c>
      <c r="C50" s="13" t="s">
        <v>364</v>
      </c>
      <c r="D50" s="13">
        <f t="shared" si="2"/>
        <v>44</v>
      </c>
      <c r="E50" s="14">
        <f t="shared" si="0"/>
        <v>761229596</v>
      </c>
      <c r="F50" s="14">
        <v>414546792</v>
      </c>
      <c r="G50" s="14">
        <v>107241552</v>
      </c>
      <c r="H50" s="14">
        <v>115502609</v>
      </c>
      <c r="I50" s="14">
        <v>65465410</v>
      </c>
      <c r="J50" s="14">
        <v>50774605</v>
      </c>
      <c r="K50" s="14">
        <v>185511</v>
      </c>
      <c r="L50" s="14">
        <v>6561008</v>
      </c>
      <c r="M50" s="14">
        <v>0</v>
      </c>
      <c r="N50" s="14">
        <v>0</v>
      </c>
      <c r="O50" s="14">
        <f t="shared" si="1"/>
        <v>0</v>
      </c>
      <c r="P50" s="14">
        <v>734055</v>
      </c>
      <c r="Q50" s="14">
        <v>218054</v>
      </c>
      <c r="R50" s="14"/>
      <c r="S50" s="14">
        <v>50774605</v>
      </c>
      <c r="T50" s="14">
        <v>185511</v>
      </c>
      <c r="U50" s="14">
        <v>6561008</v>
      </c>
      <c r="V50" s="14"/>
      <c r="W50" s="14">
        <v>0</v>
      </c>
      <c r="X50" s="14">
        <v>0</v>
      </c>
    </row>
    <row r="51" spans="1:24">
      <c r="B51" s="12" t="s">
        <v>479</v>
      </c>
      <c r="C51" s="13" t="s">
        <v>365</v>
      </c>
      <c r="D51" s="13">
        <f t="shared" si="2"/>
        <v>45</v>
      </c>
      <c r="E51" s="14">
        <f t="shared" si="0"/>
        <v>9948.2199999999975</v>
      </c>
      <c r="F51" s="14">
        <v>6758</v>
      </c>
      <c r="G51" s="14">
        <v>1295.83</v>
      </c>
      <c r="H51" s="14">
        <v>1001.04</v>
      </c>
      <c r="I51" s="14">
        <v>417.12</v>
      </c>
      <c r="J51" s="14">
        <v>355.32</v>
      </c>
      <c r="K51" s="14">
        <v>7.96</v>
      </c>
      <c r="L51" s="14">
        <v>99.38</v>
      </c>
      <c r="M51" s="14">
        <v>0</v>
      </c>
      <c r="N51" s="14">
        <v>0</v>
      </c>
      <c r="O51" s="14">
        <f t="shared" si="1"/>
        <v>0</v>
      </c>
      <c r="P51" s="14">
        <v>6.51</v>
      </c>
      <c r="Q51" s="14">
        <v>7.06</v>
      </c>
      <c r="R51" s="14"/>
      <c r="S51" s="14">
        <v>355.32</v>
      </c>
      <c r="T51" s="14">
        <v>7.96</v>
      </c>
      <c r="U51" s="14">
        <v>99.38</v>
      </c>
      <c r="V51" s="14"/>
      <c r="W51" s="14">
        <v>0</v>
      </c>
      <c r="X51" s="14">
        <v>0</v>
      </c>
    </row>
    <row r="52" spans="1:24">
      <c r="B52" s="12" t="s">
        <v>456</v>
      </c>
      <c r="C52" s="13" t="s">
        <v>366</v>
      </c>
      <c r="D52" s="13">
        <f t="shared" si="2"/>
        <v>46</v>
      </c>
      <c r="E52" s="14">
        <f t="shared" si="0"/>
        <v>404799745.95307964</v>
      </c>
      <c r="F52" s="14">
        <v>295642644.14069372</v>
      </c>
      <c r="G52" s="14">
        <v>46340552.898913719</v>
      </c>
      <c r="H52" s="14">
        <v>5943198.0976538872</v>
      </c>
      <c r="I52" s="14">
        <v>75445.980448461574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f t="shared" si="1"/>
        <v>0</v>
      </c>
      <c r="P52" s="14">
        <v>56797904.835369848</v>
      </c>
      <c r="Q52" s="14">
        <v>0</v>
      </c>
      <c r="R52" s="14"/>
      <c r="S52" s="14">
        <v>0</v>
      </c>
      <c r="T52" s="14">
        <v>0</v>
      </c>
      <c r="U52" s="14">
        <v>0</v>
      </c>
      <c r="V52" s="14"/>
      <c r="W52" s="14">
        <v>0</v>
      </c>
      <c r="X52" s="14">
        <v>0</v>
      </c>
    </row>
    <row r="53" spans="1:24">
      <c r="B53" s="12" t="s">
        <v>480</v>
      </c>
      <c r="C53" s="13" t="s">
        <v>367</v>
      </c>
      <c r="D53" s="13">
        <f t="shared" si="2"/>
        <v>47</v>
      </c>
      <c r="E53" s="14">
        <f t="shared" si="0"/>
        <v>9811.1899999999987</v>
      </c>
      <c r="F53" s="14">
        <v>6550.31</v>
      </c>
      <c r="G53" s="14">
        <v>1212.1300000000001</v>
      </c>
      <c r="H53" s="14">
        <v>1118.6499999999999</v>
      </c>
      <c r="I53" s="14">
        <v>480.35</v>
      </c>
      <c r="J53" s="14">
        <v>326.98</v>
      </c>
      <c r="K53" s="14">
        <v>3.64</v>
      </c>
      <c r="L53" s="14">
        <v>111.74</v>
      </c>
      <c r="M53" s="14">
        <v>0</v>
      </c>
      <c r="N53" s="14">
        <v>0</v>
      </c>
      <c r="O53" s="14">
        <f t="shared" si="1"/>
        <v>0</v>
      </c>
      <c r="P53" s="14">
        <v>4.8</v>
      </c>
      <c r="Q53" s="14">
        <v>2.59</v>
      </c>
      <c r="R53" s="14"/>
      <c r="S53" s="14">
        <v>326.98</v>
      </c>
      <c r="T53" s="14">
        <v>3.64</v>
      </c>
      <c r="U53" s="14">
        <v>111.74</v>
      </c>
      <c r="V53" s="14"/>
      <c r="W53" s="14">
        <v>0</v>
      </c>
      <c r="X53" s="14">
        <v>0</v>
      </c>
    </row>
    <row r="54" spans="1:24">
      <c r="B54" s="12" t="s">
        <v>460</v>
      </c>
      <c r="C54" s="13" t="s">
        <v>368</v>
      </c>
      <c r="D54" s="13">
        <f t="shared" si="2"/>
        <v>48</v>
      </c>
      <c r="E54" s="14">
        <f t="shared" si="0"/>
        <v>491404408.74264705</v>
      </c>
      <c r="F54" s="14">
        <v>361443716.53278774</v>
      </c>
      <c r="G54" s="14">
        <v>71223270.920080781</v>
      </c>
      <c r="H54" s="14">
        <v>43117510.157735966</v>
      </c>
      <c r="I54" s="14">
        <v>14458390.062042588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f t="shared" si="1"/>
        <v>0</v>
      </c>
      <c r="P54" s="14">
        <v>1132486.0600000008</v>
      </c>
      <c r="Q54" s="14">
        <v>29035.010000000002</v>
      </c>
      <c r="R54" s="14"/>
      <c r="S54" s="14">
        <v>0</v>
      </c>
      <c r="T54" s="14">
        <v>0</v>
      </c>
      <c r="U54" s="14">
        <v>0</v>
      </c>
      <c r="V54" s="14"/>
      <c r="W54" s="14">
        <v>0</v>
      </c>
      <c r="X54" s="14">
        <v>0</v>
      </c>
    </row>
    <row r="55" spans="1:24">
      <c r="B55" s="12" t="s">
        <v>481</v>
      </c>
      <c r="C55" s="13" t="s">
        <v>369</v>
      </c>
      <c r="D55" s="13">
        <f t="shared" si="2"/>
        <v>49</v>
      </c>
      <c r="E55" s="14">
        <f t="shared" si="0"/>
        <v>4480475.8</v>
      </c>
      <c r="F55" s="14">
        <v>0</v>
      </c>
      <c r="G55" s="14">
        <v>0</v>
      </c>
      <c r="H55" s="14">
        <v>0</v>
      </c>
      <c r="I55" s="14">
        <v>0</v>
      </c>
      <c r="J55" s="14">
        <v>683364.28</v>
      </c>
      <c r="K55" s="14">
        <v>0</v>
      </c>
      <c r="L55" s="14">
        <v>12855.629999999997</v>
      </c>
      <c r="M55" s="14">
        <v>81187.12</v>
      </c>
      <c r="N55" s="14">
        <v>2852603.1200000006</v>
      </c>
      <c r="O55" s="14">
        <f t="shared" si="1"/>
        <v>846988.8899999999</v>
      </c>
      <c r="P55" s="14">
        <v>0</v>
      </c>
      <c r="Q55" s="14">
        <v>3476.76</v>
      </c>
      <c r="R55" s="14"/>
      <c r="S55" s="14">
        <v>683364.28</v>
      </c>
      <c r="T55" s="14">
        <v>0</v>
      </c>
      <c r="U55" s="14">
        <v>12855.629999999997</v>
      </c>
      <c r="V55" s="14"/>
      <c r="W55" s="14">
        <v>0</v>
      </c>
      <c r="X55" s="14">
        <v>846988.8899999999</v>
      </c>
    </row>
    <row r="56" spans="1:24">
      <c r="B56" s="12" t="s">
        <v>482</v>
      </c>
      <c r="C56" s="13" t="s">
        <v>370</v>
      </c>
      <c r="D56" s="13">
        <f t="shared" si="2"/>
        <v>50</v>
      </c>
      <c r="E56" s="14">
        <f t="shared" si="0"/>
        <v>10679687650.016161</v>
      </c>
      <c r="F56" s="14">
        <v>10201987686.310894</v>
      </c>
      <c r="G56" s="14">
        <v>255780408.9580256</v>
      </c>
      <c r="H56" s="14">
        <v>166043869.83243227</v>
      </c>
      <c r="I56" s="14">
        <v>17290774.545454547</v>
      </c>
      <c r="J56" s="14">
        <v>32150677.142857142</v>
      </c>
      <c r="K56" s="14">
        <v>4452600</v>
      </c>
      <c r="L56" s="14">
        <v>0</v>
      </c>
      <c r="M56" s="14">
        <v>0</v>
      </c>
      <c r="N56" s="14">
        <v>0</v>
      </c>
      <c r="O56" s="14">
        <f t="shared" si="1"/>
        <v>0</v>
      </c>
      <c r="P56" s="14">
        <v>1981633.2265000001</v>
      </c>
      <c r="Q56" s="14">
        <v>0</v>
      </c>
      <c r="R56" s="14"/>
      <c r="S56" s="14">
        <v>32150677.142857142</v>
      </c>
      <c r="T56" s="14">
        <v>4452600</v>
      </c>
      <c r="U56" s="14">
        <v>0</v>
      </c>
      <c r="V56" s="14"/>
      <c r="W56" s="14">
        <v>0</v>
      </c>
      <c r="X56" s="14">
        <v>0</v>
      </c>
    </row>
    <row r="57" spans="1:24">
      <c r="B57" s="12" t="s">
        <v>483</v>
      </c>
      <c r="C57" s="13" t="s">
        <v>371</v>
      </c>
      <c r="D57" s="13">
        <f t="shared" si="2"/>
        <v>51</v>
      </c>
      <c r="E57" s="14">
        <f t="shared" si="0"/>
        <v>24452276608.805584</v>
      </c>
      <c r="F57" s="14">
        <v>11362694034.5944</v>
      </c>
      <c r="G57" s="14">
        <v>2983708616.2943888</v>
      </c>
      <c r="H57" s="14">
        <v>3072024705.4856691</v>
      </c>
      <c r="I57" s="14">
        <v>2026649549.543107</v>
      </c>
      <c r="J57" s="14">
        <v>1323003367.1184549</v>
      </c>
      <c r="K57" s="14">
        <v>4594563.3633324662</v>
      </c>
      <c r="L57" s="14">
        <v>124979540.86316925</v>
      </c>
      <c r="M57" s="14">
        <v>692524766.1750226</v>
      </c>
      <c r="N57" s="14">
        <v>632887813.72208166</v>
      </c>
      <c r="O57" s="14">
        <f t="shared" si="1"/>
        <v>2140447568.8055859</v>
      </c>
      <c r="P57" s="14">
        <v>81534389.017231286</v>
      </c>
      <c r="Q57" s="14">
        <v>7227693.8231415441</v>
      </c>
      <c r="R57" s="14"/>
      <c r="S57" s="14">
        <v>1323003367.1184549</v>
      </c>
      <c r="T57" s="14">
        <v>4594563.3633324662</v>
      </c>
      <c r="U57" s="14">
        <v>124979540.86316925</v>
      </c>
      <c r="V57" s="14"/>
      <c r="W57" s="14">
        <v>107396590.46418484</v>
      </c>
      <c r="X57" s="14">
        <v>2033050978.3414011</v>
      </c>
    </row>
    <row r="58" spans="1:24" ht="16.5" customHeight="1">
      <c r="B58" s="12" t="s">
        <v>484</v>
      </c>
      <c r="C58" s="13" t="s">
        <v>372</v>
      </c>
      <c r="D58" s="13">
        <f t="shared" si="2"/>
        <v>52</v>
      </c>
      <c r="E58" s="14">
        <f t="shared" si="0"/>
        <v>22311829039.999996</v>
      </c>
      <c r="F58" s="14">
        <v>11362694034.5944</v>
      </c>
      <c r="G58" s="14">
        <v>2983708616.2943888</v>
      </c>
      <c r="H58" s="14">
        <v>3072024705.4856691</v>
      </c>
      <c r="I58" s="14">
        <v>2026649549.543107</v>
      </c>
      <c r="J58" s="14">
        <v>1323003367.1184549</v>
      </c>
      <c r="K58" s="14">
        <v>4594563.3633324662</v>
      </c>
      <c r="L58" s="14">
        <v>124979540.86316925</v>
      </c>
      <c r="M58" s="14">
        <v>692524766.1750226</v>
      </c>
      <c r="N58" s="14">
        <v>632887813.72208166</v>
      </c>
      <c r="O58" s="14">
        <f t="shared" si="1"/>
        <v>0</v>
      </c>
      <c r="P58" s="14">
        <v>81534389.017231286</v>
      </c>
      <c r="Q58" s="14">
        <v>7227693.8231415441</v>
      </c>
      <c r="R58" s="14"/>
      <c r="S58" s="14">
        <v>1323003367.1184549</v>
      </c>
      <c r="T58" s="14">
        <v>4594563.3633324662</v>
      </c>
      <c r="U58" s="14">
        <v>124979540.86316925</v>
      </c>
      <c r="V58" s="14"/>
      <c r="W58" s="14">
        <v>0</v>
      </c>
      <c r="X58" s="14">
        <v>0</v>
      </c>
    </row>
    <row r="59" spans="1:24" s="7" customFormat="1">
      <c r="B59" s="16"/>
      <c r="C59" s="17"/>
      <c r="D59" s="13">
        <f t="shared" si="2"/>
        <v>53</v>
      </c>
      <c r="E59" s="14">
        <f t="shared" si="0"/>
        <v>0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</row>
    <row r="60" spans="1:24">
      <c r="A60" s="13"/>
      <c r="B60" s="13" t="s">
        <v>374</v>
      </c>
      <c r="C60" s="13" t="s">
        <v>373</v>
      </c>
      <c r="D60" s="13">
        <f t="shared" si="2"/>
        <v>54</v>
      </c>
      <c r="E60" s="14">
        <f t="shared" si="0"/>
        <v>0</v>
      </c>
    </row>
    <row r="61" spans="1:24">
      <c r="A61" s="13"/>
      <c r="B61" s="13" t="s">
        <v>374</v>
      </c>
      <c r="C61" s="13" t="s">
        <v>375</v>
      </c>
      <c r="D61" s="13">
        <f t="shared" si="2"/>
        <v>55</v>
      </c>
      <c r="E61" s="14">
        <f t="shared" si="0"/>
        <v>7971125.8320833305</v>
      </c>
      <c r="F61" s="29">
        <f>SUM('Rate Base'!G39:G40)</f>
        <v>3596168.5303501668</v>
      </c>
      <c r="G61" s="29">
        <f>SUM('Rate Base'!H39:H40)</f>
        <v>1058931.0908890173</v>
      </c>
      <c r="H61" s="29">
        <f>SUM('Rate Base'!I39:I40)</f>
        <v>1271969.2086512116</v>
      </c>
      <c r="I61" s="29">
        <f>SUM('Rate Base'!J39:J40)</f>
        <v>793312.45037655835</v>
      </c>
      <c r="J61" s="29">
        <f>SUM('Rate Base'!K39:K40)</f>
        <v>458786.98959444842</v>
      </c>
      <c r="K61" s="29">
        <f>SUM('Rate Base'!L39:L40)</f>
        <v>0</v>
      </c>
      <c r="L61" s="29">
        <f>SUM('Rate Base'!M39:M40)</f>
        <v>63878.178937131051</v>
      </c>
      <c r="M61" s="29">
        <f>SUM('Rate Base'!N39:N40)</f>
        <v>365041.24012752424</v>
      </c>
      <c r="N61" s="29">
        <f>SUM('Rate Base'!O39:O40)</f>
        <v>162866.1520768</v>
      </c>
      <c r="O61" s="29">
        <f>SUM('Rate Base'!P39:P40)</f>
        <v>193043.27999999997</v>
      </c>
      <c r="P61" s="29">
        <f>SUM('Rate Base'!Q39:Q40)</f>
        <v>6349.380061216606</v>
      </c>
      <c r="Q61" s="29">
        <f>SUM('Rate Base'!R39:R40)</f>
        <v>779.33101925499852</v>
      </c>
    </row>
    <row r="62" spans="1:24">
      <c r="A62" s="13"/>
      <c r="B62" s="13" t="s">
        <v>377</v>
      </c>
      <c r="C62" s="13" t="s">
        <v>376</v>
      </c>
      <c r="D62" s="13">
        <f t="shared" si="2"/>
        <v>56</v>
      </c>
      <c r="E62" s="14">
        <f t="shared" si="0"/>
        <v>417873813.04102892</v>
      </c>
      <c r="F62" s="5">
        <f>'Rate Base'!G41+'Rate Base'!G42</f>
        <v>207938553.65897152</v>
      </c>
      <c r="G62" s="5">
        <f>'Rate Base'!H41+'Rate Base'!H42</f>
        <v>53792849.553696178</v>
      </c>
      <c r="H62" s="5">
        <f>'Rate Base'!I41+'Rate Base'!I42</f>
        <v>57936633.265027665</v>
      </c>
      <c r="I62" s="5">
        <f>'Rate Base'!J41+'Rate Base'!J42</f>
        <v>32837746.987296835</v>
      </c>
      <c r="J62" s="5">
        <f>'Rate Base'!K41+'Rate Base'!K42</f>
        <v>26230639.750113323</v>
      </c>
      <c r="K62" s="5">
        <f>'Rate Base'!L41+'Rate Base'!L42</f>
        <v>93053.160155270147</v>
      </c>
      <c r="L62" s="5">
        <f>'Rate Base'!M41+'Rate Base'!M42</f>
        <v>3291031.4116360145</v>
      </c>
      <c r="M62" s="5">
        <f>'Rate Base'!N41+'Rate Base'!N42</f>
        <v>14491048.15719921</v>
      </c>
      <c r="N62" s="5">
        <f>'Rate Base'!O41+'Rate Base'!O42</f>
        <v>14207847.025270712</v>
      </c>
      <c r="O62" s="5">
        <f>'Rate Base'!P41+'Rate Base'!P42</f>
        <v>6576827.8729663622</v>
      </c>
      <c r="P62" s="5">
        <f>'Rate Base'!Q41+'Rate Base'!Q42</f>
        <v>368205.3219365796</v>
      </c>
      <c r="Q62" s="5">
        <f>'Rate Base'!R41+'Rate Base'!R42</f>
        <v>109376.87675931495</v>
      </c>
    </row>
    <row r="63" spans="1:24">
      <c r="A63" s="13"/>
      <c r="B63" s="13" t="s">
        <v>379</v>
      </c>
      <c r="C63" s="13" t="s">
        <v>378</v>
      </c>
      <c r="D63" s="13">
        <f t="shared" si="2"/>
        <v>57</v>
      </c>
      <c r="E63" s="14">
        <f t="shared" si="0"/>
        <v>724869247.95305228</v>
      </c>
      <c r="F63" s="5">
        <f>'Rate Base'!G45+'Rate Base'!G46+'Rate Base'!G44</f>
        <v>491303425.51740187</v>
      </c>
      <c r="G63" s="5">
        <f>'Rate Base'!H45+'Rate Base'!H46+'Rate Base'!H44</f>
        <v>94206232.300712466</v>
      </c>
      <c r="H63" s="5">
        <f>'Rate Base'!I45+'Rate Base'!I46+'Rate Base'!I44</f>
        <v>72775137.774480611</v>
      </c>
      <c r="I63" s="5">
        <f>'Rate Base'!J45+'Rate Base'!J46+'Rate Base'!J44</f>
        <v>30324428.063305512</v>
      </c>
      <c r="J63" s="5">
        <f>'Rate Base'!K45+'Rate Base'!K46+'Rate Base'!K44</f>
        <v>25831597.093051679</v>
      </c>
      <c r="K63" s="5">
        <f>'Rate Base'!L45+'Rate Base'!L46+'Rate Base'!L44</f>
        <v>578688.26089353638</v>
      </c>
      <c r="L63" s="5">
        <f>'Rate Base'!M45+'Rate Base'!M46+'Rate Base'!M44</f>
        <v>7224879.317537643</v>
      </c>
      <c r="M63" s="5">
        <f>'Rate Base'!N45+'Rate Base'!N46+'Rate Base'!N44</f>
        <v>1638327</v>
      </c>
      <c r="N63" s="5">
        <f>'Rate Base'!O45+'Rate Base'!O46+'Rate Base'!O44</f>
        <v>0</v>
      </c>
      <c r="O63" s="5">
        <f>'Rate Base'!P45+'Rate Base'!P46+'Rate Base'!P44</f>
        <v>0</v>
      </c>
      <c r="P63" s="5">
        <f>'Rate Base'!Q45+'Rate Base'!Q46+'Rate Base'!Q44</f>
        <v>473273.94201217609</v>
      </c>
      <c r="Q63" s="5">
        <f>'Rate Base'!R45+'Rate Base'!R46+'Rate Base'!R44</f>
        <v>513258.68365682999</v>
      </c>
    </row>
    <row r="64" spans="1:24">
      <c r="A64" s="13"/>
      <c r="B64" s="13" t="s">
        <v>381</v>
      </c>
      <c r="C64" s="13" t="s">
        <v>380</v>
      </c>
      <c r="D64" s="13">
        <f t="shared" si="2"/>
        <v>58</v>
      </c>
      <c r="E64" s="14">
        <f t="shared" si="0"/>
        <v>1498330904.6204164</v>
      </c>
      <c r="F64" s="5">
        <f>SUM('Rate Base'!G47:G49)</f>
        <v>977411931.18525338</v>
      </c>
      <c r="G64" s="5">
        <f>SUM('Rate Base'!H47:H49)</f>
        <v>180869351.85473377</v>
      </c>
      <c r="H64" s="5">
        <f>SUM('Rate Base'!I47:I49)</f>
        <v>166920627.69859496</v>
      </c>
      <c r="I64" s="5">
        <f>SUM('Rate Base'!J47:J49)</f>
        <v>71675969.709042236</v>
      </c>
      <c r="J64" s="5">
        <f>SUM('Rate Base'!K47:K49)</f>
        <v>48790691.319793135</v>
      </c>
      <c r="K64" s="5">
        <f>SUM('Rate Base'!L47:L49)</f>
        <v>543146.72580600344</v>
      </c>
      <c r="L64" s="5">
        <f>SUM('Rate Base'!M47:M49)</f>
        <v>16673410.7531766</v>
      </c>
      <c r="M64" s="5">
        <f>SUM('Rate Base'!N47:N49)</f>
        <v>27686863.057723358</v>
      </c>
      <c r="N64" s="5">
        <f>SUM('Rate Base'!O47:O49)</f>
        <v>6656205.0899999999</v>
      </c>
      <c r="O64" s="5">
        <f>SUM('Rate Base'!P47:P49)</f>
        <v>0</v>
      </c>
      <c r="P64" s="5">
        <f>SUM('Rate Base'!Q47:Q49)</f>
        <v>716237.44062330108</v>
      </c>
      <c r="Q64" s="5">
        <f>SUM('Rate Base'!R47:R49)</f>
        <v>386469.78566965624</v>
      </c>
    </row>
    <row r="65" spans="1:17">
      <c r="A65" s="13"/>
      <c r="B65" s="13" t="s">
        <v>383</v>
      </c>
      <c r="C65" s="13" t="s">
        <v>382</v>
      </c>
      <c r="D65" s="13">
        <f t="shared" si="2"/>
        <v>59</v>
      </c>
      <c r="E65" s="14">
        <f t="shared" si="0"/>
        <v>457328636</v>
      </c>
      <c r="F65" s="5">
        <f>SUM('Rate Base'!G50:G52)</f>
        <v>333189335.57624215</v>
      </c>
      <c r="G65" s="5">
        <f>SUM('Rate Base'!H50:H52)</f>
        <v>60999147.517986134</v>
      </c>
      <c r="H65" s="5">
        <f>SUM('Rate Base'!I50:I52)</f>
        <v>28287904.79640856</v>
      </c>
      <c r="I65" s="5">
        <f>SUM('Rate Base'!J50:J52)</f>
        <v>8736373.9710735735</v>
      </c>
      <c r="J65" s="5">
        <f>SUM('Rate Base'!K50:K52)</f>
        <v>813608.53999999992</v>
      </c>
      <c r="K65" s="5">
        <f>SUM('Rate Base'!L50:L52)</f>
        <v>0</v>
      </c>
      <c r="L65" s="5">
        <f>SUM('Rate Base'!M50:M52)</f>
        <v>47249.630000000005</v>
      </c>
      <c r="M65" s="5">
        <f>SUM('Rate Base'!N50:N52)</f>
        <v>2341535.54</v>
      </c>
      <c r="N65" s="5">
        <f>SUM('Rate Base'!O50:O52)</f>
        <v>0</v>
      </c>
      <c r="O65" s="5">
        <f>SUM('Rate Base'!P50:P52)</f>
        <v>0</v>
      </c>
      <c r="P65" s="5">
        <f>SUM('Rate Base'!Q50:Q52)</f>
        <v>22876598.255147059</v>
      </c>
      <c r="Q65" s="5">
        <f>SUM('Rate Base'!R50:R52)</f>
        <v>36882.173142559688</v>
      </c>
    </row>
    <row r="66" spans="1:17">
      <c r="A66" s="13"/>
      <c r="B66" s="13" t="s">
        <v>385</v>
      </c>
      <c r="C66" s="13" t="s">
        <v>384</v>
      </c>
      <c r="D66" s="13">
        <f t="shared" si="2"/>
        <v>60</v>
      </c>
      <c r="E66" s="14">
        <f t="shared" si="0"/>
        <v>0</v>
      </c>
    </row>
    <row r="67" spans="1:17">
      <c r="A67" s="13"/>
      <c r="B67" s="13" t="s">
        <v>387</v>
      </c>
      <c r="C67" s="13" t="s">
        <v>386</v>
      </c>
      <c r="D67" s="13">
        <f t="shared" si="2"/>
        <v>61</v>
      </c>
      <c r="E67" s="14">
        <f t="shared" si="0"/>
        <v>0</v>
      </c>
    </row>
    <row r="68" spans="1:17">
      <c r="A68" s="13"/>
      <c r="B68" s="13" t="s">
        <v>389</v>
      </c>
      <c r="C68" s="13" t="s">
        <v>388</v>
      </c>
      <c r="D68" s="13">
        <f t="shared" si="2"/>
        <v>62</v>
      </c>
      <c r="E68" s="14">
        <f t="shared" si="0"/>
        <v>292445279.27594095</v>
      </c>
      <c r="F68" s="5">
        <f>Expenses!G40+Expenses!G44+Expenses!G57+Expenses!G65+Expenses!G76+Expenses!G102-Expenses!G69</f>
        <v>176590966.70361006</v>
      </c>
      <c r="G68" s="5">
        <f>Expenses!H40+Expenses!H44+Expenses!H57+Expenses!H65+Expenses!H76+Expenses!H102-Expenses!H69</f>
        <v>36832707.052143045</v>
      </c>
      <c r="H68" s="5">
        <f>Expenses!I40+Expenses!I44+Expenses!I57+Expenses!I65+Expenses!I76+Expenses!I102-Expenses!I69</f>
        <v>29780016.651892915</v>
      </c>
      <c r="I68" s="5">
        <f>Expenses!J40+Expenses!J44+Expenses!J57+Expenses!J65+Expenses!J76+Expenses!J102-Expenses!J69</f>
        <v>17888738.819418151</v>
      </c>
      <c r="J68" s="5">
        <f>Expenses!K40+Expenses!K44+Expenses!K57+Expenses!K65+Expenses!K76+Expenses!K102-Expenses!K69</f>
        <v>12606311.047488356</v>
      </c>
      <c r="K68" s="5">
        <f>Expenses!L40+Expenses!L44+Expenses!L57+Expenses!L65+Expenses!L76+Expenses!L102-Expenses!L69</f>
        <v>86776.845319242697</v>
      </c>
      <c r="L68" s="5">
        <f>Expenses!M40+Expenses!M44+Expenses!M57+Expenses!M65+Expenses!M76+Expenses!M102-Expenses!M69</f>
        <v>1756347.9458256012</v>
      </c>
      <c r="M68" s="5">
        <f>Expenses!N40+Expenses!N44+Expenses!N57+Expenses!N65+Expenses!N76+Expenses!N102-Expenses!N69</f>
        <v>5838305.6842347048</v>
      </c>
      <c r="N68" s="5">
        <f>Expenses!O40+Expenses!O44+Expenses!O57+Expenses!O65+Expenses!O76+Expenses!O102-Expenses!O69</f>
        <v>4921596.1361510726</v>
      </c>
      <c r="O68" s="5">
        <f>Expenses!P40+Expenses!P44+Expenses!P57+Expenses!P65+Expenses!P76+Expenses!P102-Expenses!P69</f>
        <v>1702026.37651469</v>
      </c>
      <c r="P68" s="5">
        <f>Expenses!Q40+Expenses!Q44+Expenses!Q57+Expenses!Q65+Expenses!Q76+Expenses!Q102-Expenses!Q69</f>
        <v>4340811.6215223083</v>
      </c>
      <c r="Q68" s="5">
        <f>Expenses!R40+Expenses!R44+Expenses!R57+Expenses!R65+Expenses!R76+Expenses!R102-Expenses!R69</f>
        <v>100674.39182082808</v>
      </c>
    </row>
    <row r="69" spans="1:17">
      <c r="A69" s="13"/>
      <c r="B69" s="19" t="s">
        <v>391</v>
      </c>
      <c r="C69" s="13" t="s">
        <v>390</v>
      </c>
      <c r="D69" s="13">
        <f t="shared" si="2"/>
        <v>63</v>
      </c>
      <c r="E69" s="14">
        <f t="shared" si="0"/>
        <v>50229724.321116567</v>
      </c>
      <c r="F69" s="5">
        <f>Expenses!G65</f>
        <v>43816951.773889594</v>
      </c>
      <c r="G69" s="5">
        <f>Expenses!H65</f>
        <v>5487069.6394549664</v>
      </c>
      <c r="H69" s="5">
        <f>Expenses!I65</f>
        <v>380334.27401122102</v>
      </c>
      <c r="I69" s="5">
        <f>Expenses!J65</f>
        <v>108570.76810961298</v>
      </c>
      <c r="J69" s="5">
        <f>Expenses!K65</f>
        <v>43855.976375322294</v>
      </c>
      <c r="K69" s="5">
        <f>Expenses!L65</f>
        <v>40.294469414901613</v>
      </c>
      <c r="L69" s="5">
        <f>Expenses!M65</f>
        <v>8586.4261729905211</v>
      </c>
      <c r="M69" s="5">
        <f>Expenses!N65</f>
        <v>60504.301090520123</v>
      </c>
      <c r="N69" s="5">
        <f>Expenses!O65</f>
        <v>34637.712657808683</v>
      </c>
      <c r="O69" s="5">
        <f>Expenses!P65</f>
        <v>214031.30590799806</v>
      </c>
      <c r="P69" s="5">
        <f>Expenses!Q65</f>
        <v>74867.798723352273</v>
      </c>
      <c r="Q69" s="5">
        <f>Expenses!R65</f>
        <v>274.05025375791286</v>
      </c>
    </row>
    <row r="70" spans="1:17">
      <c r="A70" s="13"/>
      <c r="B70" s="13" t="s">
        <v>393</v>
      </c>
      <c r="C70" s="13" t="s">
        <v>392</v>
      </c>
      <c r="D70" s="13">
        <f t="shared" si="2"/>
        <v>64</v>
      </c>
      <c r="E70" s="14">
        <f t="shared" si="0"/>
        <v>39536103.639074974</v>
      </c>
      <c r="F70" s="5">
        <f>SUM(Expenses!G61:G64)</f>
        <v>34488573.646273606</v>
      </c>
      <c r="G70" s="5">
        <f>SUM(Expenses!H61:H64)</f>
        <v>4318903.9333252497</v>
      </c>
      <c r="H70" s="5">
        <f>SUM(Expenses!I61:I64)</f>
        <v>299363.28494796157</v>
      </c>
      <c r="I70" s="5">
        <f>SUM(Expenses!J61:J64)</f>
        <v>85456.673278039147</v>
      </c>
      <c r="J70" s="5">
        <f>SUM(Expenses!K61:K64)</f>
        <v>34519.290133524322</v>
      </c>
      <c r="K70" s="5">
        <f>SUM(Expenses!L61:L64)</f>
        <v>31.716007611042247</v>
      </c>
      <c r="L70" s="5">
        <f>SUM(Expenses!M61:M64)</f>
        <v>6758.4252084358832</v>
      </c>
      <c r="M70" s="5">
        <f>SUM(Expenses!N61:N64)</f>
        <v>47623.281848651524</v>
      </c>
      <c r="N70" s="5">
        <f>SUM(Expenses!O61:O64)</f>
        <v>27263.54197576017</v>
      </c>
      <c r="O70" s="5">
        <f>SUM(Expenses!P61:P64)</f>
        <v>168465.26646828049</v>
      </c>
      <c r="P70" s="5">
        <f>SUM(Expenses!Q61:Q64)</f>
        <v>58928.87308385018</v>
      </c>
      <c r="Q70" s="5">
        <f>SUM(Expenses!R61:R64)</f>
        <v>215.7065240020172</v>
      </c>
    </row>
    <row r="71" spans="1:17">
      <c r="A71" s="13"/>
      <c r="B71" s="19" t="s">
        <v>395</v>
      </c>
      <c r="C71" s="13" t="s">
        <v>394</v>
      </c>
      <c r="D71" s="13">
        <f t="shared" si="2"/>
        <v>65</v>
      </c>
      <c r="E71" s="14">
        <f t="shared" si="0"/>
        <v>16118520.550502924</v>
      </c>
      <c r="F71" s="5">
        <f>SUM(Expenses!G47:G54)</f>
        <v>9841995.7782958671</v>
      </c>
      <c r="G71" s="5">
        <f>SUM(Expenses!H47:H54)</f>
        <v>2235630.1483331155</v>
      </c>
      <c r="H71" s="5">
        <f>SUM(Expenses!I47:I54)</f>
        <v>1409691.0213755649</v>
      </c>
      <c r="I71" s="5">
        <f>SUM(Expenses!J47:J54)</f>
        <v>558064.08058192045</v>
      </c>
      <c r="J71" s="5">
        <f>SUM(Expenses!K47:K54)</f>
        <v>764909.40248864668</v>
      </c>
      <c r="K71" s="5">
        <f>SUM(Expenses!L47:L54)</f>
        <v>6384.1437844187549</v>
      </c>
      <c r="L71" s="5">
        <f>SUM(Expenses!M47:M54)</f>
        <v>226583.89679613884</v>
      </c>
      <c r="M71" s="5">
        <f>SUM(Expenses!N47:N54)</f>
        <v>176973.08956306547</v>
      </c>
      <c r="N71" s="5">
        <f>SUM(Expenses!O47:O54)</f>
        <v>99351.363578156044</v>
      </c>
      <c r="O71" s="5">
        <f>SUM(Expenses!P47:P54)</f>
        <v>52989.752312673299</v>
      </c>
      <c r="P71" s="5">
        <f>SUM(Expenses!Q47:Q54)</f>
        <v>733814.34687959007</v>
      </c>
      <c r="Q71" s="5">
        <f>SUM(Expenses!R47:R54)</f>
        <v>12133.526513767332</v>
      </c>
    </row>
    <row r="72" spans="1:17">
      <c r="A72" s="13"/>
      <c r="B72" s="13" t="s">
        <v>397</v>
      </c>
      <c r="C72" s="13" t="s">
        <v>396</v>
      </c>
      <c r="D72" s="13">
        <f t="shared" si="2"/>
        <v>66</v>
      </c>
      <c r="E72" s="14">
        <f t="shared" ref="E72:E135" si="3">SUM(F72:Q72)</f>
        <v>0</v>
      </c>
    </row>
    <row r="73" spans="1:17">
      <c r="A73" s="13"/>
      <c r="B73" s="19" t="s">
        <v>399</v>
      </c>
      <c r="C73" s="13" t="s">
        <v>398</v>
      </c>
      <c r="D73" s="13">
        <f t="shared" ref="D73:D125" si="4">D72+1</f>
        <v>67</v>
      </c>
      <c r="E73" s="14">
        <f t="shared" si="3"/>
        <v>12075218.906426268</v>
      </c>
      <c r="F73" s="5">
        <f>SUM(Expenses!G48:G53)</f>
        <v>7373148.9888715399</v>
      </c>
      <c r="G73" s="5">
        <f>SUM(Expenses!H48:H53)</f>
        <v>1674826.3806436188</v>
      </c>
      <c r="H73" s="5">
        <f>SUM(Expenses!I48:I53)</f>
        <v>1056072.5855824563</v>
      </c>
      <c r="I73" s="5">
        <f>SUM(Expenses!J48:J53)</f>
        <v>418074.71819303778</v>
      </c>
      <c r="J73" s="5">
        <f>SUM(Expenses!K48:K53)</f>
        <v>573033.26627864339</v>
      </c>
      <c r="K73" s="5">
        <f>SUM(Expenses!L48:L53)</f>
        <v>4782.6928957541177</v>
      </c>
      <c r="L73" s="5">
        <f>SUM(Expenses!M48:M53)</f>
        <v>169745.73726613543</v>
      </c>
      <c r="M73" s="5">
        <f>SUM(Expenses!N48:N53)</f>
        <v>132579.71104264402</v>
      </c>
      <c r="N73" s="5">
        <f>SUM(Expenses!O48:O53)</f>
        <v>74429.254229585466</v>
      </c>
      <c r="O73" s="5">
        <f>SUM(Expenses!P48:P53)</f>
        <v>39697.369058655502</v>
      </c>
      <c r="P73" s="5">
        <f>SUM(Expenses!Q48:Q53)</f>
        <v>549738.34896843508</v>
      </c>
      <c r="Q73" s="5">
        <f>SUM(Expenses!R48:R53)</f>
        <v>9089.8533957631844</v>
      </c>
    </row>
    <row r="74" spans="1:17">
      <c r="A74" s="13"/>
      <c r="B74" s="13" t="s">
        <v>401</v>
      </c>
      <c r="C74" s="13" t="s">
        <v>400</v>
      </c>
      <c r="D74" s="13">
        <f t="shared" si="4"/>
        <v>68</v>
      </c>
      <c r="E74" s="14">
        <f t="shared" si="3"/>
        <v>3527157160.3556805</v>
      </c>
      <c r="F74" s="5">
        <f>'Rate Base'!G58</f>
        <v>2297509443.7289076</v>
      </c>
      <c r="G74" s="5">
        <f>'Rate Base'!H58</f>
        <v>428319023.41192037</v>
      </c>
      <c r="H74" s="5">
        <f>'Rate Base'!I58</f>
        <v>343101552.89962864</v>
      </c>
      <c r="I74" s="5">
        <f>'Rate Base'!J58</f>
        <v>150165803.19580317</v>
      </c>
      <c r="J74" s="5">
        <f>'Rate Base'!K58</f>
        <v>116388888.62240864</v>
      </c>
      <c r="K74" s="5">
        <f>'Rate Base'!L58</f>
        <v>1240246.7501631279</v>
      </c>
      <c r="L74" s="5">
        <f>'Rate Base'!M58</f>
        <v>30919611.337595645</v>
      </c>
      <c r="M74" s="5">
        <f>'Rate Base'!N58</f>
        <v>51971299.359962955</v>
      </c>
      <c r="N74" s="5">
        <f>'Rate Base'!O58</f>
        <v>22196387.318155434</v>
      </c>
      <c r="O74" s="5">
        <f>'Rate Base'!P58</f>
        <v>7357965.4024387831</v>
      </c>
      <c r="P74" s="5">
        <f>'Rate Base'!Q58</f>
        <v>76736834.86834909</v>
      </c>
      <c r="Q74" s="5">
        <f>'Rate Base'!R58</f>
        <v>1250103.460347346</v>
      </c>
    </row>
    <row r="75" spans="1:17">
      <c r="A75" s="13"/>
      <c r="B75" s="19" t="s">
        <v>403</v>
      </c>
      <c r="C75" s="13" t="s">
        <v>402</v>
      </c>
      <c r="D75" s="13">
        <f t="shared" si="4"/>
        <v>69</v>
      </c>
      <c r="E75" s="14">
        <f t="shared" si="3"/>
        <v>9523077020.022953</v>
      </c>
      <c r="F75" s="5">
        <f>'Rate Base'!G74</f>
        <v>5320845961.3625622</v>
      </c>
      <c r="G75" s="5">
        <f>'Rate Base'!H74</f>
        <v>1205636118.7856729</v>
      </c>
      <c r="H75" s="5">
        <f>'Rate Base'!I74</f>
        <v>1136856497.0624135</v>
      </c>
      <c r="I75" s="5">
        <f>'Rate Base'!J74</f>
        <v>680944688.47620356</v>
      </c>
      <c r="J75" s="5">
        <f>'Rate Base'!K74</f>
        <v>464034789.09934884</v>
      </c>
      <c r="K75" s="5">
        <f>'Rate Base'!L74</f>
        <v>2746180.8210446234</v>
      </c>
      <c r="L75" s="5">
        <f>'Rate Base'!M74</f>
        <v>62944046.067711271</v>
      </c>
      <c r="M75" s="5">
        <f>'Rate Base'!N74</f>
        <v>239167214.64977452</v>
      </c>
      <c r="N75" s="5">
        <f>'Rate Base'!O74</f>
        <v>190668170.88536265</v>
      </c>
      <c r="O75" s="5">
        <f>'Rate Base'!P74</f>
        <v>109891665.2819345</v>
      </c>
      <c r="P75" s="5">
        <f>'Rate Base'!Q74</f>
        <v>106210115.90541455</v>
      </c>
      <c r="Q75" s="5">
        <f>'Rate Base'!R74</f>
        <v>3131571.6255083205</v>
      </c>
    </row>
    <row r="76" spans="1:17">
      <c r="A76" s="13"/>
      <c r="B76" s="13" t="s">
        <v>405</v>
      </c>
      <c r="C76" s="13" t="s">
        <v>404</v>
      </c>
      <c r="D76" s="13">
        <f t="shared" si="4"/>
        <v>70</v>
      </c>
      <c r="E76" s="14">
        <f t="shared" si="3"/>
        <v>454603105.91412485</v>
      </c>
      <c r="F76" s="5">
        <f>'Rate Base'!G72</f>
        <v>270097195.61667484</v>
      </c>
      <c r="G76" s="5">
        <f>'Rate Base'!H72</f>
        <v>56501378.643999919</v>
      </c>
      <c r="H76" s="5">
        <f>'Rate Base'!I72</f>
        <v>48347825.939129546</v>
      </c>
      <c r="I76" s="5">
        <f>'Rate Base'!J72</f>
        <v>28696955.830407787</v>
      </c>
      <c r="J76" s="5">
        <f>'Rate Base'!K72</f>
        <v>19563537.617369615</v>
      </c>
      <c r="K76" s="5">
        <f>'Rate Base'!L72</f>
        <v>116939.0913111843</v>
      </c>
      <c r="L76" s="5">
        <f>'Rate Base'!M72</f>
        <v>2693965.1716466784</v>
      </c>
      <c r="M76" s="5">
        <f>'Rate Base'!N72</f>
        <v>10096536.331102567</v>
      </c>
      <c r="N76" s="5">
        <f>'Rate Base'!O72</f>
        <v>7988947.6590618379</v>
      </c>
      <c r="O76" s="5">
        <f>'Rate Base'!P72</f>
        <v>4817775.6575218989</v>
      </c>
      <c r="P76" s="5">
        <f>'Rate Base'!Q72</f>
        <v>5548867.4718943546</v>
      </c>
      <c r="Q76" s="5">
        <f>'Rate Base'!R72</f>
        <v>133180.88400466571</v>
      </c>
    </row>
    <row r="77" spans="1:17">
      <c r="A77" s="13"/>
      <c r="B77" s="19" t="s">
        <v>407</v>
      </c>
      <c r="C77" s="13" t="s">
        <v>406</v>
      </c>
      <c r="D77" s="13">
        <f t="shared" si="4"/>
        <v>71</v>
      </c>
      <c r="E77" s="14">
        <f t="shared" si="3"/>
        <v>2223200152.5734696</v>
      </c>
      <c r="F77" s="5">
        <f>SUM('Rate Base'!G44:G49)</f>
        <v>1468715356.7026553</v>
      </c>
      <c r="G77" s="5">
        <f>SUM('Rate Base'!H44:H49)</f>
        <v>275075584.15544623</v>
      </c>
      <c r="H77" s="5">
        <f>SUM('Rate Base'!I44:I49)</f>
        <v>239695765.47307557</v>
      </c>
      <c r="I77" s="5">
        <f>SUM('Rate Base'!J44:J49)</f>
        <v>102000397.77234775</v>
      </c>
      <c r="J77" s="5">
        <f>SUM('Rate Base'!K44:K49)</f>
        <v>74622288.412844807</v>
      </c>
      <c r="K77" s="5">
        <f>SUM('Rate Base'!L44:L49)</f>
        <v>1121834.9866995397</v>
      </c>
      <c r="L77" s="5">
        <f>SUM('Rate Base'!M44:M49)</f>
        <v>23898290.070714243</v>
      </c>
      <c r="M77" s="5">
        <f>SUM('Rate Base'!N44:N49)</f>
        <v>29325190.057723358</v>
      </c>
      <c r="N77" s="5">
        <f>SUM('Rate Base'!O44:O49)</f>
        <v>6656205.0899999999</v>
      </c>
      <c r="O77" s="5">
        <f>SUM('Rate Base'!P44:P49)</f>
        <v>0</v>
      </c>
      <c r="P77" s="5">
        <f>SUM('Rate Base'!Q44:Q49)</f>
        <v>1189511.3826354772</v>
      </c>
      <c r="Q77" s="5">
        <f>SUM('Rate Base'!R44:R49)</f>
        <v>899728.46932648623</v>
      </c>
    </row>
    <row r="78" spans="1:17">
      <c r="A78" s="13"/>
      <c r="B78" s="13" t="s">
        <v>409</v>
      </c>
      <c r="C78" s="13" t="s">
        <v>408</v>
      </c>
      <c r="D78" s="13">
        <f t="shared" si="4"/>
        <v>72</v>
      </c>
      <c r="E78" s="14">
        <f t="shared" si="3"/>
        <v>0</v>
      </c>
    </row>
    <row r="79" spans="1:17">
      <c r="A79" s="13"/>
      <c r="B79" s="19" t="s">
        <v>411</v>
      </c>
      <c r="C79" s="13" t="s">
        <v>410</v>
      </c>
      <c r="D79" s="13">
        <f t="shared" si="4"/>
        <v>73</v>
      </c>
      <c r="E79" s="14">
        <f t="shared" si="3"/>
        <v>3887841988.9148154</v>
      </c>
      <c r="F79" s="5">
        <f>'Rate Base'!G22</f>
        <v>1954087701.2584198</v>
      </c>
      <c r="G79" s="5">
        <f>'Rate Base'!H22</f>
        <v>515691137.0936389</v>
      </c>
      <c r="H79" s="5">
        <f>'Rate Base'!I22</f>
        <v>536191727.90118676</v>
      </c>
      <c r="I79" s="5">
        <f>'Rate Base'!J22</f>
        <v>362276892.21106029</v>
      </c>
      <c r="J79" s="5">
        <f>'Rate Base'!K22</f>
        <v>236493540.34369928</v>
      </c>
      <c r="K79" s="5">
        <f>'Rate Base'!L22</f>
        <v>991399.70717327786</v>
      </c>
      <c r="L79" s="5">
        <f>'Rate Base'!M22</f>
        <v>20869935.79649473</v>
      </c>
      <c r="M79" s="5">
        <f>'Rate Base'!N22</f>
        <v>127793366.17562997</v>
      </c>
      <c r="N79" s="5">
        <f>'Rate Base'!O22</f>
        <v>116137615.89286335</v>
      </c>
      <c r="O79" s="5">
        <f>'Rate Base'!P22</f>
        <v>0</v>
      </c>
      <c r="P79" s="5">
        <f>'Rate Base'!Q22</f>
        <v>16056787.414218185</v>
      </c>
      <c r="Q79" s="5">
        <f>'Rate Base'!R22</f>
        <v>1251885.1204305706</v>
      </c>
    </row>
    <row r="80" spans="1:17">
      <c r="A80" s="13"/>
      <c r="B80" s="13" t="s">
        <v>413</v>
      </c>
      <c r="C80" s="13" t="s">
        <v>412</v>
      </c>
      <c r="D80" s="13">
        <f t="shared" si="4"/>
        <v>74</v>
      </c>
      <c r="E80" s="14">
        <f t="shared" si="3"/>
        <v>9258652470.1846218</v>
      </c>
      <c r="F80" s="5">
        <f>'Rate Base'!G22+'Rate Base'!G34+'Rate Base'!G58+'Rate Base'!G72</f>
        <v>5172239903.4480162</v>
      </c>
      <c r="G80" s="5">
        <f>'Rate Base'!H22+'Rate Base'!H34+'Rate Base'!H58+'Rate Base'!H72</f>
        <v>1172192974.3370399</v>
      </c>
      <c r="H80" s="5">
        <f>'Rate Base'!I22+'Rate Base'!I34+'Rate Base'!I58+'Rate Base'!I72</f>
        <v>1106147500.897764</v>
      </c>
      <c r="I80" s="5">
        <f>'Rate Base'!J22+'Rate Base'!J34+'Rate Base'!J58+'Rate Base'!J72</f>
        <v>661747147.3066901</v>
      </c>
      <c r="J80" s="5">
        <f>'Rate Base'!K22+'Rate Base'!K34+'Rate Base'!K58+'Rate Base'!K72</f>
        <v>451178268.72774011</v>
      </c>
      <c r="K80" s="5">
        <f>'Rate Base'!L22+'Rate Base'!L34+'Rate Base'!L58+'Rate Base'!L72</f>
        <v>2678637.6133993855</v>
      </c>
      <c r="L80" s="5">
        <f>'Rate Base'!M22+'Rate Base'!M34+'Rate Base'!M58+'Rate Base'!M72</f>
        <v>61431431.849217989</v>
      </c>
      <c r="M80" s="5">
        <f>'Rate Base'!N22+'Rate Base'!N34+'Rate Base'!N58+'Rate Base'!N72</f>
        <v>232405560.17411324</v>
      </c>
      <c r="N80" s="5">
        <f>'Rate Base'!O22+'Rate Base'!O34+'Rate Base'!O58+'Rate Base'!O72</f>
        <v>184986932.35347527</v>
      </c>
      <c r="O80" s="5">
        <f>'Rate Base'!P22+'Rate Base'!P34+'Rate Base'!P58+'Rate Base'!P72</f>
        <v>106904133.5038999</v>
      </c>
      <c r="P80" s="5">
        <f>'Rate Base'!Q22+'Rate Base'!Q34+'Rate Base'!Q58+'Rate Base'!Q72</f>
        <v>103688038.88161816</v>
      </c>
      <c r="Q80" s="5">
        <f>'Rate Base'!R22+'Rate Base'!R34+'Rate Base'!R58+'Rate Base'!R72</f>
        <v>3051941.0916456338</v>
      </c>
    </row>
    <row r="81" spans="1:17">
      <c r="A81" s="13"/>
      <c r="B81" s="19" t="s">
        <v>415</v>
      </c>
      <c r="C81" s="13" t="s">
        <v>414</v>
      </c>
      <c r="D81" s="13">
        <f t="shared" si="4"/>
        <v>75</v>
      </c>
      <c r="E81" s="14">
        <f t="shared" si="3"/>
        <v>8804049364.2704964</v>
      </c>
      <c r="F81" s="5">
        <f>'Rate Base'!G22+'Rate Base'!G34+'Rate Base'!G58</f>
        <v>4902142707.8313417</v>
      </c>
      <c r="G81" s="5">
        <f>'Rate Base'!H22+'Rate Base'!H34+'Rate Base'!H58</f>
        <v>1115691595.6930401</v>
      </c>
      <c r="H81" s="5">
        <f>'Rate Base'!I22+'Rate Base'!I34+'Rate Base'!I58</f>
        <v>1057799674.9586345</v>
      </c>
      <c r="I81" s="5">
        <f>'Rate Base'!J22+'Rate Base'!J34+'Rate Base'!J58</f>
        <v>633050191.47628236</v>
      </c>
      <c r="J81" s="5">
        <f>'Rate Base'!K22+'Rate Base'!K34+'Rate Base'!K58</f>
        <v>431614731.11037052</v>
      </c>
      <c r="K81" s="5">
        <f>'Rate Base'!L22+'Rate Base'!L34+'Rate Base'!L58</f>
        <v>2561698.5220882013</v>
      </c>
      <c r="L81" s="5">
        <f>'Rate Base'!M22+'Rate Base'!M34+'Rate Base'!M58</f>
        <v>58737466.677571312</v>
      </c>
      <c r="M81" s="5">
        <f>'Rate Base'!N22+'Rate Base'!N34+'Rate Base'!N58</f>
        <v>222309023.84301066</v>
      </c>
      <c r="N81" s="5">
        <f>'Rate Base'!O22+'Rate Base'!O34+'Rate Base'!O58</f>
        <v>176997984.69441342</v>
      </c>
      <c r="O81" s="5">
        <f>'Rate Base'!P22+'Rate Base'!P34+'Rate Base'!P58</f>
        <v>102086357.846378</v>
      </c>
      <c r="P81" s="5">
        <f>'Rate Base'!Q22+'Rate Base'!Q34+'Rate Base'!Q58</f>
        <v>98139171.409723803</v>
      </c>
      <c r="Q81" s="5">
        <f>'Rate Base'!R22+'Rate Base'!R34+'Rate Base'!R58</f>
        <v>2918760.2076409683</v>
      </c>
    </row>
    <row r="82" spans="1:17">
      <c r="A82" s="13"/>
      <c r="B82" s="13" t="s">
        <v>417</v>
      </c>
      <c r="C82" s="13" t="s">
        <v>416</v>
      </c>
      <c r="D82" s="13">
        <f t="shared" si="4"/>
        <v>76</v>
      </c>
      <c r="E82" s="14">
        <f t="shared" si="3"/>
        <v>5097747768.4587564</v>
      </c>
      <c r="F82" s="5">
        <f>'Rate Base'!G159</f>
        <v>2826034600.1851525</v>
      </c>
      <c r="G82" s="5">
        <f>'Rate Base'!H159</f>
        <v>627394297.43669915</v>
      </c>
      <c r="H82" s="5">
        <f>'Rate Base'!I159</f>
        <v>622061740.07721901</v>
      </c>
      <c r="I82" s="5">
        <f>'Rate Base'!J159</f>
        <v>375205816.08448553</v>
      </c>
      <c r="J82" s="5">
        <f>'Rate Base'!K159</f>
        <v>256898986.37619263</v>
      </c>
      <c r="K82" s="5">
        <f>'Rate Base'!L159</f>
        <v>1474796.0673447386</v>
      </c>
      <c r="L82" s="5">
        <f>'Rate Base'!M159</f>
        <v>34494735.457986288</v>
      </c>
      <c r="M82" s="5">
        <f>'Rate Base'!N159</f>
        <v>127444464.36910182</v>
      </c>
      <c r="N82" s="5">
        <f>'Rate Base'!O159</f>
        <v>107795034.72517969</v>
      </c>
      <c r="O82" s="5">
        <f>'Rate Base'!P159</f>
        <v>60855919.302659035</v>
      </c>
      <c r="P82" s="5">
        <f>'Rate Base'!Q159</f>
        <v>56346537.784857169</v>
      </c>
      <c r="Q82" s="5">
        <f>'Rate Base'!R159</f>
        <v>1740840.5918795217</v>
      </c>
    </row>
    <row r="83" spans="1:17">
      <c r="A83" s="13"/>
      <c r="B83" s="19" t="s">
        <v>419</v>
      </c>
      <c r="C83" s="13" t="s">
        <v>418</v>
      </c>
      <c r="D83" s="13">
        <f t="shared" si="4"/>
        <v>77</v>
      </c>
      <c r="E83" s="14">
        <f t="shared" si="3"/>
        <v>1979688699.2951281</v>
      </c>
      <c r="F83" s="5">
        <f>+Expenses!G111+Expenses!G137+('Rate Base'!G159*0.0774)</f>
        <v>1080059487.8343403</v>
      </c>
      <c r="G83" s="5">
        <f>+Expenses!H111+Expenses!H137+('Rate Base'!H159*0.0774)</f>
        <v>254657307.25707567</v>
      </c>
      <c r="H83" s="5">
        <f>+Expenses!I111+Expenses!I137+('Rate Base'!I159*0.0774)</f>
        <v>245294195.43661463</v>
      </c>
      <c r="I83" s="5">
        <f>+Expenses!J111+Expenses!J137+('Rate Base'!J159*0.0774)</f>
        <v>154848012.09770963</v>
      </c>
      <c r="J83" s="5">
        <f>+Expenses!K111+Expenses!K137+('Rate Base'!K159*0.0774)</f>
        <v>103220598.35482503</v>
      </c>
      <c r="K83" s="5">
        <f>+Expenses!L111+Expenses!L137+('Rate Base'!L159*0.0774)</f>
        <v>536616.4287184712</v>
      </c>
      <c r="L83" s="5">
        <f>+Expenses!M111+Expenses!M137+('Rate Base'!M159*0.0774)</f>
        <v>11826288.080545563</v>
      </c>
      <c r="M83" s="5">
        <f>+Expenses!N111+Expenses!N137+('Rate Base'!N159*0.0774)</f>
        <v>53453859.697148345</v>
      </c>
      <c r="N83" s="5">
        <f>+Expenses!O111+Expenses!O137+('Rate Base'!O159*0.0774)</f>
        <v>46301590.636430636</v>
      </c>
      <c r="O83" s="5">
        <f>+Expenses!P111+Expenses!P137+('Rate Base'!P159*0.0774)</f>
        <v>10868224.895425498</v>
      </c>
      <c r="P83" s="5">
        <f>+Expenses!Q111+Expenses!Q137+('Rate Base'!Q159*0.0774)</f>
        <v>17975260.240017381</v>
      </c>
      <c r="Q83" s="5">
        <f>+Expenses!R111+Expenses!R137+('Rate Base'!R159*0.0774)</f>
        <v>647258.33627670316</v>
      </c>
    </row>
    <row r="84" spans="1:17">
      <c r="A84" s="13"/>
      <c r="B84" s="13" t="s">
        <v>421</v>
      </c>
      <c r="C84" s="13" t="s">
        <v>420</v>
      </c>
      <c r="D84" s="13">
        <f t="shared" si="4"/>
        <v>78</v>
      </c>
      <c r="E84" s="14">
        <f t="shared" si="3"/>
        <v>99584184.594994292</v>
      </c>
      <c r="F84" s="5">
        <f>Labor!G42</f>
        <v>59436423.952904597</v>
      </c>
      <c r="G84" s="5">
        <f>Labor!H42</f>
        <v>12359447.700884955</v>
      </c>
      <c r="H84" s="5">
        <f>Labor!I42</f>
        <v>10489477.337911984</v>
      </c>
      <c r="I84" s="5">
        <f>Labor!J42</f>
        <v>6224342.1005079504</v>
      </c>
      <c r="J84" s="5">
        <f>Labor!K42</f>
        <v>4242565.5276887156</v>
      </c>
      <c r="K84" s="5">
        <f>Labor!L42</f>
        <v>25347.51084976548</v>
      </c>
      <c r="L84" s="5">
        <f>Labor!M42</f>
        <v>584056.13466170221</v>
      </c>
      <c r="M84" s="5">
        <f>Labor!N42</f>
        <v>2190328.4263171279</v>
      </c>
      <c r="N84" s="5">
        <f>Labor!O42</f>
        <v>1733136.7427210235</v>
      </c>
      <c r="O84" s="5">
        <f>Labor!P42</f>
        <v>1048431.8247905828</v>
      </c>
      <c r="P84" s="5">
        <f>Labor!Q42</f>
        <v>1221752.1578483302</v>
      </c>
      <c r="Q84" s="5">
        <f>Labor!R42</f>
        <v>28875.177907591999</v>
      </c>
    </row>
    <row r="85" spans="1:17">
      <c r="A85" s="13"/>
      <c r="B85" s="19" t="s">
        <v>423</v>
      </c>
      <c r="C85" s="13" t="s">
        <v>422</v>
      </c>
      <c r="D85" s="13">
        <f t="shared" si="4"/>
        <v>79</v>
      </c>
      <c r="E85" s="14">
        <f t="shared" si="3"/>
        <v>58815910.633751206</v>
      </c>
      <c r="F85" s="5">
        <f>Labor!G13+Labor!G17+Labor!G21</f>
        <v>32877220.497175887</v>
      </c>
      <c r="G85" s="5">
        <f>Labor!H13+Labor!H17+Labor!H21</f>
        <v>7445018.4326129761</v>
      </c>
      <c r="H85" s="5">
        <f>Labor!I13+Labor!I17+Labor!I21</f>
        <v>7033665.3557198141</v>
      </c>
      <c r="I85" s="5">
        <f>Labor!J13+Labor!J17+Labor!J21</f>
        <v>4187434.367195176</v>
      </c>
      <c r="J85" s="5">
        <f>Labor!K13+Labor!K17+Labor!K21</f>
        <v>2860567.3900733879</v>
      </c>
      <c r="K85" s="5">
        <f>Labor!L13+Labor!L17+Labor!L21</f>
        <v>17196.312585796091</v>
      </c>
      <c r="L85" s="5">
        <f>Labor!M13+Labor!M17+Labor!M21</f>
        <v>395282.69084779464</v>
      </c>
      <c r="M85" s="5">
        <f>Labor!N13+Labor!N17+Labor!N21</f>
        <v>1470203.3971977504</v>
      </c>
      <c r="N85" s="5">
        <f>Labor!O13+Labor!O17+Labor!O21</f>
        <v>1162921.4550250196</v>
      </c>
      <c r="O85" s="5">
        <f>Labor!P13+Labor!P17+Labor!P21</f>
        <v>676462.02616820775</v>
      </c>
      <c r="P85" s="5">
        <f>Labor!Q13+Labor!Q17+Labor!Q21</f>
        <v>670410.29221587488</v>
      </c>
      <c r="Q85" s="5">
        <f>Labor!R13+Labor!R17+Labor!R21</f>
        <v>19528.416933530658</v>
      </c>
    </row>
    <row r="86" spans="1:17">
      <c r="A86" s="13"/>
      <c r="B86" s="13" t="s">
        <v>425</v>
      </c>
      <c r="C86" s="13" t="s">
        <v>424</v>
      </c>
      <c r="D86" s="13">
        <f t="shared" si="4"/>
        <v>80</v>
      </c>
      <c r="E86" s="14">
        <f t="shared" si="3"/>
        <v>4916207375.3556805</v>
      </c>
      <c r="F86" s="5">
        <f>'Rate Base'!G34+'Rate Base'!G58</f>
        <v>2948055006.5729218</v>
      </c>
      <c r="G86" s="5">
        <f>'Rate Base'!H34+'Rate Base'!H58</f>
        <v>600000458.59940135</v>
      </c>
      <c r="H86" s="5">
        <f>'Rate Base'!I34+'Rate Base'!I58</f>
        <v>521607947.05744779</v>
      </c>
      <c r="I86" s="5">
        <f>'Rate Base'!J34+'Rate Base'!J58</f>
        <v>270773299.26522201</v>
      </c>
      <c r="J86" s="5">
        <f>'Rate Base'!K34+'Rate Base'!K58</f>
        <v>195121190.76667124</v>
      </c>
      <c r="K86" s="5">
        <f>'Rate Base'!L34+'Rate Base'!L58</f>
        <v>1570298.8149149234</v>
      </c>
      <c r="L86" s="5">
        <f>'Rate Base'!M34+'Rate Base'!M58</f>
        <v>37867530.881076574</v>
      </c>
      <c r="M86" s="5">
        <f>'Rate Base'!N34+'Rate Base'!N58</f>
        <v>94515657.667380676</v>
      </c>
      <c r="N86" s="5">
        <f>'Rate Base'!O34+'Rate Base'!O58</f>
        <v>60860368.801550075</v>
      </c>
      <c r="O86" s="5">
        <f>'Rate Base'!P34+'Rate Base'!P58</f>
        <v>102086357.846378</v>
      </c>
      <c r="P86" s="5">
        <f>'Rate Base'!Q34+'Rate Base'!Q58</f>
        <v>82082383.995505616</v>
      </c>
      <c r="Q86" s="5">
        <f>'Rate Base'!R34+'Rate Base'!R58</f>
        <v>1666875.0872103977</v>
      </c>
    </row>
    <row r="87" spans="1:17">
      <c r="A87" s="13"/>
      <c r="B87" s="19" t="s">
        <v>427</v>
      </c>
      <c r="C87" s="13" t="s">
        <v>426</v>
      </c>
      <c r="D87" s="13">
        <f t="shared" si="4"/>
        <v>81</v>
      </c>
      <c r="E87" s="14">
        <f t="shared" si="3"/>
        <v>0</v>
      </c>
      <c r="F87" s="30"/>
    </row>
    <row r="88" spans="1:17">
      <c r="A88" s="13"/>
      <c r="B88" s="13" t="s">
        <v>429</v>
      </c>
      <c r="C88" s="13" t="s">
        <v>428</v>
      </c>
      <c r="D88" s="13">
        <f t="shared" si="4"/>
        <v>82</v>
      </c>
      <c r="E88" s="14">
        <f t="shared" si="3"/>
        <v>1389050214.9999995</v>
      </c>
      <c r="F88" s="5">
        <f>'Rate Base'!G34</f>
        <v>650545562.84401441</v>
      </c>
      <c r="G88" s="5">
        <f>'Rate Base'!H34</f>
        <v>171681435.18748099</v>
      </c>
      <c r="H88" s="5">
        <f>'Rate Base'!I34</f>
        <v>178506394.15781912</v>
      </c>
      <c r="I88" s="5">
        <f>'Rate Base'!J34</f>
        <v>120607496.06941885</v>
      </c>
      <c r="J88" s="5">
        <f>'Rate Base'!K34</f>
        <v>78732302.144262612</v>
      </c>
      <c r="K88" s="5">
        <f>'Rate Base'!L34</f>
        <v>330052.06475179549</v>
      </c>
      <c r="L88" s="5">
        <f>'Rate Base'!M34</f>
        <v>6947919.5434809327</v>
      </c>
      <c r="M88" s="5">
        <f>'Rate Base'!N34</f>
        <v>42544358.307417721</v>
      </c>
      <c r="N88" s="5">
        <f>'Rate Base'!O34</f>
        <v>38663981.483394645</v>
      </c>
      <c r="O88" s="5">
        <f>'Rate Base'!P34</f>
        <v>94728392.443939209</v>
      </c>
      <c r="P88" s="5">
        <f>'Rate Base'!Q34</f>
        <v>5345549.1271565305</v>
      </c>
      <c r="Q88" s="5">
        <f>'Rate Base'!R34</f>
        <v>416771.62686305156</v>
      </c>
    </row>
    <row r="89" spans="1:17">
      <c r="A89" s="13"/>
      <c r="B89" s="19" t="s">
        <v>431</v>
      </c>
      <c r="C89" s="13" t="s">
        <v>430</v>
      </c>
      <c r="D89" s="13">
        <f t="shared" si="4"/>
        <v>83</v>
      </c>
      <c r="E89" s="14">
        <f t="shared" si="3"/>
        <v>993323025.24871218</v>
      </c>
      <c r="F89" s="5">
        <f>Expenses!G20+Expenses!G29+Expenses!G35+Expenses!G40+Expenses!G44+Expenses!G57+Expenses!G102</f>
        <v>511816146.82163817</v>
      </c>
      <c r="G89" s="5">
        <f>Expenses!H20+Expenses!H29+Expenses!H35+Expenses!H40+Expenses!H44+Expenses!H57+Expenses!H102</f>
        <v>132859632.7038682</v>
      </c>
      <c r="H89" s="5">
        <f>Expenses!I20+Expenses!I29+Expenses!I35+Expenses!I40+Expenses!I44+Expenses!I57+Expenses!I102</f>
        <v>134853875.64119104</v>
      </c>
      <c r="I89" s="5">
        <f>Expenses!J20+Expenses!J29+Expenses!J35+Expenses!J40+Expenses!J44+Expenses!J57+Expenses!J102</f>
        <v>88560905.027952939</v>
      </c>
      <c r="J89" s="5">
        <f>Expenses!K20+Expenses!K29+Expenses!K35+Expenses!K40+Expenses!K44+Expenses!K57+Expenses!K102</f>
        <v>57935192.623503707</v>
      </c>
      <c r="M89" s="5">
        <f>Expenses!N20+Expenses!N29+Expenses!N35+Expenses!N40+Expenses!N44+Expenses!N57+Expenses!N102</f>
        <v>30592358.951950431</v>
      </c>
      <c r="N89" s="5">
        <f>Expenses!O20+Expenses!O29+Expenses!O35+Expenses!O40+Expenses!O44+Expenses!O57+Expenses!O102</f>
        <v>27525171.695043147</v>
      </c>
      <c r="O89" s="5">
        <f>Expenses!P20+Expenses!P29+Expenses!P35+Expenses!P40+Expenses!P44+Expenses!P57+Expenses!P102</f>
        <v>1487963.5841322746</v>
      </c>
      <c r="P89" s="5">
        <f>Expenses!Q20+Expenses!Q29+Expenses!Q35+Expenses!Q40+Expenses!Q44+Expenses!Q57+Expenses!Q102</f>
        <v>7351578.8230322013</v>
      </c>
      <c r="Q89" s="5">
        <f>Expenses!R20+Expenses!R29+Expenses!R35+Expenses!R40+Expenses!R44+Expenses!R57+Expenses!R102</f>
        <v>340199.37640017009</v>
      </c>
    </row>
    <row r="90" spans="1:17">
      <c r="B90" s="92" t="s">
        <v>490</v>
      </c>
      <c r="D90" s="13">
        <f t="shared" si="4"/>
        <v>84</v>
      </c>
      <c r="E90" s="14">
        <f t="shared" si="3"/>
        <v>1952917434</v>
      </c>
      <c r="F90" s="5">
        <f>Revenue!G13</f>
        <v>1066627454</v>
      </c>
      <c r="G90" s="5">
        <f>Revenue!H13</f>
        <v>266944271</v>
      </c>
      <c r="H90" s="5">
        <f>Revenue!I13</f>
        <v>252922820</v>
      </c>
      <c r="I90" s="5">
        <f>Revenue!J13</f>
        <v>151834735</v>
      </c>
      <c r="J90" s="5">
        <f>Revenue!K13</f>
        <v>101394675</v>
      </c>
      <c r="M90" s="5">
        <f>Revenue!N13</f>
        <v>47836622</v>
      </c>
      <c r="N90" s="5">
        <f>Revenue!O13</f>
        <v>40360092</v>
      </c>
      <c r="O90" s="5">
        <f>Revenue!P13</f>
        <v>7513279</v>
      </c>
      <c r="P90" s="5">
        <f>Revenue!Q13</f>
        <v>17167097</v>
      </c>
      <c r="Q90" s="5">
        <f>Revenue!R13</f>
        <v>316389</v>
      </c>
    </row>
    <row r="91" spans="1:17">
      <c r="D91" s="13">
        <f t="shared" si="4"/>
        <v>85</v>
      </c>
      <c r="E91" s="14">
        <f t="shared" si="3"/>
        <v>0</v>
      </c>
    </row>
    <row r="92" spans="1:17">
      <c r="D92" s="13">
        <f t="shared" si="4"/>
        <v>86</v>
      </c>
      <c r="E92" s="14"/>
    </row>
    <row r="93" spans="1:17">
      <c r="B93" s="16" t="s">
        <v>487</v>
      </c>
      <c r="D93" s="13">
        <f t="shared" si="4"/>
        <v>87</v>
      </c>
      <c r="E93" s="14">
        <f t="shared" si="3"/>
        <v>1214311299</v>
      </c>
      <c r="F93" s="5">
        <f>'Rate Base'!G29+'Rate Base'!G30</f>
        <v>562914795.91773939</v>
      </c>
      <c r="G93" s="5">
        <f>'Rate Base'!H29+'Rate Base'!H30</f>
        <v>148555344.26971099</v>
      </c>
      <c r="H93" s="5">
        <f>'Rate Base'!I29+'Rate Base'!I30</f>
        <v>154460957.35104412</v>
      </c>
      <c r="I93" s="5">
        <f>'Rate Base'!J29+'Rate Base'!J30</f>
        <v>104361243.72174884</v>
      </c>
      <c r="J93" s="5">
        <f>'Rate Base'!K29+'Rate Base'!K30</f>
        <v>68126785.155397609</v>
      </c>
      <c r="K93" s="5">
        <f>'Rate Base'!L29+'Rate Base'!L30</f>
        <v>285592.89507679548</v>
      </c>
      <c r="L93" s="5">
        <f>'Rate Base'!M29+'Rate Base'!M30</f>
        <v>6012010.4344009329</v>
      </c>
      <c r="M93" s="5">
        <f>'Rate Base'!N29+'Rate Base'!N30</f>
        <v>36813484.161467716</v>
      </c>
      <c r="N93" s="5">
        <f>'Rate Base'!O29+'Rate Base'!O30</f>
        <v>33455807.693074644</v>
      </c>
      <c r="O93" s="5">
        <f>'Rate Base'!P29+'Rate Base'!P30</f>
        <v>94339161.443939209</v>
      </c>
      <c r="P93" s="5">
        <f>'Rate Base'!Q29+'Rate Base'!Q30</f>
        <v>4625484.9281065306</v>
      </c>
      <c r="Q93" s="5">
        <f>'Rate Base'!R29+'Rate Base'!R30</f>
        <v>360631.02829305152</v>
      </c>
    </row>
    <row r="94" spans="1:17">
      <c r="B94" s="16" t="s">
        <v>556</v>
      </c>
      <c r="D94" s="13">
        <f t="shared" si="4"/>
        <v>88</v>
      </c>
      <c r="E94" s="93">
        <f>SUM(F94:Q94)</f>
        <v>1</v>
      </c>
      <c r="F94" s="5">
        <v>0.50261500000000003</v>
      </c>
      <c r="G94" s="5">
        <v>0.13264200000000001</v>
      </c>
      <c r="H94" s="5">
        <v>0.13791500000000001</v>
      </c>
      <c r="I94" s="16">
        <v>9.3182000000000001E-2</v>
      </c>
      <c r="J94" s="16">
        <v>6.0829000000000001E-2</v>
      </c>
      <c r="K94" s="16">
        <v>2.5500000000000002E-4</v>
      </c>
      <c r="L94" s="16">
        <v>5.3680000000000004E-3</v>
      </c>
      <c r="M94" s="16">
        <v>3.2870000000000003E-2</v>
      </c>
      <c r="N94" s="16">
        <v>2.9871999999999999E-2</v>
      </c>
      <c r="O94" s="16">
        <v>0</v>
      </c>
      <c r="P94" s="16">
        <v>4.13E-3</v>
      </c>
      <c r="Q94" s="16">
        <v>3.2200000000000002E-4</v>
      </c>
    </row>
    <row r="95" spans="1:17">
      <c r="B95" s="16" t="s">
        <v>557</v>
      </c>
      <c r="D95" s="13">
        <f t="shared" si="4"/>
        <v>89</v>
      </c>
      <c r="E95" s="93">
        <f t="shared" si="3"/>
        <v>1.0000000000000002</v>
      </c>
      <c r="F95" s="5">
        <v>0.50065400000000004</v>
      </c>
      <c r="G95" s="5">
        <v>0.13309499999999999</v>
      </c>
      <c r="H95" s="5">
        <v>0.13891700000000001</v>
      </c>
      <c r="I95" s="16">
        <v>9.3733999999999998E-2</v>
      </c>
      <c r="J95" s="5">
        <v>6.0990000000000003E-2</v>
      </c>
      <c r="K95" s="16">
        <v>2.6800000000000001E-4</v>
      </c>
      <c r="L95" s="16">
        <v>5.3410000000000003E-3</v>
      </c>
      <c r="M95" s="16">
        <v>3.2864999999999998E-2</v>
      </c>
      <c r="N95" s="16">
        <v>2.9818000000000001E-2</v>
      </c>
      <c r="O95" s="16">
        <v>0</v>
      </c>
      <c r="P95" s="16">
        <v>4.0070000000000001E-3</v>
      </c>
      <c r="Q95" s="16">
        <v>3.1100000000000002E-4</v>
      </c>
    </row>
    <row r="96" spans="1:17">
      <c r="B96" s="16" t="s">
        <v>558</v>
      </c>
      <c r="D96" s="13">
        <f t="shared" si="4"/>
        <v>90</v>
      </c>
      <c r="E96" s="93">
        <f>E110</f>
        <v>1</v>
      </c>
      <c r="F96" s="93">
        <f t="shared" ref="F96:Q96" si="5">F110</f>
        <v>0.50022700226777272</v>
      </c>
      <c r="G96" s="93">
        <f t="shared" si="5"/>
        <v>0.13738581468421118</v>
      </c>
      <c r="H96" s="93">
        <f t="shared" si="5"/>
        <v>0.14127517743793652</v>
      </c>
      <c r="I96" s="93">
        <f t="shared" si="5"/>
        <v>9.3116851712093426E-2</v>
      </c>
      <c r="J96" s="93">
        <f t="shared" si="5"/>
        <v>5.6715464841309848E-2</v>
      </c>
      <c r="K96" s="93">
        <f t="shared" si="5"/>
        <v>2.1981824941664702E-4</v>
      </c>
      <c r="L96" s="93">
        <f t="shared" si="5"/>
        <v>5.1282369928246745E-3</v>
      </c>
      <c r="M96" s="93">
        <f t="shared" si="5"/>
        <v>3.2096131096065482E-2</v>
      </c>
      <c r="N96" s="93">
        <f t="shared" si="5"/>
        <v>2.9592531770040193E-2</v>
      </c>
      <c r="O96" s="93">
        <f t="shared" si="5"/>
        <v>0</v>
      </c>
      <c r="P96" s="93">
        <f t="shared" si="5"/>
        <v>3.944564526984576E-3</v>
      </c>
      <c r="Q96" s="93">
        <f t="shared" si="5"/>
        <v>2.984064213448417E-4</v>
      </c>
    </row>
    <row r="97" spans="2:17">
      <c r="B97" s="16" t="s">
        <v>539</v>
      </c>
      <c r="D97" s="13">
        <f t="shared" si="4"/>
        <v>91</v>
      </c>
      <c r="E97" s="14">
        <f>+E123</f>
        <v>1214311299.0000002</v>
      </c>
      <c r="F97" s="14">
        <f t="shared" ref="F97:Q97" si="6">+F123</f>
        <v>562914795.91773951</v>
      </c>
      <c r="G97" s="14">
        <f t="shared" si="6"/>
        <v>148555344.26971102</v>
      </c>
      <c r="H97" s="14">
        <f t="shared" si="6"/>
        <v>154460957.35104415</v>
      </c>
      <c r="I97" s="14">
        <f t="shared" si="6"/>
        <v>104361243.72174886</v>
      </c>
      <c r="J97" s="14">
        <f t="shared" si="6"/>
        <v>68126785.155397624</v>
      </c>
      <c r="K97" s="14">
        <f t="shared" si="6"/>
        <v>285592.89507679554</v>
      </c>
      <c r="L97" s="14">
        <f t="shared" si="6"/>
        <v>6012010.4344009347</v>
      </c>
      <c r="M97" s="14">
        <f t="shared" si="6"/>
        <v>36813484.161467724</v>
      </c>
      <c r="N97" s="14">
        <f t="shared" si="6"/>
        <v>33455807.693074647</v>
      </c>
      <c r="O97" s="14">
        <f t="shared" si="6"/>
        <v>94339161.443939224</v>
      </c>
      <c r="P97" s="14">
        <f t="shared" si="6"/>
        <v>4625484.9281065315</v>
      </c>
      <c r="Q97" s="14">
        <f t="shared" si="6"/>
        <v>360631.02829305158</v>
      </c>
    </row>
    <row r="98" spans="2:17">
      <c r="D98" s="13">
        <f t="shared" si="4"/>
        <v>92</v>
      </c>
      <c r="E98" s="14">
        <f t="shared" si="3"/>
        <v>0</v>
      </c>
    </row>
    <row r="99" spans="2:17">
      <c r="D99" s="13">
        <f t="shared" si="4"/>
        <v>93</v>
      </c>
      <c r="E99" s="14">
        <f t="shared" si="3"/>
        <v>0</v>
      </c>
    </row>
    <row r="100" spans="2:17">
      <c r="D100" s="13">
        <f t="shared" si="4"/>
        <v>94</v>
      </c>
      <c r="E100" s="14">
        <f t="shared" si="3"/>
        <v>0</v>
      </c>
    </row>
    <row r="101" spans="2:17">
      <c r="D101" s="13">
        <f t="shared" si="4"/>
        <v>95</v>
      </c>
      <c r="E101" s="14">
        <f t="shared" si="3"/>
        <v>0</v>
      </c>
    </row>
    <row r="102" spans="2:17">
      <c r="D102" s="13">
        <f t="shared" si="4"/>
        <v>96</v>
      </c>
      <c r="E102" s="14">
        <f t="shared" si="3"/>
        <v>0</v>
      </c>
    </row>
    <row r="103" spans="2:17">
      <c r="D103" s="13">
        <f t="shared" si="4"/>
        <v>97</v>
      </c>
      <c r="E103" s="14">
        <f t="shared" si="3"/>
        <v>0</v>
      </c>
    </row>
    <row r="104" spans="2:17">
      <c r="D104" s="13">
        <f t="shared" si="4"/>
        <v>98</v>
      </c>
      <c r="E104" s="14">
        <f t="shared" si="3"/>
        <v>0</v>
      </c>
    </row>
    <row r="105" spans="2:17">
      <c r="D105" s="13">
        <f t="shared" si="4"/>
        <v>99</v>
      </c>
      <c r="E105" s="14">
        <f t="shared" si="3"/>
        <v>0</v>
      </c>
    </row>
    <row r="106" spans="2:17">
      <c r="B106" s="5" t="s">
        <v>534</v>
      </c>
      <c r="D106" s="13">
        <f t="shared" si="4"/>
        <v>100</v>
      </c>
      <c r="E106" s="14">
        <f t="shared" si="3"/>
        <v>0</v>
      </c>
      <c r="J106" s="94"/>
    </row>
    <row r="107" spans="2:17">
      <c r="B107" s="5" t="s">
        <v>535</v>
      </c>
      <c r="D107" s="13">
        <f t="shared" si="4"/>
        <v>101</v>
      </c>
      <c r="E107" s="14">
        <f t="shared" si="3"/>
        <v>20723205375</v>
      </c>
      <c r="F107" s="94">
        <v>10442426000</v>
      </c>
      <c r="G107" s="94">
        <v>2787459000</v>
      </c>
      <c r="H107" s="94">
        <v>2845226000</v>
      </c>
      <c r="I107" s="95">
        <v>1867682000</v>
      </c>
      <c r="J107" s="94">
        <v>1264534374</v>
      </c>
      <c r="K107" s="94">
        <v>4452600</v>
      </c>
      <c r="L107" s="94">
        <v>119660401</v>
      </c>
      <c r="M107" s="95">
        <v>674604000</v>
      </c>
      <c r="N107" s="95">
        <v>632259000</v>
      </c>
      <c r="O107" s="95">
        <v>0</v>
      </c>
      <c r="P107" s="95">
        <v>77972000</v>
      </c>
      <c r="Q107" s="95">
        <v>6930000</v>
      </c>
    </row>
    <row r="108" spans="2:17">
      <c r="B108" s="5" t="s">
        <v>536</v>
      </c>
      <c r="D108" s="13">
        <f t="shared" si="4"/>
        <v>102</v>
      </c>
      <c r="E108" s="14"/>
      <c r="F108" s="5">
        <v>1.1769999999999999E-2</v>
      </c>
      <c r="G108" s="5">
        <v>1.2109999999999999E-2</v>
      </c>
      <c r="H108" s="5">
        <v>1.2200000000000001E-2</v>
      </c>
      <c r="I108" s="16">
        <v>1.225E-2</v>
      </c>
      <c r="J108" s="16">
        <v>1.102E-2</v>
      </c>
      <c r="K108" s="16">
        <v>1.213E-2</v>
      </c>
      <c r="L108" s="16">
        <v>1.0529999999999999E-2</v>
      </c>
      <c r="M108" s="16">
        <v>1.1690000000000001E-2</v>
      </c>
      <c r="N108" s="16">
        <v>1.15E-2</v>
      </c>
      <c r="O108" s="16">
        <v>0</v>
      </c>
      <c r="P108" s="16">
        <v>1.243E-2</v>
      </c>
      <c r="Q108" s="16">
        <v>1.0580000000000001E-2</v>
      </c>
    </row>
    <row r="109" spans="2:17">
      <c r="B109" s="5" t="s">
        <v>537</v>
      </c>
      <c r="D109" s="13">
        <f t="shared" si="4"/>
        <v>103</v>
      </c>
      <c r="E109" s="96">
        <f>SUM(F109:Q109)</f>
        <v>245703157.69200996</v>
      </c>
      <c r="F109" s="82">
        <f>+F108*F107</f>
        <v>122907354.02</v>
      </c>
      <c r="G109" s="82">
        <f t="shared" ref="G109:Q109" si="7">+G108*G107</f>
        <v>33756128.489999995</v>
      </c>
      <c r="H109" s="82">
        <f t="shared" si="7"/>
        <v>34711757.200000003</v>
      </c>
      <c r="I109" s="82">
        <f t="shared" si="7"/>
        <v>22879104.5</v>
      </c>
      <c r="J109" s="82">
        <f t="shared" si="7"/>
        <v>13935168.801480001</v>
      </c>
      <c r="K109" s="82">
        <f t="shared" ref="K109:L109" si="8">+K108*K107</f>
        <v>54010.038</v>
      </c>
      <c r="L109" s="82">
        <f t="shared" si="8"/>
        <v>1260024.02253</v>
      </c>
      <c r="M109" s="82">
        <f t="shared" si="7"/>
        <v>7886120.7600000007</v>
      </c>
      <c r="N109" s="82">
        <f t="shared" si="7"/>
        <v>7270978.5</v>
      </c>
      <c r="O109" s="82">
        <f t="shared" si="7"/>
        <v>0</v>
      </c>
      <c r="P109" s="82">
        <f t="shared" si="7"/>
        <v>969191.96</v>
      </c>
      <c r="Q109" s="82">
        <f t="shared" si="7"/>
        <v>73319.400000000009</v>
      </c>
    </row>
    <row r="110" spans="2:17">
      <c r="B110" s="5" t="s">
        <v>538</v>
      </c>
      <c r="D110" s="13">
        <f t="shared" si="4"/>
        <v>104</v>
      </c>
      <c r="E110" s="93">
        <f t="shared" si="3"/>
        <v>1</v>
      </c>
      <c r="F110" s="97">
        <f>F109/$E109</f>
        <v>0.50022700226777272</v>
      </c>
      <c r="G110" s="97">
        <f t="shared" ref="G110:Q110" si="9">G109/$E109</f>
        <v>0.13738581468421118</v>
      </c>
      <c r="H110" s="97">
        <f t="shared" si="9"/>
        <v>0.14127517743793652</v>
      </c>
      <c r="I110" s="97">
        <f t="shared" si="9"/>
        <v>9.3116851712093426E-2</v>
      </c>
      <c r="J110" s="97">
        <f t="shared" si="9"/>
        <v>5.6715464841309848E-2</v>
      </c>
      <c r="K110" s="97">
        <f t="shared" ref="K110:L110" si="10">K109/$E109</f>
        <v>2.1981824941664702E-4</v>
      </c>
      <c r="L110" s="97">
        <f t="shared" si="10"/>
        <v>5.1282369928246745E-3</v>
      </c>
      <c r="M110" s="97">
        <f t="shared" si="9"/>
        <v>3.2096131096065482E-2</v>
      </c>
      <c r="N110" s="97">
        <f t="shared" si="9"/>
        <v>2.9592531770040193E-2</v>
      </c>
      <c r="O110" s="97">
        <f t="shared" si="9"/>
        <v>0</v>
      </c>
      <c r="P110" s="97">
        <f t="shared" si="9"/>
        <v>3.944564526984576E-3</v>
      </c>
      <c r="Q110" s="97">
        <f t="shared" si="9"/>
        <v>2.984064213448417E-4</v>
      </c>
    </row>
    <row r="111" spans="2:17">
      <c r="D111" s="13">
        <f t="shared" si="4"/>
        <v>105</v>
      </c>
      <c r="E111" s="14">
        <f t="shared" si="3"/>
        <v>0</v>
      </c>
    </row>
    <row r="112" spans="2:17">
      <c r="B112" s="5" t="s">
        <v>540</v>
      </c>
      <c r="D112" s="13">
        <f t="shared" si="4"/>
        <v>106</v>
      </c>
      <c r="E112" s="14">
        <f t="shared" si="3"/>
        <v>0</v>
      </c>
    </row>
    <row r="113" spans="2:17">
      <c r="B113" s="5" t="s">
        <v>541</v>
      </c>
      <c r="D113" s="13">
        <f t="shared" si="4"/>
        <v>107</v>
      </c>
      <c r="E113" s="98">
        <f>E57/8784/E35</f>
        <v>0.66518120149247217</v>
      </c>
    </row>
    <row r="114" spans="2:17">
      <c r="B114" s="5" t="s">
        <v>542</v>
      </c>
      <c r="D114" s="13">
        <f t="shared" si="4"/>
        <v>108</v>
      </c>
      <c r="E114" s="14">
        <f t="shared" si="3"/>
        <v>0</v>
      </c>
    </row>
    <row r="115" spans="2:17">
      <c r="B115" s="5" t="s">
        <v>543</v>
      </c>
      <c r="D115" s="13">
        <f t="shared" si="4"/>
        <v>109</v>
      </c>
      <c r="E115" s="98">
        <f>+E113</f>
        <v>0.66518120149247217</v>
      </c>
    </row>
    <row r="116" spans="2:17">
      <c r="B116" s="5" t="s">
        <v>544</v>
      </c>
      <c r="D116" s="13">
        <f t="shared" si="4"/>
        <v>110</v>
      </c>
      <c r="E116" s="99">
        <f>1-E115</f>
        <v>0.33481879850752783</v>
      </c>
    </row>
    <row r="117" spans="2:17">
      <c r="B117" s="5" t="s">
        <v>545</v>
      </c>
      <c r="D117" s="13">
        <f t="shared" si="4"/>
        <v>111</v>
      </c>
      <c r="E117" s="14">
        <f>+'Rate Base'!E28</f>
        <v>1214311299</v>
      </c>
    </row>
    <row r="118" spans="2:17">
      <c r="B118" s="5" t="s">
        <v>546</v>
      </c>
      <c r="D118" s="13">
        <f t="shared" si="4"/>
        <v>112</v>
      </c>
      <c r="E118" s="14">
        <f>+O118</f>
        <v>23633319.607001845</v>
      </c>
      <c r="O118" s="60">
        <f>+O35/E35*E116*E117</f>
        <v>23633319.607001845</v>
      </c>
    </row>
    <row r="119" spans="2:17">
      <c r="B119" s="5" t="s">
        <v>547</v>
      </c>
      <c r="D119" s="13">
        <f t="shared" si="4"/>
        <v>113</v>
      </c>
      <c r="E119" s="14">
        <f t="shared" ref="E119:E120" si="11">+O119</f>
        <v>70705841.836937383</v>
      </c>
      <c r="O119" s="60">
        <f>+O57/E57*E115*E117</f>
        <v>70705841.836937383</v>
      </c>
    </row>
    <row r="120" spans="2:17">
      <c r="B120" s="5" t="s">
        <v>548</v>
      </c>
      <c r="D120" s="13">
        <f t="shared" si="4"/>
        <v>114</v>
      </c>
      <c r="E120" s="14">
        <f t="shared" si="11"/>
        <v>94339161.443939224</v>
      </c>
      <c r="O120" s="100">
        <f>+O119+O118</f>
        <v>94339161.443939224</v>
      </c>
    </row>
    <row r="121" spans="2:17">
      <c r="B121" s="5" t="s">
        <v>549</v>
      </c>
      <c r="D121" s="13">
        <f t="shared" si="4"/>
        <v>115</v>
      </c>
      <c r="E121" s="14">
        <f>+E117-E120</f>
        <v>1119972137.5560608</v>
      </c>
    </row>
    <row r="122" spans="2:17">
      <c r="B122" s="5" t="s">
        <v>550</v>
      </c>
      <c r="D122" s="13">
        <f t="shared" si="4"/>
        <v>116</v>
      </c>
      <c r="E122" s="14">
        <f t="shared" si="3"/>
        <v>1119972137.556061</v>
      </c>
      <c r="F122" s="60">
        <f>+F94*$E121</f>
        <v>562914795.91773951</v>
      </c>
      <c r="G122" s="60">
        <f t="shared" ref="G122:Q122" si="12">+G94*$E121</f>
        <v>148555344.26971102</v>
      </c>
      <c r="H122" s="60">
        <f t="shared" si="12"/>
        <v>154460957.35104415</v>
      </c>
      <c r="I122" s="60">
        <f t="shared" si="12"/>
        <v>104361243.72174886</v>
      </c>
      <c r="J122" s="60">
        <f t="shared" si="12"/>
        <v>68126785.155397624</v>
      </c>
      <c r="K122" s="60">
        <f t="shared" ref="K122:L122" si="13">+K94*$E121</f>
        <v>285592.89507679554</v>
      </c>
      <c r="L122" s="60">
        <f t="shared" si="13"/>
        <v>6012010.4344009347</v>
      </c>
      <c r="M122" s="60">
        <f t="shared" si="12"/>
        <v>36813484.161467724</v>
      </c>
      <c r="N122" s="60">
        <f t="shared" si="12"/>
        <v>33455807.693074647</v>
      </c>
      <c r="O122" s="60">
        <f t="shared" si="12"/>
        <v>0</v>
      </c>
      <c r="P122" s="60">
        <f t="shared" si="12"/>
        <v>4625484.9281065315</v>
      </c>
      <c r="Q122" s="60">
        <f t="shared" si="12"/>
        <v>360631.02829305158</v>
      </c>
    </row>
    <row r="123" spans="2:17">
      <c r="B123" s="5" t="s">
        <v>551</v>
      </c>
      <c r="D123" s="13">
        <f t="shared" si="4"/>
        <v>117</v>
      </c>
      <c r="E123" s="14">
        <f t="shared" si="3"/>
        <v>1214311299.0000002</v>
      </c>
      <c r="F123" s="100">
        <f>+F122+F120</f>
        <v>562914795.91773951</v>
      </c>
      <c r="G123" s="100">
        <f t="shared" ref="G123:Q123" si="14">+G122+G120</f>
        <v>148555344.26971102</v>
      </c>
      <c r="H123" s="100">
        <f t="shared" si="14"/>
        <v>154460957.35104415</v>
      </c>
      <c r="I123" s="100">
        <f t="shared" si="14"/>
        <v>104361243.72174886</v>
      </c>
      <c r="J123" s="100">
        <f t="shared" si="14"/>
        <v>68126785.155397624</v>
      </c>
      <c r="K123" s="100">
        <f t="shared" ref="K123:L123" si="15">+K122+K120</f>
        <v>285592.89507679554</v>
      </c>
      <c r="L123" s="100">
        <f t="shared" si="15"/>
        <v>6012010.4344009347</v>
      </c>
      <c r="M123" s="100">
        <f t="shared" si="14"/>
        <v>36813484.161467724</v>
      </c>
      <c r="N123" s="100">
        <f t="shared" si="14"/>
        <v>33455807.693074647</v>
      </c>
      <c r="O123" s="100">
        <f t="shared" si="14"/>
        <v>94339161.443939224</v>
      </c>
      <c r="P123" s="100">
        <f t="shared" si="14"/>
        <v>4625484.9281065315</v>
      </c>
      <c r="Q123" s="100">
        <f t="shared" si="14"/>
        <v>360631.02829305158</v>
      </c>
    </row>
    <row r="124" spans="2:17">
      <c r="D124" s="13">
        <f t="shared" si="4"/>
        <v>118</v>
      </c>
      <c r="E124" s="14">
        <f t="shared" si="3"/>
        <v>0</v>
      </c>
    </row>
    <row r="125" spans="2:17">
      <c r="D125" s="13">
        <f t="shared" si="4"/>
        <v>119</v>
      </c>
      <c r="E125" s="14">
        <f t="shared" si="3"/>
        <v>0</v>
      </c>
    </row>
    <row r="126" spans="2:17">
      <c r="E126" s="14">
        <f t="shared" si="3"/>
        <v>0</v>
      </c>
    </row>
    <row r="127" spans="2:17">
      <c r="E127" s="14">
        <f t="shared" si="3"/>
        <v>0</v>
      </c>
    </row>
    <row r="128" spans="2:17">
      <c r="E128" s="14">
        <f t="shared" si="3"/>
        <v>0</v>
      </c>
    </row>
    <row r="129" spans="5:5">
      <c r="E129" s="14">
        <f t="shared" si="3"/>
        <v>0</v>
      </c>
    </row>
    <row r="130" spans="5:5">
      <c r="E130" s="14">
        <f t="shared" si="3"/>
        <v>0</v>
      </c>
    </row>
    <row r="131" spans="5:5">
      <c r="E131" s="14">
        <f t="shared" si="3"/>
        <v>0</v>
      </c>
    </row>
    <row r="132" spans="5:5">
      <c r="E132" s="14">
        <f t="shared" si="3"/>
        <v>0</v>
      </c>
    </row>
    <row r="133" spans="5:5">
      <c r="E133" s="14">
        <f t="shared" si="3"/>
        <v>0</v>
      </c>
    </row>
    <row r="134" spans="5:5">
      <c r="E134" s="14">
        <f t="shared" si="3"/>
        <v>0</v>
      </c>
    </row>
    <row r="135" spans="5:5">
      <c r="E135" s="14">
        <f t="shared" si="3"/>
        <v>0</v>
      </c>
    </row>
    <row r="136" spans="5:5">
      <c r="E136" s="14">
        <f t="shared" ref="E136:E152" si="16">SUM(F136:Q136)</f>
        <v>0</v>
      </c>
    </row>
    <row r="137" spans="5:5">
      <c r="E137" s="14">
        <f t="shared" si="16"/>
        <v>0</v>
      </c>
    </row>
    <row r="138" spans="5:5">
      <c r="E138" s="14">
        <f t="shared" si="16"/>
        <v>0</v>
      </c>
    </row>
    <row r="139" spans="5:5">
      <c r="E139" s="14">
        <f t="shared" si="16"/>
        <v>0</v>
      </c>
    </row>
    <row r="140" spans="5:5">
      <c r="E140" s="14">
        <f t="shared" si="16"/>
        <v>0</v>
      </c>
    </row>
    <row r="141" spans="5:5">
      <c r="E141" s="14">
        <f t="shared" si="16"/>
        <v>0</v>
      </c>
    </row>
    <row r="142" spans="5:5">
      <c r="E142" s="14">
        <f t="shared" si="16"/>
        <v>0</v>
      </c>
    </row>
    <row r="143" spans="5:5">
      <c r="E143" s="14">
        <f t="shared" si="16"/>
        <v>0</v>
      </c>
    </row>
    <row r="144" spans="5:5">
      <c r="E144" s="14">
        <f t="shared" si="16"/>
        <v>0</v>
      </c>
    </row>
    <row r="145" spans="5:5">
      <c r="E145" s="14">
        <f t="shared" si="16"/>
        <v>0</v>
      </c>
    </row>
    <row r="146" spans="5:5">
      <c r="E146" s="14">
        <f t="shared" si="16"/>
        <v>0</v>
      </c>
    </row>
    <row r="147" spans="5:5">
      <c r="E147" s="14">
        <f t="shared" si="16"/>
        <v>0</v>
      </c>
    </row>
    <row r="148" spans="5:5">
      <c r="E148" s="14">
        <f t="shared" si="16"/>
        <v>0</v>
      </c>
    </row>
    <row r="149" spans="5:5">
      <c r="E149" s="14">
        <f t="shared" si="16"/>
        <v>0</v>
      </c>
    </row>
    <row r="150" spans="5:5">
      <c r="E150" s="14">
        <f t="shared" si="16"/>
        <v>0</v>
      </c>
    </row>
    <row r="151" spans="5:5">
      <c r="E151" s="14">
        <f t="shared" si="16"/>
        <v>0</v>
      </c>
    </row>
    <row r="152" spans="5:5">
      <c r="E152" s="14">
        <f t="shared" si="16"/>
        <v>0</v>
      </c>
    </row>
  </sheetData>
  <mergeCells count="2">
    <mergeCell ref="S2:U2"/>
    <mergeCell ref="W2:X2"/>
  </mergeCells>
  <pageMargins left="0.7" right="0.7" top="0.75" bottom="0.75" header="0.3" footer="0.3"/>
  <pageSetup scale="58" fitToHeight="0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X125"/>
  <sheetViews>
    <sheetView topLeftCell="B1" workbookViewId="0">
      <pane xSplit="1" ySplit="3" topLeftCell="D113" activePane="bottomRight" state="frozen"/>
      <selection activeCell="B1" sqref="B1"/>
      <selection pane="topRight" activeCell="C1" sqref="C1"/>
      <selection pane="bottomLeft" activeCell="B4" sqref="B4"/>
      <selection pane="bottomRight" activeCell="E7" sqref="E7"/>
    </sheetView>
  </sheetViews>
  <sheetFormatPr defaultRowHeight="15"/>
  <cols>
    <col min="1" max="1" width="9.140625" style="5"/>
    <col min="2" max="2" width="72" style="5" customWidth="1"/>
    <col min="3" max="4" width="16.7109375" style="5" customWidth="1"/>
    <col min="5" max="5" width="16.140625" style="5" bestFit="1" customWidth="1"/>
    <col min="6" max="9" width="16.5703125" style="5" bestFit="1" customWidth="1"/>
    <col min="10" max="12" width="16.5703125" style="5" customWidth="1"/>
    <col min="13" max="14" width="16.5703125" style="5" bestFit="1" customWidth="1"/>
    <col min="15" max="15" width="16.5703125" style="5" customWidth="1"/>
    <col min="16" max="16" width="16.5703125" style="5" bestFit="1" customWidth="1"/>
    <col min="17" max="17" width="15.28515625" style="5" bestFit="1" customWidth="1"/>
    <col min="18" max="18" width="13.28515625" style="5" customWidth="1"/>
    <col min="19" max="21" width="16.5703125" style="5" bestFit="1" customWidth="1"/>
    <col min="22" max="22" width="6.7109375" style="5" customWidth="1"/>
    <col min="23" max="24" width="16.5703125" style="5" bestFit="1" customWidth="1"/>
    <col min="25" max="255" width="9.140625" style="5"/>
    <col min="256" max="256" width="72" style="5" customWidth="1"/>
    <col min="257" max="257" width="16.7109375" style="5" customWidth="1"/>
    <col min="258" max="258" width="16.140625" style="5" bestFit="1" customWidth="1"/>
    <col min="259" max="262" width="16.5703125" style="5" bestFit="1" customWidth="1"/>
    <col min="263" max="263" width="16.5703125" style="5" customWidth="1"/>
    <col min="264" max="265" width="16.5703125" style="5" bestFit="1" customWidth="1"/>
    <col min="266" max="266" width="16.5703125" style="5" customWidth="1"/>
    <col min="267" max="267" width="16.5703125" style="5" bestFit="1" customWidth="1"/>
    <col min="268" max="268" width="15.28515625" style="5" bestFit="1" customWidth="1"/>
    <col min="269" max="269" width="12.28515625" style="5" bestFit="1" customWidth="1"/>
    <col min="270" max="270" width="13.28515625" style="5" customWidth="1"/>
    <col min="271" max="271" width="6.7109375" style="5" customWidth="1"/>
    <col min="272" max="274" width="16.5703125" style="5" bestFit="1" customWidth="1"/>
    <col min="275" max="277" width="6.7109375" style="5" customWidth="1"/>
    <col min="278" max="279" width="16.5703125" style="5" bestFit="1" customWidth="1"/>
    <col min="280" max="280" width="6.7109375" style="5" customWidth="1"/>
    <col min="281" max="511" width="9.140625" style="5"/>
    <col min="512" max="512" width="72" style="5" customWidth="1"/>
    <col min="513" max="513" width="16.7109375" style="5" customWidth="1"/>
    <col min="514" max="514" width="16.140625" style="5" bestFit="1" customWidth="1"/>
    <col min="515" max="518" width="16.5703125" style="5" bestFit="1" customWidth="1"/>
    <col min="519" max="519" width="16.5703125" style="5" customWidth="1"/>
    <col min="520" max="521" width="16.5703125" style="5" bestFit="1" customWidth="1"/>
    <col min="522" max="522" width="16.5703125" style="5" customWidth="1"/>
    <col min="523" max="523" width="16.5703125" style="5" bestFit="1" customWidth="1"/>
    <col min="524" max="524" width="15.28515625" style="5" bestFit="1" customWidth="1"/>
    <col min="525" max="525" width="12.28515625" style="5" bestFit="1" customWidth="1"/>
    <col min="526" max="526" width="13.28515625" style="5" customWidth="1"/>
    <col min="527" max="527" width="6.7109375" style="5" customWidth="1"/>
    <col min="528" max="530" width="16.5703125" style="5" bestFit="1" customWidth="1"/>
    <col min="531" max="533" width="6.7109375" style="5" customWidth="1"/>
    <col min="534" max="535" width="16.5703125" style="5" bestFit="1" customWidth="1"/>
    <col min="536" max="536" width="6.7109375" style="5" customWidth="1"/>
    <col min="537" max="767" width="9.140625" style="5"/>
    <col min="768" max="768" width="72" style="5" customWidth="1"/>
    <col min="769" max="769" width="16.7109375" style="5" customWidth="1"/>
    <col min="770" max="770" width="16.140625" style="5" bestFit="1" customWidth="1"/>
    <col min="771" max="774" width="16.5703125" style="5" bestFit="1" customWidth="1"/>
    <col min="775" max="775" width="16.5703125" style="5" customWidth="1"/>
    <col min="776" max="777" width="16.5703125" style="5" bestFit="1" customWidth="1"/>
    <col min="778" max="778" width="16.5703125" style="5" customWidth="1"/>
    <col min="779" max="779" width="16.5703125" style="5" bestFit="1" customWidth="1"/>
    <col min="780" max="780" width="15.28515625" style="5" bestFit="1" customWidth="1"/>
    <col min="781" max="781" width="12.28515625" style="5" bestFit="1" customWidth="1"/>
    <col min="782" max="782" width="13.28515625" style="5" customWidth="1"/>
    <col min="783" max="783" width="6.7109375" style="5" customWidth="1"/>
    <col min="784" max="786" width="16.5703125" style="5" bestFit="1" customWidth="1"/>
    <col min="787" max="789" width="6.7109375" style="5" customWidth="1"/>
    <col min="790" max="791" width="16.5703125" style="5" bestFit="1" customWidth="1"/>
    <col min="792" max="792" width="6.7109375" style="5" customWidth="1"/>
    <col min="793" max="1023" width="9.140625" style="5"/>
    <col min="1024" max="1024" width="72" style="5" customWidth="1"/>
    <col min="1025" max="1025" width="16.7109375" style="5" customWidth="1"/>
    <col min="1026" max="1026" width="16.140625" style="5" bestFit="1" customWidth="1"/>
    <col min="1027" max="1030" width="16.5703125" style="5" bestFit="1" customWidth="1"/>
    <col min="1031" max="1031" width="16.5703125" style="5" customWidth="1"/>
    <col min="1032" max="1033" width="16.5703125" style="5" bestFit="1" customWidth="1"/>
    <col min="1034" max="1034" width="16.5703125" style="5" customWidth="1"/>
    <col min="1035" max="1035" width="16.5703125" style="5" bestFit="1" customWidth="1"/>
    <col min="1036" max="1036" width="15.28515625" style="5" bestFit="1" customWidth="1"/>
    <col min="1037" max="1037" width="12.28515625" style="5" bestFit="1" customWidth="1"/>
    <col min="1038" max="1038" width="13.28515625" style="5" customWidth="1"/>
    <col min="1039" max="1039" width="6.7109375" style="5" customWidth="1"/>
    <col min="1040" max="1042" width="16.5703125" style="5" bestFit="1" customWidth="1"/>
    <col min="1043" max="1045" width="6.7109375" style="5" customWidth="1"/>
    <col min="1046" max="1047" width="16.5703125" style="5" bestFit="1" customWidth="1"/>
    <col min="1048" max="1048" width="6.7109375" style="5" customWidth="1"/>
    <col min="1049" max="1279" width="9.140625" style="5"/>
    <col min="1280" max="1280" width="72" style="5" customWidth="1"/>
    <col min="1281" max="1281" width="16.7109375" style="5" customWidth="1"/>
    <col min="1282" max="1282" width="16.140625" style="5" bestFit="1" customWidth="1"/>
    <col min="1283" max="1286" width="16.5703125" style="5" bestFit="1" customWidth="1"/>
    <col min="1287" max="1287" width="16.5703125" style="5" customWidth="1"/>
    <col min="1288" max="1289" width="16.5703125" style="5" bestFit="1" customWidth="1"/>
    <col min="1290" max="1290" width="16.5703125" style="5" customWidth="1"/>
    <col min="1291" max="1291" width="16.5703125" style="5" bestFit="1" customWidth="1"/>
    <col min="1292" max="1292" width="15.28515625" style="5" bestFit="1" customWidth="1"/>
    <col min="1293" max="1293" width="12.28515625" style="5" bestFit="1" customWidth="1"/>
    <col min="1294" max="1294" width="13.28515625" style="5" customWidth="1"/>
    <col min="1295" max="1295" width="6.7109375" style="5" customWidth="1"/>
    <col min="1296" max="1298" width="16.5703125" style="5" bestFit="1" customWidth="1"/>
    <col min="1299" max="1301" width="6.7109375" style="5" customWidth="1"/>
    <col min="1302" max="1303" width="16.5703125" style="5" bestFit="1" customWidth="1"/>
    <col min="1304" max="1304" width="6.7109375" style="5" customWidth="1"/>
    <col min="1305" max="1535" width="9.140625" style="5"/>
    <col min="1536" max="1536" width="72" style="5" customWidth="1"/>
    <col min="1537" max="1537" width="16.7109375" style="5" customWidth="1"/>
    <col min="1538" max="1538" width="16.140625" style="5" bestFit="1" customWidth="1"/>
    <col min="1539" max="1542" width="16.5703125" style="5" bestFit="1" customWidth="1"/>
    <col min="1543" max="1543" width="16.5703125" style="5" customWidth="1"/>
    <col min="1544" max="1545" width="16.5703125" style="5" bestFit="1" customWidth="1"/>
    <col min="1546" max="1546" width="16.5703125" style="5" customWidth="1"/>
    <col min="1547" max="1547" width="16.5703125" style="5" bestFit="1" customWidth="1"/>
    <col min="1548" max="1548" width="15.28515625" style="5" bestFit="1" customWidth="1"/>
    <col min="1549" max="1549" width="12.28515625" style="5" bestFit="1" customWidth="1"/>
    <col min="1550" max="1550" width="13.28515625" style="5" customWidth="1"/>
    <col min="1551" max="1551" width="6.7109375" style="5" customWidth="1"/>
    <col min="1552" max="1554" width="16.5703125" style="5" bestFit="1" customWidth="1"/>
    <col min="1555" max="1557" width="6.7109375" style="5" customWidth="1"/>
    <col min="1558" max="1559" width="16.5703125" style="5" bestFit="1" customWidth="1"/>
    <col min="1560" max="1560" width="6.7109375" style="5" customWidth="1"/>
    <col min="1561" max="1791" width="9.140625" style="5"/>
    <col min="1792" max="1792" width="72" style="5" customWidth="1"/>
    <col min="1793" max="1793" width="16.7109375" style="5" customWidth="1"/>
    <col min="1794" max="1794" width="16.140625" style="5" bestFit="1" customWidth="1"/>
    <col min="1795" max="1798" width="16.5703125" style="5" bestFit="1" customWidth="1"/>
    <col min="1799" max="1799" width="16.5703125" style="5" customWidth="1"/>
    <col min="1800" max="1801" width="16.5703125" style="5" bestFit="1" customWidth="1"/>
    <col min="1802" max="1802" width="16.5703125" style="5" customWidth="1"/>
    <col min="1803" max="1803" width="16.5703125" style="5" bestFit="1" customWidth="1"/>
    <col min="1804" max="1804" width="15.28515625" style="5" bestFit="1" customWidth="1"/>
    <col min="1805" max="1805" width="12.28515625" style="5" bestFit="1" customWidth="1"/>
    <col min="1806" max="1806" width="13.28515625" style="5" customWidth="1"/>
    <col min="1807" max="1807" width="6.7109375" style="5" customWidth="1"/>
    <col min="1808" max="1810" width="16.5703125" style="5" bestFit="1" customWidth="1"/>
    <col min="1811" max="1813" width="6.7109375" style="5" customWidth="1"/>
    <col min="1814" max="1815" width="16.5703125" style="5" bestFit="1" customWidth="1"/>
    <col min="1816" max="1816" width="6.7109375" style="5" customWidth="1"/>
    <col min="1817" max="2047" width="9.140625" style="5"/>
    <col min="2048" max="2048" width="72" style="5" customWidth="1"/>
    <col min="2049" max="2049" width="16.7109375" style="5" customWidth="1"/>
    <col min="2050" max="2050" width="16.140625" style="5" bestFit="1" customWidth="1"/>
    <col min="2051" max="2054" width="16.5703125" style="5" bestFit="1" customWidth="1"/>
    <col min="2055" max="2055" width="16.5703125" style="5" customWidth="1"/>
    <col min="2056" max="2057" width="16.5703125" style="5" bestFit="1" customWidth="1"/>
    <col min="2058" max="2058" width="16.5703125" style="5" customWidth="1"/>
    <col min="2059" max="2059" width="16.5703125" style="5" bestFit="1" customWidth="1"/>
    <col min="2060" max="2060" width="15.28515625" style="5" bestFit="1" customWidth="1"/>
    <col min="2061" max="2061" width="12.28515625" style="5" bestFit="1" customWidth="1"/>
    <col min="2062" max="2062" width="13.28515625" style="5" customWidth="1"/>
    <col min="2063" max="2063" width="6.7109375" style="5" customWidth="1"/>
    <col min="2064" max="2066" width="16.5703125" style="5" bestFit="1" customWidth="1"/>
    <col min="2067" max="2069" width="6.7109375" style="5" customWidth="1"/>
    <col min="2070" max="2071" width="16.5703125" style="5" bestFit="1" customWidth="1"/>
    <col min="2072" max="2072" width="6.7109375" style="5" customWidth="1"/>
    <col min="2073" max="2303" width="9.140625" style="5"/>
    <col min="2304" max="2304" width="72" style="5" customWidth="1"/>
    <col min="2305" max="2305" width="16.7109375" style="5" customWidth="1"/>
    <col min="2306" max="2306" width="16.140625" style="5" bestFit="1" customWidth="1"/>
    <col min="2307" max="2310" width="16.5703125" style="5" bestFit="1" customWidth="1"/>
    <col min="2311" max="2311" width="16.5703125" style="5" customWidth="1"/>
    <col min="2312" max="2313" width="16.5703125" style="5" bestFit="1" customWidth="1"/>
    <col min="2314" max="2314" width="16.5703125" style="5" customWidth="1"/>
    <col min="2315" max="2315" width="16.5703125" style="5" bestFit="1" customWidth="1"/>
    <col min="2316" max="2316" width="15.28515625" style="5" bestFit="1" customWidth="1"/>
    <col min="2317" max="2317" width="12.28515625" style="5" bestFit="1" customWidth="1"/>
    <col min="2318" max="2318" width="13.28515625" style="5" customWidth="1"/>
    <col min="2319" max="2319" width="6.7109375" style="5" customWidth="1"/>
    <col min="2320" max="2322" width="16.5703125" style="5" bestFit="1" customWidth="1"/>
    <col min="2323" max="2325" width="6.7109375" style="5" customWidth="1"/>
    <col min="2326" max="2327" width="16.5703125" style="5" bestFit="1" customWidth="1"/>
    <col min="2328" max="2328" width="6.7109375" style="5" customWidth="1"/>
    <col min="2329" max="2559" width="9.140625" style="5"/>
    <col min="2560" max="2560" width="72" style="5" customWidth="1"/>
    <col min="2561" max="2561" width="16.7109375" style="5" customWidth="1"/>
    <col min="2562" max="2562" width="16.140625" style="5" bestFit="1" customWidth="1"/>
    <col min="2563" max="2566" width="16.5703125" style="5" bestFit="1" customWidth="1"/>
    <col min="2567" max="2567" width="16.5703125" style="5" customWidth="1"/>
    <col min="2568" max="2569" width="16.5703125" style="5" bestFit="1" customWidth="1"/>
    <col min="2570" max="2570" width="16.5703125" style="5" customWidth="1"/>
    <col min="2571" max="2571" width="16.5703125" style="5" bestFit="1" customWidth="1"/>
    <col min="2572" max="2572" width="15.28515625" style="5" bestFit="1" customWidth="1"/>
    <col min="2573" max="2573" width="12.28515625" style="5" bestFit="1" customWidth="1"/>
    <col min="2574" max="2574" width="13.28515625" style="5" customWidth="1"/>
    <col min="2575" max="2575" width="6.7109375" style="5" customWidth="1"/>
    <col min="2576" max="2578" width="16.5703125" style="5" bestFit="1" customWidth="1"/>
    <col min="2579" max="2581" width="6.7109375" style="5" customWidth="1"/>
    <col min="2582" max="2583" width="16.5703125" style="5" bestFit="1" customWidth="1"/>
    <col min="2584" max="2584" width="6.7109375" style="5" customWidth="1"/>
    <col min="2585" max="2815" width="9.140625" style="5"/>
    <col min="2816" max="2816" width="72" style="5" customWidth="1"/>
    <col min="2817" max="2817" width="16.7109375" style="5" customWidth="1"/>
    <col min="2818" max="2818" width="16.140625" style="5" bestFit="1" customWidth="1"/>
    <col min="2819" max="2822" width="16.5703125" style="5" bestFit="1" customWidth="1"/>
    <col min="2823" max="2823" width="16.5703125" style="5" customWidth="1"/>
    <col min="2824" max="2825" width="16.5703125" style="5" bestFit="1" customWidth="1"/>
    <col min="2826" max="2826" width="16.5703125" style="5" customWidth="1"/>
    <col min="2827" max="2827" width="16.5703125" style="5" bestFit="1" customWidth="1"/>
    <col min="2828" max="2828" width="15.28515625" style="5" bestFit="1" customWidth="1"/>
    <col min="2829" max="2829" width="12.28515625" style="5" bestFit="1" customWidth="1"/>
    <col min="2830" max="2830" width="13.28515625" style="5" customWidth="1"/>
    <col min="2831" max="2831" width="6.7109375" style="5" customWidth="1"/>
    <col min="2832" max="2834" width="16.5703125" style="5" bestFit="1" customWidth="1"/>
    <col min="2835" max="2837" width="6.7109375" style="5" customWidth="1"/>
    <col min="2838" max="2839" width="16.5703125" style="5" bestFit="1" customWidth="1"/>
    <col min="2840" max="2840" width="6.7109375" style="5" customWidth="1"/>
    <col min="2841" max="3071" width="9.140625" style="5"/>
    <col min="3072" max="3072" width="72" style="5" customWidth="1"/>
    <col min="3073" max="3073" width="16.7109375" style="5" customWidth="1"/>
    <col min="3074" max="3074" width="16.140625" style="5" bestFit="1" customWidth="1"/>
    <col min="3075" max="3078" width="16.5703125" style="5" bestFit="1" customWidth="1"/>
    <col min="3079" max="3079" width="16.5703125" style="5" customWidth="1"/>
    <col min="3080" max="3081" width="16.5703125" style="5" bestFit="1" customWidth="1"/>
    <col min="3082" max="3082" width="16.5703125" style="5" customWidth="1"/>
    <col min="3083" max="3083" width="16.5703125" style="5" bestFit="1" customWidth="1"/>
    <col min="3084" max="3084" width="15.28515625" style="5" bestFit="1" customWidth="1"/>
    <col min="3085" max="3085" width="12.28515625" style="5" bestFit="1" customWidth="1"/>
    <col min="3086" max="3086" width="13.28515625" style="5" customWidth="1"/>
    <col min="3087" max="3087" width="6.7109375" style="5" customWidth="1"/>
    <col min="3088" max="3090" width="16.5703125" style="5" bestFit="1" customWidth="1"/>
    <col min="3091" max="3093" width="6.7109375" style="5" customWidth="1"/>
    <col min="3094" max="3095" width="16.5703125" style="5" bestFit="1" customWidth="1"/>
    <col min="3096" max="3096" width="6.7109375" style="5" customWidth="1"/>
    <col min="3097" max="3327" width="9.140625" style="5"/>
    <col min="3328" max="3328" width="72" style="5" customWidth="1"/>
    <col min="3329" max="3329" width="16.7109375" style="5" customWidth="1"/>
    <col min="3330" max="3330" width="16.140625" style="5" bestFit="1" customWidth="1"/>
    <col min="3331" max="3334" width="16.5703125" style="5" bestFit="1" customWidth="1"/>
    <col min="3335" max="3335" width="16.5703125" style="5" customWidth="1"/>
    <col min="3336" max="3337" width="16.5703125" style="5" bestFit="1" customWidth="1"/>
    <col min="3338" max="3338" width="16.5703125" style="5" customWidth="1"/>
    <col min="3339" max="3339" width="16.5703125" style="5" bestFit="1" customWidth="1"/>
    <col min="3340" max="3340" width="15.28515625" style="5" bestFit="1" customWidth="1"/>
    <col min="3341" max="3341" width="12.28515625" style="5" bestFit="1" customWidth="1"/>
    <col min="3342" max="3342" width="13.28515625" style="5" customWidth="1"/>
    <col min="3343" max="3343" width="6.7109375" style="5" customWidth="1"/>
    <col min="3344" max="3346" width="16.5703125" style="5" bestFit="1" customWidth="1"/>
    <col min="3347" max="3349" width="6.7109375" style="5" customWidth="1"/>
    <col min="3350" max="3351" width="16.5703125" style="5" bestFit="1" customWidth="1"/>
    <col min="3352" max="3352" width="6.7109375" style="5" customWidth="1"/>
    <col min="3353" max="3583" width="9.140625" style="5"/>
    <col min="3584" max="3584" width="72" style="5" customWidth="1"/>
    <col min="3585" max="3585" width="16.7109375" style="5" customWidth="1"/>
    <col min="3586" max="3586" width="16.140625" style="5" bestFit="1" customWidth="1"/>
    <col min="3587" max="3590" width="16.5703125" style="5" bestFit="1" customWidth="1"/>
    <col min="3591" max="3591" width="16.5703125" style="5" customWidth="1"/>
    <col min="3592" max="3593" width="16.5703125" style="5" bestFit="1" customWidth="1"/>
    <col min="3594" max="3594" width="16.5703125" style="5" customWidth="1"/>
    <col min="3595" max="3595" width="16.5703125" style="5" bestFit="1" customWidth="1"/>
    <col min="3596" max="3596" width="15.28515625" style="5" bestFit="1" customWidth="1"/>
    <col min="3597" max="3597" width="12.28515625" style="5" bestFit="1" customWidth="1"/>
    <col min="3598" max="3598" width="13.28515625" style="5" customWidth="1"/>
    <col min="3599" max="3599" width="6.7109375" style="5" customWidth="1"/>
    <col min="3600" max="3602" width="16.5703125" style="5" bestFit="1" customWidth="1"/>
    <col min="3603" max="3605" width="6.7109375" style="5" customWidth="1"/>
    <col min="3606" max="3607" width="16.5703125" style="5" bestFit="1" customWidth="1"/>
    <col min="3608" max="3608" width="6.7109375" style="5" customWidth="1"/>
    <col min="3609" max="3839" width="9.140625" style="5"/>
    <col min="3840" max="3840" width="72" style="5" customWidth="1"/>
    <col min="3841" max="3841" width="16.7109375" style="5" customWidth="1"/>
    <col min="3842" max="3842" width="16.140625" style="5" bestFit="1" customWidth="1"/>
    <col min="3843" max="3846" width="16.5703125" style="5" bestFit="1" customWidth="1"/>
    <col min="3847" max="3847" width="16.5703125" style="5" customWidth="1"/>
    <col min="3848" max="3849" width="16.5703125" style="5" bestFit="1" customWidth="1"/>
    <col min="3850" max="3850" width="16.5703125" style="5" customWidth="1"/>
    <col min="3851" max="3851" width="16.5703125" style="5" bestFit="1" customWidth="1"/>
    <col min="3852" max="3852" width="15.28515625" style="5" bestFit="1" customWidth="1"/>
    <col min="3853" max="3853" width="12.28515625" style="5" bestFit="1" customWidth="1"/>
    <col min="3854" max="3854" width="13.28515625" style="5" customWidth="1"/>
    <col min="3855" max="3855" width="6.7109375" style="5" customWidth="1"/>
    <col min="3856" max="3858" width="16.5703125" style="5" bestFit="1" customWidth="1"/>
    <col min="3859" max="3861" width="6.7109375" style="5" customWidth="1"/>
    <col min="3862" max="3863" width="16.5703125" style="5" bestFit="1" customWidth="1"/>
    <col min="3864" max="3864" width="6.7109375" style="5" customWidth="1"/>
    <col min="3865" max="4095" width="9.140625" style="5"/>
    <col min="4096" max="4096" width="72" style="5" customWidth="1"/>
    <col min="4097" max="4097" width="16.7109375" style="5" customWidth="1"/>
    <col min="4098" max="4098" width="16.140625" style="5" bestFit="1" customWidth="1"/>
    <col min="4099" max="4102" width="16.5703125" style="5" bestFit="1" customWidth="1"/>
    <col min="4103" max="4103" width="16.5703125" style="5" customWidth="1"/>
    <col min="4104" max="4105" width="16.5703125" style="5" bestFit="1" customWidth="1"/>
    <col min="4106" max="4106" width="16.5703125" style="5" customWidth="1"/>
    <col min="4107" max="4107" width="16.5703125" style="5" bestFit="1" customWidth="1"/>
    <col min="4108" max="4108" width="15.28515625" style="5" bestFit="1" customWidth="1"/>
    <col min="4109" max="4109" width="12.28515625" style="5" bestFit="1" customWidth="1"/>
    <col min="4110" max="4110" width="13.28515625" style="5" customWidth="1"/>
    <col min="4111" max="4111" width="6.7109375" style="5" customWidth="1"/>
    <col min="4112" max="4114" width="16.5703125" style="5" bestFit="1" customWidth="1"/>
    <col min="4115" max="4117" width="6.7109375" style="5" customWidth="1"/>
    <col min="4118" max="4119" width="16.5703125" style="5" bestFit="1" customWidth="1"/>
    <col min="4120" max="4120" width="6.7109375" style="5" customWidth="1"/>
    <col min="4121" max="4351" width="9.140625" style="5"/>
    <col min="4352" max="4352" width="72" style="5" customWidth="1"/>
    <col min="4353" max="4353" width="16.7109375" style="5" customWidth="1"/>
    <col min="4354" max="4354" width="16.140625" style="5" bestFit="1" customWidth="1"/>
    <col min="4355" max="4358" width="16.5703125" style="5" bestFit="1" customWidth="1"/>
    <col min="4359" max="4359" width="16.5703125" style="5" customWidth="1"/>
    <col min="4360" max="4361" width="16.5703125" style="5" bestFit="1" customWidth="1"/>
    <col min="4362" max="4362" width="16.5703125" style="5" customWidth="1"/>
    <col min="4363" max="4363" width="16.5703125" style="5" bestFit="1" customWidth="1"/>
    <col min="4364" max="4364" width="15.28515625" style="5" bestFit="1" customWidth="1"/>
    <col min="4365" max="4365" width="12.28515625" style="5" bestFit="1" customWidth="1"/>
    <col min="4366" max="4366" width="13.28515625" style="5" customWidth="1"/>
    <col min="4367" max="4367" width="6.7109375" style="5" customWidth="1"/>
    <col min="4368" max="4370" width="16.5703125" style="5" bestFit="1" customWidth="1"/>
    <col min="4371" max="4373" width="6.7109375" style="5" customWidth="1"/>
    <col min="4374" max="4375" width="16.5703125" style="5" bestFit="1" customWidth="1"/>
    <col min="4376" max="4376" width="6.7109375" style="5" customWidth="1"/>
    <col min="4377" max="4607" width="9.140625" style="5"/>
    <col min="4608" max="4608" width="72" style="5" customWidth="1"/>
    <col min="4609" max="4609" width="16.7109375" style="5" customWidth="1"/>
    <col min="4610" max="4610" width="16.140625" style="5" bestFit="1" customWidth="1"/>
    <col min="4611" max="4614" width="16.5703125" style="5" bestFit="1" customWidth="1"/>
    <col min="4615" max="4615" width="16.5703125" style="5" customWidth="1"/>
    <col min="4616" max="4617" width="16.5703125" style="5" bestFit="1" customWidth="1"/>
    <col min="4618" max="4618" width="16.5703125" style="5" customWidth="1"/>
    <col min="4619" max="4619" width="16.5703125" style="5" bestFit="1" customWidth="1"/>
    <col min="4620" max="4620" width="15.28515625" style="5" bestFit="1" customWidth="1"/>
    <col min="4621" max="4621" width="12.28515625" style="5" bestFit="1" customWidth="1"/>
    <col min="4622" max="4622" width="13.28515625" style="5" customWidth="1"/>
    <col min="4623" max="4623" width="6.7109375" style="5" customWidth="1"/>
    <col min="4624" max="4626" width="16.5703125" style="5" bestFit="1" customWidth="1"/>
    <col min="4627" max="4629" width="6.7109375" style="5" customWidth="1"/>
    <col min="4630" max="4631" width="16.5703125" style="5" bestFit="1" customWidth="1"/>
    <col min="4632" max="4632" width="6.7109375" style="5" customWidth="1"/>
    <col min="4633" max="4863" width="9.140625" style="5"/>
    <col min="4864" max="4864" width="72" style="5" customWidth="1"/>
    <col min="4865" max="4865" width="16.7109375" style="5" customWidth="1"/>
    <col min="4866" max="4866" width="16.140625" style="5" bestFit="1" customWidth="1"/>
    <col min="4867" max="4870" width="16.5703125" style="5" bestFit="1" customWidth="1"/>
    <col min="4871" max="4871" width="16.5703125" style="5" customWidth="1"/>
    <col min="4872" max="4873" width="16.5703125" style="5" bestFit="1" customWidth="1"/>
    <col min="4874" max="4874" width="16.5703125" style="5" customWidth="1"/>
    <col min="4875" max="4875" width="16.5703125" style="5" bestFit="1" customWidth="1"/>
    <col min="4876" max="4876" width="15.28515625" style="5" bestFit="1" customWidth="1"/>
    <col min="4877" max="4877" width="12.28515625" style="5" bestFit="1" customWidth="1"/>
    <col min="4878" max="4878" width="13.28515625" style="5" customWidth="1"/>
    <col min="4879" max="4879" width="6.7109375" style="5" customWidth="1"/>
    <col min="4880" max="4882" width="16.5703125" style="5" bestFit="1" customWidth="1"/>
    <col min="4883" max="4885" width="6.7109375" style="5" customWidth="1"/>
    <col min="4886" max="4887" width="16.5703125" style="5" bestFit="1" customWidth="1"/>
    <col min="4888" max="4888" width="6.7109375" style="5" customWidth="1"/>
    <col min="4889" max="5119" width="9.140625" style="5"/>
    <col min="5120" max="5120" width="72" style="5" customWidth="1"/>
    <col min="5121" max="5121" width="16.7109375" style="5" customWidth="1"/>
    <col min="5122" max="5122" width="16.140625" style="5" bestFit="1" customWidth="1"/>
    <col min="5123" max="5126" width="16.5703125" style="5" bestFit="1" customWidth="1"/>
    <col min="5127" max="5127" width="16.5703125" style="5" customWidth="1"/>
    <col min="5128" max="5129" width="16.5703125" style="5" bestFit="1" customWidth="1"/>
    <col min="5130" max="5130" width="16.5703125" style="5" customWidth="1"/>
    <col min="5131" max="5131" width="16.5703125" style="5" bestFit="1" customWidth="1"/>
    <col min="5132" max="5132" width="15.28515625" style="5" bestFit="1" customWidth="1"/>
    <col min="5133" max="5133" width="12.28515625" style="5" bestFit="1" customWidth="1"/>
    <col min="5134" max="5134" width="13.28515625" style="5" customWidth="1"/>
    <col min="5135" max="5135" width="6.7109375" style="5" customWidth="1"/>
    <col min="5136" max="5138" width="16.5703125" style="5" bestFit="1" customWidth="1"/>
    <col min="5139" max="5141" width="6.7109375" style="5" customWidth="1"/>
    <col min="5142" max="5143" width="16.5703125" style="5" bestFit="1" customWidth="1"/>
    <col min="5144" max="5144" width="6.7109375" style="5" customWidth="1"/>
    <col min="5145" max="5375" width="9.140625" style="5"/>
    <col min="5376" max="5376" width="72" style="5" customWidth="1"/>
    <col min="5377" max="5377" width="16.7109375" style="5" customWidth="1"/>
    <col min="5378" max="5378" width="16.140625" style="5" bestFit="1" customWidth="1"/>
    <col min="5379" max="5382" width="16.5703125" style="5" bestFit="1" customWidth="1"/>
    <col min="5383" max="5383" width="16.5703125" style="5" customWidth="1"/>
    <col min="5384" max="5385" width="16.5703125" style="5" bestFit="1" customWidth="1"/>
    <col min="5386" max="5386" width="16.5703125" style="5" customWidth="1"/>
    <col min="5387" max="5387" width="16.5703125" style="5" bestFit="1" customWidth="1"/>
    <col min="5388" max="5388" width="15.28515625" style="5" bestFit="1" customWidth="1"/>
    <col min="5389" max="5389" width="12.28515625" style="5" bestFit="1" customWidth="1"/>
    <col min="5390" max="5390" width="13.28515625" style="5" customWidth="1"/>
    <col min="5391" max="5391" width="6.7109375" style="5" customWidth="1"/>
    <col min="5392" max="5394" width="16.5703125" style="5" bestFit="1" customWidth="1"/>
    <col min="5395" max="5397" width="6.7109375" style="5" customWidth="1"/>
    <col min="5398" max="5399" width="16.5703125" style="5" bestFit="1" customWidth="1"/>
    <col min="5400" max="5400" width="6.7109375" style="5" customWidth="1"/>
    <col min="5401" max="5631" width="9.140625" style="5"/>
    <col min="5632" max="5632" width="72" style="5" customWidth="1"/>
    <col min="5633" max="5633" width="16.7109375" style="5" customWidth="1"/>
    <col min="5634" max="5634" width="16.140625" style="5" bestFit="1" customWidth="1"/>
    <col min="5635" max="5638" width="16.5703125" style="5" bestFit="1" customWidth="1"/>
    <col min="5639" max="5639" width="16.5703125" style="5" customWidth="1"/>
    <col min="5640" max="5641" width="16.5703125" style="5" bestFit="1" customWidth="1"/>
    <col min="5642" max="5642" width="16.5703125" style="5" customWidth="1"/>
    <col min="5643" max="5643" width="16.5703125" style="5" bestFit="1" customWidth="1"/>
    <col min="5644" max="5644" width="15.28515625" style="5" bestFit="1" customWidth="1"/>
    <col min="5645" max="5645" width="12.28515625" style="5" bestFit="1" customWidth="1"/>
    <col min="5646" max="5646" width="13.28515625" style="5" customWidth="1"/>
    <col min="5647" max="5647" width="6.7109375" style="5" customWidth="1"/>
    <col min="5648" max="5650" width="16.5703125" style="5" bestFit="1" customWidth="1"/>
    <col min="5651" max="5653" width="6.7109375" style="5" customWidth="1"/>
    <col min="5654" max="5655" width="16.5703125" style="5" bestFit="1" customWidth="1"/>
    <col min="5656" max="5656" width="6.7109375" style="5" customWidth="1"/>
    <col min="5657" max="5887" width="9.140625" style="5"/>
    <col min="5888" max="5888" width="72" style="5" customWidth="1"/>
    <col min="5889" max="5889" width="16.7109375" style="5" customWidth="1"/>
    <col min="5890" max="5890" width="16.140625" style="5" bestFit="1" customWidth="1"/>
    <col min="5891" max="5894" width="16.5703125" style="5" bestFit="1" customWidth="1"/>
    <col min="5895" max="5895" width="16.5703125" style="5" customWidth="1"/>
    <col min="5896" max="5897" width="16.5703125" style="5" bestFit="1" customWidth="1"/>
    <col min="5898" max="5898" width="16.5703125" style="5" customWidth="1"/>
    <col min="5899" max="5899" width="16.5703125" style="5" bestFit="1" customWidth="1"/>
    <col min="5900" max="5900" width="15.28515625" style="5" bestFit="1" customWidth="1"/>
    <col min="5901" max="5901" width="12.28515625" style="5" bestFit="1" customWidth="1"/>
    <col min="5902" max="5902" width="13.28515625" style="5" customWidth="1"/>
    <col min="5903" max="5903" width="6.7109375" style="5" customWidth="1"/>
    <col min="5904" max="5906" width="16.5703125" style="5" bestFit="1" customWidth="1"/>
    <col min="5907" max="5909" width="6.7109375" style="5" customWidth="1"/>
    <col min="5910" max="5911" width="16.5703125" style="5" bestFit="1" customWidth="1"/>
    <col min="5912" max="5912" width="6.7109375" style="5" customWidth="1"/>
    <col min="5913" max="6143" width="9.140625" style="5"/>
    <col min="6144" max="6144" width="72" style="5" customWidth="1"/>
    <col min="6145" max="6145" width="16.7109375" style="5" customWidth="1"/>
    <col min="6146" max="6146" width="16.140625" style="5" bestFit="1" customWidth="1"/>
    <col min="6147" max="6150" width="16.5703125" style="5" bestFit="1" customWidth="1"/>
    <col min="6151" max="6151" width="16.5703125" style="5" customWidth="1"/>
    <col min="6152" max="6153" width="16.5703125" style="5" bestFit="1" customWidth="1"/>
    <col min="6154" max="6154" width="16.5703125" style="5" customWidth="1"/>
    <col min="6155" max="6155" width="16.5703125" style="5" bestFit="1" customWidth="1"/>
    <col min="6156" max="6156" width="15.28515625" style="5" bestFit="1" customWidth="1"/>
    <col min="6157" max="6157" width="12.28515625" style="5" bestFit="1" customWidth="1"/>
    <col min="6158" max="6158" width="13.28515625" style="5" customWidth="1"/>
    <col min="6159" max="6159" width="6.7109375" style="5" customWidth="1"/>
    <col min="6160" max="6162" width="16.5703125" style="5" bestFit="1" customWidth="1"/>
    <col min="6163" max="6165" width="6.7109375" style="5" customWidth="1"/>
    <col min="6166" max="6167" width="16.5703125" style="5" bestFit="1" customWidth="1"/>
    <col min="6168" max="6168" width="6.7109375" style="5" customWidth="1"/>
    <col min="6169" max="6399" width="9.140625" style="5"/>
    <col min="6400" max="6400" width="72" style="5" customWidth="1"/>
    <col min="6401" max="6401" width="16.7109375" style="5" customWidth="1"/>
    <col min="6402" max="6402" width="16.140625" style="5" bestFit="1" customWidth="1"/>
    <col min="6403" max="6406" width="16.5703125" style="5" bestFit="1" customWidth="1"/>
    <col min="6407" max="6407" width="16.5703125" style="5" customWidth="1"/>
    <col min="6408" max="6409" width="16.5703125" style="5" bestFit="1" customWidth="1"/>
    <col min="6410" max="6410" width="16.5703125" style="5" customWidth="1"/>
    <col min="6411" max="6411" width="16.5703125" style="5" bestFit="1" customWidth="1"/>
    <col min="6412" max="6412" width="15.28515625" style="5" bestFit="1" customWidth="1"/>
    <col min="6413" max="6413" width="12.28515625" style="5" bestFit="1" customWidth="1"/>
    <col min="6414" max="6414" width="13.28515625" style="5" customWidth="1"/>
    <col min="6415" max="6415" width="6.7109375" style="5" customWidth="1"/>
    <col min="6416" max="6418" width="16.5703125" style="5" bestFit="1" customWidth="1"/>
    <col min="6419" max="6421" width="6.7109375" style="5" customWidth="1"/>
    <col min="6422" max="6423" width="16.5703125" style="5" bestFit="1" customWidth="1"/>
    <col min="6424" max="6424" width="6.7109375" style="5" customWidth="1"/>
    <col min="6425" max="6655" width="9.140625" style="5"/>
    <col min="6656" max="6656" width="72" style="5" customWidth="1"/>
    <col min="6657" max="6657" width="16.7109375" style="5" customWidth="1"/>
    <col min="6658" max="6658" width="16.140625" style="5" bestFit="1" customWidth="1"/>
    <col min="6659" max="6662" width="16.5703125" style="5" bestFit="1" customWidth="1"/>
    <col min="6663" max="6663" width="16.5703125" style="5" customWidth="1"/>
    <col min="6664" max="6665" width="16.5703125" style="5" bestFit="1" customWidth="1"/>
    <col min="6666" max="6666" width="16.5703125" style="5" customWidth="1"/>
    <col min="6667" max="6667" width="16.5703125" style="5" bestFit="1" customWidth="1"/>
    <col min="6668" max="6668" width="15.28515625" style="5" bestFit="1" customWidth="1"/>
    <col min="6669" max="6669" width="12.28515625" style="5" bestFit="1" customWidth="1"/>
    <col min="6670" max="6670" width="13.28515625" style="5" customWidth="1"/>
    <col min="6671" max="6671" width="6.7109375" style="5" customWidth="1"/>
    <col min="6672" max="6674" width="16.5703125" style="5" bestFit="1" customWidth="1"/>
    <col min="6675" max="6677" width="6.7109375" style="5" customWidth="1"/>
    <col min="6678" max="6679" width="16.5703125" style="5" bestFit="1" customWidth="1"/>
    <col min="6680" max="6680" width="6.7109375" style="5" customWidth="1"/>
    <col min="6681" max="6911" width="9.140625" style="5"/>
    <col min="6912" max="6912" width="72" style="5" customWidth="1"/>
    <col min="6913" max="6913" width="16.7109375" style="5" customWidth="1"/>
    <col min="6914" max="6914" width="16.140625" style="5" bestFit="1" customWidth="1"/>
    <col min="6915" max="6918" width="16.5703125" style="5" bestFit="1" customWidth="1"/>
    <col min="6919" max="6919" width="16.5703125" style="5" customWidth="1"/>
    <col min="6920" max="6921" width="16.5703125" style="5" bestFit="1" customWidth="1"/>
    <col min="6922" max="6922" width="16.5703125" style="5" customWidth="1"/>
    <col min="6923" max="6923" width="16.5703125" style="5" bestFit="1" customWidth="1"/>
    <col min="6924" max="6924" width="15.28515625" style="5" bestFit="1" customWidth="1"/>
    <col min="6925" max="6925" width="12.28515625" style="5" bestFit="1" customWidth="1"/>
    <col min="6926" max="6926" width="13.28515625" style="5" customWidth="1"/>
    <col min="6927" max="6927" width="6.7109375" style="5" customWidth="1"/>
    <col min="6928" max="6930" width="16.5703125" style="5" bestFit="1" customWidth="1"/>
    <col min="6931" max="6933" width="6.7109375" style="5" customWidth="1"/>
    <col min="6934" max="6935" width="16.5703125" style="5" bestFit="1" customWidth="1"/>
    <col min="6936" max="6936" width="6.7109375" style="5" customWidth="1"/>
    <col min="6937" max="7167" width="9.140625" style="5"/>
    <col min="7168" max="7168" width="72" style="5" customWidth="1"/>
    <col min="7169" max="7169" width="16.7109375" style="5" customWidth="1"/>
    <col min="7170" max="7170" width="16.140625" style="5" bestFit="1" customWidth="1"/>
    <col min="7171" max="7174" width="16.5703125" style="5" bestFit="1" customWidth="1"/>
    <col min="7175" max="7175" width="16.5703125" style="5" customWidth="1"/>
    <col min="7176" max="7177" width="16.5703125" style="5" bestFit="1" customWidth="1"/>
    <col min="7178" max="7178" width="16.5703125" style="5" customWidth="1"/>
    <col min="7179" max="7179" width="16.5703125" style="5" bestFit="1" customWidth="1"/>
    <col min="7180" max="7180" width="15.28515625" style="5" bestFit="1" customWidth="1"/>
    <col min="7181" max="7181" width="12.28515625" style="5" bestFit="1" customWidth="1"/>
    <col min="7182" max="7182" width="13.28515625" style="5" customWidth="1"/>
    <col min="7183" max="7183" width="6.7109375" style="5" customWidth="1"/>
    <col min="7184" max="7186" width="16.5703125" style="5" bestFit="1" customWidth="1"/>
    <col min="7187" max="7189" width="6.7109375" style="5" customWidth="1"/>
    <col min="7190" max="7191" width="16.5703125" style="5" bestFit="1" customWidth="1"/>
    <col min="7192" max="7192" width="6.7109375" style="5" customWidth="1"/>
    <col min="7193" max="7423" width="9.140625" style="5"/>
    <col min="7424" max="7424" width="72" style="5" customWidth="1"/>
    <col min="7425" max="7425" width="16.7109375" style="5" customWidth="1"/>
    <col min="7426" max="7426" width="16.140625" style="5" bestFit="1" customWidth="1"/>
    <col min="7427" max="7430" width="16.5703125" style="5" bestFit="1" customWidth="1"/>
    <col min="7431" max="7431" width="16.5703125" style="5" customWidth="1"/>
    <col min="7432" max="7433" width="16.5703125" style="5" bestFit="1" customWidth="1"/>
    <col min="7434" max="7434" width="16.5703125" style="5" customWidth="1"/>
    <col min="7435" max="7435" width="16.5703125" style="5" bestFit="1" customWidth="1"/>
    <col min="7436" max="7436" width="15.28515625" style="5" bestFit="1" customWidth="1"/>
    <col min="7437" max="7437" width="12.28515625" style="5" bestFit="1" customWidth="1"/>
    <col min="7438" max="7438" width="13.28515625" style="5" customWidth="1"/>
    <col min="7439" max="7439" width="6.7109375" style="5" customWidth="1"/>
    <col min="7440" max="7442" width="16.5703125" style="5" bestFit="1" customWidth="1"/>
    <col min="7443" max="7445" width="6.7109375" style="5" customWidth="1"/>
    <col min="7446" max="7447" width="16.5703125" style="5" bestFit="1" customWidth="1"/>
    <col min="7448" max="7448" width="6.7109375" style="5" customWidth="1"/>
    <col min="7449" max="7679" width="9.140625" style="5"/>
    <col min="7680" max="7680" width="72" style="5" customWidth="1"/>
    <col min="7681" max="7681" width="16.7109375" style="5" customWidth="1"/>
    <col min="7682" max="7682" width="16.140625" style="5" bestFit="1" customWidth="1"/>
    <col min="7683" max="7686" width="16.5703125" style="5" bestFit="1" customWidth="1"/>
    <col min="7687" max="7687" width="16.5703125" style="5" customWidth="1"/>
    <col min="7688" max="7689" width="16.5703125" style="5" bestFit="1" customWidth="1"/>
    <col min="7690" max="7690" width="16.5703125" style="5" customWidth="1"/>
    <col min="7691" max="7691" width="16.5703125" style="5" bestFit="1" customWidth="1"/>
    <col min="7692" max="7692" width="15.28515625" style="5" bestFit="1" customWidth="1"/>
    <col min="7693" max="7693" width="12.28515625" style="5" bestFit="1" customWidth="1"/>
    <col min="7694" max="7694" width="13.28515625" style="5" customWidth="1"/>
    <col min="7695" max="7695" width="6.7109375" style="5" customWidth="1"/>
    <col min="7696" max="7698" width="16.5703125" style="5" bestFit="1" customWidth="1"/>
    <col min="7699" max="7701" width="6.7109375" style="5" customWidth="1"/>
    <col min="7702" max="7703" width="16.5703125" style="5" bestFit="1" customWidth="1"/>
    <col min="7704" max="7704" width="6.7109375" style="5" customWidth="1"/>
    <col min="7705" max="7935" width="9.140625" style="5"/>
    <col min="7936" max="7936" width="72" style="5" customWidth="1"/>
    <col min="7937" max="7937" width="16.7109375" style="5" customWidth="1"/>
    <col min="7938" max="7938" width="16.140625" style="5" bestFit="1" customWidth="1"/>
    <col min="7939" max="7942" width="16.5703125" style="5" bestFit="1" customWidth="1"/>
    <col min="7943" max="7943" width="16.5703125" style="5" customWidth="1"/>
    <col min="7944" max="7945" width="16.5703125" style="5" bestFit="1" customWidth="1"/>
    <col min="7946" max="7946" width="16.5703125" style="5" customWidth="1"/>
    <col min="7947" max="7947" width="16.5703125" style="5" bestFit="1" customWidth="1"/>
    <col min="7948" max="7948" width="15.28515625" style="5" bestFit="1" customWidth="1"/>
    <col min="7949" max="7949" width="12.28515625" style="5" bestFit="1" customWidth="1"/>
    <col min="7950" max="7950" width="13.28515625" style="5" customWidth="1"/>
    <col min="7951" max="7951" width="6.7109375" style="5" customWidth="1"/>
    <col min="7952" max="7954" width="16.5703125" style="5" bestFit="1" customWidth="1"/>
    <col min="7955" max="7957" width="6.7109375" style="5" customWidth="1"/>
    <col min="7958" max="7959" width="16.5703125" style="5" bestFit="1" customWidth="1"/>
    <col min="7960" max="7960" width="6.7109375" style="5" customWidth="1"/>
    <col min="7961" max="8191" width="9.140625" style="5"/>
    <col min="8192" max="8192" width="72" style="5" customWidth="1"/>
    <col min="8193" max="8193" width="16.7109375" style="5" customWidth="1"/>
    <col min="8194" max="8194" width="16.140625" style="5" bestFit="1" customWidth="1"/>
    <col min="8195" max="8198" width="16.5703125" style="5" bestFit="1" customWidth="1"/>
    <col min="8199" max="8199" width="16.5703125" style="5" customWidth="1"/>
    <col min="8200" max="8201" width="16.5703125" style="5" bestFit="1" customWidth="1"/>
    <col min="8202" max="8202" width="16.5703125" style="5" customWidth="1"/>
    <col min="8203" max="8203" width="16.5703125" style="5" bestFit="1" customWidth="1"/>
    <col min="8204" max="8204" width="15.28515625" style="5" bestFit="1" customWidth="1"/>
    <col min="8205" max="8205" width="12.28515625" style="5" bestFit="1" customWidth="1"/>
    <col min="8206" max="8206" width="13.28515625" style="5" customWidth="1"/>
    <col min="8207" max="8207" width="6.7109375" style="5" customWidth="1"/>
    <col min="8208" max="8210" width="16.5703125" style="5" bestFit="1" customWidth="1"/>
    <col min="8211" max="8213" width="6.7109375" style="5" customWidth="1"/>
    <col min="8214" max="8215" width="16.5703125" style="5" bestFit="1" customWidth="1"/>
    <col min="8216" max="8216" width="6.7109375" style="5" customWidth="1"/>
    <col min="8217" max="8447" width="9.140625" style="5"/>
    <col min="8448" max="8448" width="72" style="5" customWidth="1"/>
    <col min="8449" max="8449" width="16.7109375" style="5" customWidth="1"/>
    <col min="8450" max="8450" width="16.140625" style="5" bestFit="1" customWidth="1"/>
    <col min="8451" max="8454" width="16.5703125" style="5" bestFit="1" customWidth="1"/>
    <col min="8455" max="8455" width="16.5703125" style="5" customWidth="1"/>
    <col min="8456" max="8457" width="16.5703125" style="5" bestFit="1" customWidth="1"/>
    <col min="8458" max="8458" width="16.5703125" style="5" customWidth="1"/>
    <col min="8459" max="8459" width="16.5703125" style="5" bestFit="1" customWidth="1"/>
    <col min="8460" max="8460" width="15.28515625" style="5" bestFit="1" customWidth="1"/>
    <col min="8461" max="8461" width="12.28515625" style="5" bestFit="1" customWidth="1"/>
    <col min="8462" max="8462" width="13.28515625" style="5" customWidth="1"/>
    <col min="8463" max="8463" width="6.7109375" style="5" customWidth="1"/>
    <col min="8464" max="8466" width="16.5703125" style="5" bestFit="1" customWidth="1"/>
    <col min="8467" max="8469" width="6.7109375" style="5" customWidth="1"/>
    <col min="8470" max="8471" width="16.5703125" style="5" bestFit="1" customWidth="1"/>
    <col min="8472" max="8472" width="6.7109375" style="5" customWidth="1"/>
    <col min="8473" max="8703" width="9.140625" style="5"/>
    <col min="8704" max="8704" width="72" style="5" customWidth="1"/>
    <col min="8705" max="8705" width="16.7109375" style="5" customWidth="1"/>
    <col min="8706" max="8706" width="16.140625" style="5" bestFit="1" customWidth="1"/>
    <col min="8707" max="8710" width="16.5703125" style="5" bestFit="1" customWidth="1"/>
    <col min="8711" max="8711" width="16.5703125" style="5" customWidth="1"/>
    <col min="8712" max="8713" width="16.5703125" style="5" bestFit="1" customWidth="1"/>
    <col min="8714" max="8714" width="16.5703125" style="5" customWidth="1"/>
    <col min="8715" max="8715" width="16.5703125" style="5" bestFit="1" customWidth="1"/>
    <col min="8716" max="8716" width="15.28515625" style="5" bestFit="1" customWidth="1"/>
    <col min="8717" max="8717" width="12.28515625" style="5" bestFit="1" customWidth="1"/>
    <col min="8718" max="8718" width="13.28515625" style="5" customWidth="1"/>
    <col min="8719" max="8719" width="6.7109375" style="5" customWidth="1"/>
    <col min="8720" max="8722" width="16.5703125" style="5" bestFit="1" customWidth="1"/>
    <col min="8723" max="8725" width="6.7109375" style="5" customWidth="1"/>
    <col min="8726" max="8727" width="16.5703125" style="5" bestFit="1" customWidth="1"/>
    <col min="8728" max="8728" width="6.7109375" style="5" customWidth="1"/>
    <col min="8729" max="8959" width="9.140625" style="5"/>
    <col min="8960" max="8960" width="72" style="5" customWidth="1"/>
    <col min="8961" max="8961" width="16.7109375" style="5" customWidth="1"/>
    <col min="8962" max="8962" width="16.140625" style="5" bestFit="1" customWidth="1"/>
    <col min="8963" max="8966" width="16.5703125" style="5" bestFit="1" customWidth="1"/>
    <col min="8967" max="8967" width="16.5703125" style="5" customWidth="1"/>
    <col min="8968" max="8969" width="16.5703125" style="5" bestFit="1" customWidth="1"/>
    <col min="8970" max="8970" width="16.5703125" style="5" customWidth="1"/>
    <col min="8971" max="8971" width="16.5703125" style="5" bestFit="1" customWidth="1"/>
    <col min="8972" max="8972" width="15.28515625" style="5" bestFit="1" customWidth="1"/>
    <col min="8973" max="8973" width="12.28515625" style="5" bestFit="1" customWidth="1"/>
    <col min="8974" max="8974" width="13.28515625" style="5" customWidth="1"/>
    <col min="8975" max="8975" width="6.7109375" style="5" customWidth="1"/>
    <col min="8976" max="8978" width="16.5703125" style="5" bestFit="1" customWidth="1"/>
    <col min="8979" max="8981" width="6.7109375" style="5" customWidth="1"/>
    <col min="8982" max="8983" width="16.5703125" style="5" bestFit="1" customWidth="1"/>
    <col min="8984" max="8984" width="6.7109375" style="5" customWidth="1"/>
    <col min="8985" max="9215" width="9.140625" style="5"/>
    <col min="9216" max="9216" width="72" style="5" customWidth="1"/>
    <col min="9217" max="9217" width="16.7109375" style="5" customWidth="1"/>
    <col min="9218" max="9218" width="16.140625" style="5" bestFit="1" customWidth="1"/>
    <col min="9219" max="9222" width="16.5703125" style="5" bestFit="1" customWidth="1"/>
    <col min="9223" max="9223" width="16.5703125" style="5" customWidth="1"/>
    <col min="9224" max="9225" width="16.5703125" style="5" bestFit="1" customWidth="1"/>
    <col min="9226" max="9226" width="16.5703125" style="5" customWidth="1"/>
    <col min="9227" max="9227" width="16.5703125" style="5" bestFit="1" customWidth="1"/>
    <col min="9228" max="9228" width="15.28515625" style="5" bestFit="1" customWidth="1"/>
    <col min="9229" max="9229" width="12.28515625" style="5" bestFit="1" customWidth="1"/>
    <col min="9230" max="9230" width="13.28515625" style="5" customWidth="1"/>
    <col min="9231" max="9231" width="6.7109375" style="5" customWidth="1"/>
    <col min="9232" max="9234" width="16.5703125" style="5" bestFit="1" customWidth="1"/>
    <col min="9235" max="9237" width="6.7109375" style="5" customWidth="1"/>
    <col min="9238" max="9239" width="16.5703125" style="5" bestFit="1" customWidth="1"/>
    <col min="9240" max="9240" width="6.7109375" style="5" customWidth="1"/>
    <col min="9241" max="9471" width="9.140625" style="5"/>
    <col min="9472" max="9472" width="72" style="5" customWidth="1"/>
    <col min="9473" max="9473" width="16.7109375" style="5" customWidth="1"/>
    <col min="9474" max="9474" width="16.140625" style="5" bestFit="1" customWidth="1"/>
    <col min="9475" max="9478" width="16.5703125" style="5" bestFit="1" customWidth="1"/>
    <col min="9479" max="9479" width="16.5703125" style="5" customWidth="1"/>
    <col min="9480" max="9481" width="16.5703125" style="5" bestFit="1" customWidth="1"/>
    <col min="9482" max="9482" width="16.5703125" style="5" customWidth="1"/>
    <col min="9483" max="9483" width="16.5703125" style="5" bestFit="1" customWidth="1"/>
    <col min="9484" max="9484" width="15.28515625" style="5" bestFit="1" customWidth="1"/>
    <col min="9485" max="9485" width="12.28515625" style="5" bestFit="1" customWidth="1"/>
    <col min="9486" max="9486" width="13.28515625" style="5" customWidth="1"/>
    <col min="9487" max="9487" width="6.7109375" style="5" customWidth="1"/>
    <col min="9488" max="9490" width="16.5703125" style="5" bestFit="1" customWidth="1"/>
    <col min="9491" max="9493" width="6.7109375" style="5" customWidth="1"/>
    <col min="9494" max="9495" width="16.5703125" style="5" bestFit="1" customWidth="1"/>
    <col min="9496" max="9496" width="6.7109375" style="5" customWidth="1"/>
    <col min="9497" max="9727" width="9.140625" style="5"/>
    <col min="9728" max="9728" width="72" style="5" customWidth="1"/>
    <col min="9729" max="9729" width="16.7109375" style="5" customWidth="1"/>
    <col min="9730" max="9730" width="16.140625" style="5" bestFit="1" customWidth="1"/>
    <col min="9731" max="9734" width="16.5703125" style="5" bestFit="1" customWidth="1"/>
    <col min="9735" max="9735" width="16.5703125" style="5" customWidth="1"/>
    <col min="9736" max="9737" width="16.5703125" style="5" bestFit="1" customWidth="1"/>
    <col min="9738" max="9738" width="16.5703125" style="5" customWidth="1"/>
    <col min="9739" max="9739" width="16.5703125" style="5" bestFit="1" customWidth="1"/>
    <col min="9740" max="9740" width="15.28515625" style="5" bestFit="1" customWidth="1"/>
    <col min="9741" max="9741" width="12.28515625" style="5" bestFit="1" customWidth="1"/>
    <col min="9742" max="9742" width="13.28515625" style="5" customWidth="1"/>
    <col min="9743" max="9743" width="6.7109375" style="5" customWidth="1"/>
    <col min="9744" max="9746" width="16.5703125" style="5" bestFit="1" customWidth="1"/>
    <col min="9747" max="9749" width="6.7109375" style="5" customWidth="1"/>
    <col min="9750" max="9751" width="16.5703125" style="5" bestFit="1" customWidth="1"/>
    <col min="9752" max="9752" width="6.7109375" style="5" customWidth="1"/>
    <col min="9753" max="9983" width="9.140625" style="5"/>
    <col min="9984" max="9984" width="72" style="5" customWidth="1"/>
    <col min="9985" max="9985" width="16.7109375" style="5" customWidth="1"/>
    <col min="9986" max="9986" width="16.140625" style="5" bestFit="1" customWidth="1"/>
    <col min="9987" max="9990" width="16.5703125" style="5" bestFit="1" customWidth="1"/>
    <col min="9991" max="9991" width="16.5703125" style="5" customWidth="1"/>
    <col min="9992" max="9993" width="16.5703125" style="5" bestFit="1" customWidth="1"/>
    <col min="9994" max="9994" width="16.5703125" style="5" customWidth="1"/>
    <col min="9995" max="9995" width="16.5703125" style="5" bestFit="1" customWidth="1"/>
    <col min="9996" max="9996" width="15.28515625" style="5" bestFit="1" customWidth="1"/>
    <col min="9997" max="9997" width="12.28515625" style="5" bestFit="1" customWidth="1"/>
    <col min="9998" max="9998" width="13.28515625" style="5" customWidth="1"/>
    <col min="9999" max="9999" width="6.7109375" style="5" customWidth="1"/>
    <col min="10000" max="10002" width="16.5703125" style="5" bestFit="1" customWidth="1"/>
    <col min="10003" max="10005" width="6.7109375" style="5" customWidth="1"/>
    <col min="10006" max="10007" width="16.5703125" style="5" bestFit="1" customWidth="1"/>
    <col min="10008" max="10008" width="6.7109375" style="5" customWidth="1"/>
    <col min="10009" max="10239" width="9.140625" style="5"/>
    <col min="10240" max="10240" width="72" style="5" customWidth="1"/>
    <col min="10241" max="10241" width="16.7109375" style="5" customWidth="1"/>
    <col min="10242" max="10242" width="16.140625" style="5" bestFit="1" customWidth="1"/>
    <col min="10243" max="10246" width="16.5703125" style="5" bestFit="1" customWidth="1"/>
    <col min="10247" max="10247" width="16.5703125" style="5" customWidth="1"/>
    <col min="10248" max="10249" width="16.5703125" style="5" bestFit="1" customWidth="1"/>
    <col min="10250" max="10250" width="16.5703125" style="5" customWidth="1"/>
    <col min="10251" max="10251" width="16.5703125" style="5" bestFit="1" customWidth="1"/>
    <col min="10252" max="10252" width="15.28515625" style="5" bestFit="1" customWidth="1"/>
    <col min="10253" max="10253" width="12.28515625" style="5" bestFit="1" customWidth="1"/>
    <col min="10254" max="10254" width="13.28515625" style="5" customWidth="1"/>
    <col min="10255" max="10255" width="6.7109375" style="5" customWidth="1"/>
    <col min="10256" max="10258" width="16.5703125" style="5" bestFit="1" customWidth="1"/>
    <col min="10259" max="10261" width="6.7109375" style="5" customWidth="1"/>
    <col min="10262" max="10263" width="16.5703125" style="5" bestFit="1" customWidth="1"/>
    <col min="10264" max="10264" width="6.7109375" style="5" customWidth="1"/>
    <col min="10265" max="10495" width="9.140625" style="5"/>
    <col min="10496" max="10496" width="72" style="5" customWidth="1"/>
    <col min="10497" max="10497" width="16.7109375" style="5" customWidth="1"/>
    <col min="10498" max="10498" width="16.140625" style="5" bestFit="1" customWidth="1"/>
    <col min="10499" max="10502" width="16.5703125" style="5" bestFit="1" customWidth="1"/>
    <col min="10503" max="10503" width="16.5703125" style="5" customWidth="1"/>
    <col min="10504" max="10505" width="16.5703125" style="5" bestFit="1" customWidth="1"/>
    <col min="10506" max="10506" width="16.5703125" style="5" customWidth="1"/>
    <col min="10507" max="10507" width="16.5703125" style="5" bestFit="1" customWidth="1"/>
    <col min="10508" max="10508" width="15.28515625" style="5" bestFit="1" customWidth="1"/>
    <col min="10509" max="10509" width="12.28515625" style="5" bestFit="1" customWidth="1"/>
    <col min="10510" max="10510" width="13.28515625" style="5" customWidth="1"/>
    <col min="10511" max="10511" width="6.7109375" style="5" customWidth="1"/>
    <col min="10512" max="10514" width="16.5703125" style="5" bestFit="1" customWidth="1"/>
    <col min="10515" max="10517" width="6.7109375" style="5" customWidth="1"/>
    <col min="10518" max="10519" width="16.5703125" style="5" bestFit="1" customWidth="1"/>
    <col min="10520" max="10520" width="6.7109375" style="5" customWidth="1"/>
    <col min="10521" max="10751" width="9.140625" style="5"/>
    <col min="10752" max="10752" width="72" style="5" customWidth="1"/>
    <col min="10753" max="10753" width="16.7109375" style="5" customWidth="1"/>
    <col min="10754" max="10754" width="16.140625" style="5" bestFit="1" customWidth="1"/>
    <col min="10755" max="10758" width="16.5703125" style="5" bestFit="1" customWidth="1"/>
    <col min="10759" max="10759" width="16.5703125" style="5" customWidth="1"/>
    <col min="10760" max="10761" width="16.5703125" style="5" bestFit="1" customWidth="1"/>
    <col min="10762" max="10762" width="16.5703125" style="5" customWidth="1"/>
    <col min="10763" max="10763" width="16.5703125" style="5" bestFit="1" customWidth="1"/>
    <col min="10764" max="10764" width="15.28515625" style="5" bestFit="1" customWidth="1"/>
    <col min="10765" max="10765" width="12.28515625" style="5" bestFit="1" customWidth="1"/>
    <col min="10766" max="10766" width="13.28515625" style="5" customWidth="1"/>
    <col min="10767" max="10767" width="6.7109375" style="5" customWidth="1"/>
    <col min="10768" max="10770" width="16.5703125" style="5" bestFit="1" customWidth="1"/>
    <col min="10771" max="10773" width="6.7109375" style="5" customWidth="1"/>
    <col min="10774" max="10775" width="16.5703125" style="5" bestFit="1" customWidth="1"/>
    <col min="10776" max="10776" width="6.7109375" style="5" customWidth="1"/>
    <col min="10777" max="11007" width="9.140625" style="5"/>
    <col min="11008" max="11008" width="72" style="5" customWidth="1"/>
    <col min="11009" max="11009" width="16.7109375" style="5" customWidth="1"/>
    <col min="11010" max="11010" width="16.140625" style="5" bestFit="1" customWidth="1"/>
    <col min="11011" max="11014" width="16.5703125" style="5" bestFit="1" customWidth="1"/>
    <col min="11015" max="11015" width="16.5703125" style="5" customWidth="1"/>
    <col min="11016" max="11017" width="16.5703125" style="5" bestFit="1" customWidth="1"/>
    <col min="11018" max="11018" width="16.5703125" style="5" customWidth="1"/>
    <col min="11019" max="11019" width="16.5703125" style="5" bestFit="1" customWidth="1"/>
    <col min="11020" max="11020" width="15.28515625" style="5" bestFit="1" customWidth="1"/>
    <col min="11021" max="11021" width="12.28515625" style="5" bestFit="1" customWidth="1"/>
    <col min="11022" max="11022" width="13.28515625" style="5" customWidth="1"/>
    <col min="11023" max="11023" width="6.7109375" style="5" customWidth="1"/>
    <col min="11024" max="11026" width="16.5703125" style="5" bestFit="1" customWidth="1"/>
    <col min="11027" max="11029" width="6.7109375" style="5" customWidth="1"/>
    <col min="11030" max="11031" width="16.5703125" style="5" bestFit="1" customWidth="1"/>
    <col min="11032" max="11032" width="6.7109375" style="5" customWidth="1"/>
    <col min="11033" max="11263" width="9.140625" style="5"/>
    <col min="11264" max="11264" width="72" style="5" customWidth="1"/>
    <col min="11265" max="11265" width="16.7109375" style="5" customWidth="1"/>
    <col min="11266" max="11266" width="16.140625" style="5" bestFit="1" customWidth="1"/>
    <col min="11267" max="11270" width="16.5703125" style="5" bestFit="1" customWidth="1"/>
    <col min="11271" max="11271" width="16.5703125" style="5" customWidth="1"/>
    <col min="11272" max="11273" width="16.5703125" style="5" bestFit="1" customWidth="1"/>
    <col min="11274" max="11274" width="16.5703125" style="5" customWidth="1"/>
    <col min="11275" max="11275" width="16.5703125" style="5" bestFit="1" customWidth="1"/>
    <col min="11276" max="11276" width="15.28515625" style="5" bestFit="1" customWidth="1"/>
    <col min="11277" max="11277" width="12.28515625" style="5" bestFit="1" customWidth="1"/>
    <col min="11278" max="11278" width="13.28515625" style="5" customWidth="1"/>
    <col min="11279" max="11279" width="6.7109375" style="5" customWidth="1"/>
    <col min="11280" max="11282" width="16.5703125" style="5" bestFit="1" customWidth="1"/>
    <col min="11283" max="11285" width="6.7109375" style="5" customWidth="1"/>
    <col min="11286" max="11287" width="16.5703125" style="5" bestFit="1" customWidth="1"/>
    <col min="11288" max="11288" width="6.7109375" style="5" customWidth="1"/>
    <col min="11289" max="11519" width="9.140625" style="5"/>
    <col min="11520" max="11520" width="72" style="5" customWidth="1"/>
    <col min="11521" max="11521" width="16.7109375" style="5" customWidth="1"/>
    <col min="11522" max="11522" width="16.140625" style="5" bestFit="1" customWidth="1"/>
    <col min="11523" max="11526" width="16.5703125" style="5" bestFit="1" customWidth="1"/>
    <col min="11527" max="11527" width="16.5703125" style="5" customWidth="1"/>
    <col min="11528" max="11529" width="16.5703125" style="5" bestFit="1" customWidth="1"/>
    <col min="11530" max="11530" width="16.5703125" style="5" customWidth="1"/>
    <col min="11531" max="11531" width="16.5703125" style="5" bestFit="1" customWidth="1"/>
    <col min="11532" max="11532" width="15.28515625" style="5" bestFit="1" customWidth="1"/>
    <col min="11533" max="11533" width="12.28515625" style="5" bestFit="1" customWidth="1"/>
    <col min="11534" max="11534" width="13.28515625" style="5" customWidth="1"/>
    <col min="11535" max="11535" width="6.7109375" style="5" customWidth="1"/>
    <col min="11536" max="11538" width="16.5703125" style="5" bestFit="1" customWidth="1"/>
    <col min="11539" max="11541" width="6.7109375" style="5" customWidth="1"/>
    <col min="11542" max="11543" width="16.5703125" style="5" bestFit="1" customWidth="1"/>
    <col min="11544" max="11544" width="6.7109375" style="5" customWidth="1"/>
    <col min="11545" max="11775" width="9.140625" style="5"/>
    <col min="11776" max="11776" width="72" style="5" customWidth="1"/>
    <col min="11777" max="11777" width="16.7109375" style="5" customWidth="1"/>
    <col min="11778" max="11778" width="16.140625" style="5" bestFit="1" customWidth="1"/>
    <col min="11779" max="11782" width="16.5703125" style="5" bestFit="1" customWidth="1"/>
    <col min="11783" max="11783" width="16.5703125" style="5" customWidth="1"/>
    <col min="11784" max="11785" width="16.5703125" style="5" bestFit="1" customWidth="1"/>
    <col min="11786" max="11786" width="16.5703125" style="5" customWidth="1"/>
    <col min="11787" max="11787" width="16.5703125" style="5" bestFit="1" customWidth="1"/>
    <col min="11788" max="11788" width="15.28515625" style="5" bestFit="1" customWidth="1"/>
    <col min="11789" max="11789" width="12.28515625" style="5" bestFit="1" customWidth="1"/>
    <col min="11790" max="11790" width="13.28515625" style="5" customWidth="1"/>
    <col min="11791" max="11791" width="6.7109375" style="5" customWidth="1"/>
    <col min="11792" max="11794" width="16.5703125" style="5" bestFit="1" customWidth="1"/>
    <col min="11795" max="11797" width="6.7109375" style="5" customWidth="1"/>
    <col min="11798" max="11799" width="16.5703125" style="5" bestFit="1" customWidth="1"/>
    <col min="11800" max="11800" width="6.7109375" style="5" customWidth="1"/>
    <col min="11801" max="12031" width="9.140625" style="5"/>
    <col min="12032" max="12032" width="72" style="5" customWidth="1"/>
    <col min="12033" max="12033" width="16.7109375" style="5" customWidth="1"/>
    <col min="12034" max="12034" width="16.140625" style="5" bestFit="1" customWidth="1"/>
    <col min="12035" max="12038" width="16.5703125" style="5" bestFit="1" customWidth="1"/>
    <col min="12039" max="12039" width="16.5703125" style="5" customWidth="1"/>
    <col min="12040" max="12041" width="16.5703125" style="5" bestFit="1" customWidth="1"/>
    <col min="12042" max="12042" width="16.5703125" style="5" customWidth="1"/>
    <col min="12043" max="12043" width="16.5703125" style="5" bestFit="1" customWidth="1"/>
    <col min="12044" max="12044" width="15.28515625" style="5" bestFit="1" customWidth="1"/>
    <col min="12045" max="12045" width="12.28515625" style="5" bestFit="1" customWidth="1"/>
    <col min="12046" max="12046" width="13.28515625" style="5" customWidth="1"/>
    <col min="12047" max="12047" width="6.7109375" style="5" customWidth="1"/>
    <col min="12048" max="12050" width="16.5703125" style="5" bestFit="1" customWidth="1"/>
    <col min="12051" max="12053" width="6.7109375" style="5" customWidth="1"/>
    <col min="12054" max="12055" width="16.5703125" style="5" bestFit="1" customWidth="1"/>
    <col min="12056" max="12056" width="6.7109375" style="5" customWidth="1"/>
    <col min="12057" max="12287" width="9.140625" style="5"/>
    <col min="12288" max="12288" width="72" style="5" customWidth="1"/>
    <col min="12289" max="12289" width="16.7109375" style="5" customWidth="1"/>
    <col min="12290" max="12290" width="16.140625" style="5" bestFit="1" customWidth="1"/>
    <col min="12291" max="12294" width="16.5703125" style="5" bestFit="1" customWidth="1"/>
    <col min="12295" max="12295" width="16.5703125" style="5" customWidth="1"/>
    <col min="12296" max="12297" width="16.5703125" style="5" bestFit="1" customWidth="1"/>
    <col min="12298" max="12298" width="16.5703125" style="5" customWidth="1"/>
    <col min="12299" max="12299" width="16.5703125" style="5" bestFit="1" customWidth="1"/>
    <col min="12300" max="12300" width="15.28515625" style="5" bestFit="1" customWidth="1"/>
    <col min="12301" max="12301" width="12.28515625" style="5" bestFit="1" customWidth="1"/>
    <col min="12302" max="12302" width="13.28515625" style="5" customWidth="1"/>
    <col min="12303" max="12303" width="6.7109375" style="5" customWidth="1"/>
    <col min="12304" max="12306" width="16.5703125" style="5" bestFit="1" customWidth="1"/>
    <col min="12307" max="12309" width="6.7109375" style="5" customWidth="1"/>
    <col min="12310" max="12311" width="16.5703125" style="5" bestFit="1" customWidth="1"/>
    <col min="12312" max="12312" width="6.7109375" style="5" customWidth="1"/>
    <col min="12313" max="12543" width="9.140625" style="5"/>
    <col min="12544" max="12544" width="72" style="5" customWidth="1"/>
    <col min="12545" max="12545" width="16.7109375" style="5" customWidth="1"/>
    <col min="12546" max="12546" width="16.140625" style="5" bestFit="1" customWidth="1"/>
    <col min="12547" max="12550" width="16.5703125" style="5" bestFit="1" customWidth="1"/>
    <col min="12551" max="12551" width="16.5703125" style="5" customWidth="1"/>
    <col min="12552" max="12553" width="16.5703125" style="5" bestFit="1" customWidth="1"/>
    <col min="12554" max="12554" width="16.5703125" style="5" customWidth="1"/>
    <col min="12555" max="12555" width="16.5703125" style="5" bestFit="1" customWidth="1"/>
    <col min="12556" max="12556" width="15.28515625" style="5" bestFit="1" customWidth="1"/>
    <col min="12557" max="12557" width="12.28515625" style="5" bestFit="1" customWidth="1"/>
    <col min="12558" max="12558" width="13.28515625" style="5" customWidth="1"/>
    <col min="12559" max="12559" width="6.7109375" style="5" customWidth="1"/>
    <col min="12560" max="12562" width="16.5703125" style="5" bestFit="1" customWidth="1"/>
    <col min="12563" max="12565" width="6.7109375" style="5" customWidth="1"/>
    <col min="12566" max="12567" width="16.5703125" style="5" bestFit="1" customWidth="1"/>
    <col min="12568" max="12568" width="6.7109375" style="5" customWidth="1"/>
    <col min="12569" max="12799" width="9.140625" style="5"/>
    <col min="12800" max="12800" width="72" style="5" customWidth="1"/>
    <col min="12801" max="12801" width="16.7109375" style="5" customWidth="1"/>
    <col min="12802" max="12802" width="16.140625" style="5" bestFit="1" customWidth="1"/>
    <col min="12803" max="12806" width="16.5703125" style="5" bestFit="1" customWidth="1"/>
    <col min="12807" max="12807" width="16.5703125" style="5" customWidth="1"/>
    <col min="12808" max="12809" width="16.5703125" style="5" bestFit="1" customWidth="1"/>
    <col min="12810" max="12810" width="16.5703125" style="5" customWidth="1"/>
    <col min="12811" max="12811" width="16.5703125" style="5" bestFit="1" customWidth="1"/>
    <col min="12812" max="12812" width="15.28515625" style="5" bestFit="1" customWidth="1"/>
    <col min="12813" max="12813" width="12.28515625" style="5" bestFit="1" customWidth="1"/>
    <col min="12814" max="12814" width="13.28515625" style="5" customWidth="1"/>
    <col min="12815" max="12815" width="6.7109375" style="5" customWidth="1"/>
    <col min="12816" max="12818" width="16.5703125" style="5" bestFit="1" customWidth="1"/>
    <col min="12819" max="12821" width="6.7109375" style="5" customWidth="1"/>
    <col min="12822" max="12823" width="16.5703125" style="5" bestFit="1" customWidth="1"/>
    <col min="12824" max="12824" width="6.7109375" style="5" customWidth="1"/>
    <col min="12825" max="13055" width="9.140625" style="5"/>
    <col min="13056" max="13056" width="72" style="5" customWidth="1"/>
    <col min="13057" max="13057" width="16.7109375" style="5" customWidth="1"/>
    <col min="13058" max="13058" width="16.140625" style="5" bestFit="1" customWidth="1"/>
    <col min="13059" max="13062" width="16.5703125" style="5" bestFit="1" customWidth="1"/>
    <col min="13063" max="13063" width="16.5703125" style="5" customWidth="1"/>
    <col min="13064" max="13065" width="16.5703125" style="5" bestFit="1" customWidth="1"/>
    <col min="13066" max="13066" width="16.5703125" style="5" customWidth="1"/>
    <col min="13067" max="13067" width="16.5703125" style="5" bestFit="1" customWidth="1"/>
    <col min="13068" max="13068" width="15.28515625" style="5" bestFit="1" customWidth="1"/>
    <col min="13069" max="13069" width="12.28515625" style="5" bestFit="1" customWidth="1"/>
    <col min="13070" max="13070" width="13.28515625" style="5" customWidth="1"/>
    <col min="13071" max="13071" width="6.7109375" style="5" customWidth="1"/>
    <col min="13072" max="13074" width="16.5703125" style="5" bestFit="1" customWidth="1"/>
    <col min="13075" max="13077" width="6.7109375" style="5" customWidth="1"/>
    <col min="13078" max="13079" width="16.5703125" style="5" bestFit="1" customWidth="1"/>
    <col min="13080" max="13080" width="6.7109375" style="5" customWidth="1"/>
    <col min="13081" max="13311" width="9.140625" style="5"/>
    <col min="13312" max="13312" width="72" style="5" customWidth="1"/>
    <col min="13313" max="13313" width="16.7109375" style="5" customWidth="1"/>
    <col min="13314" max="13314" width="16.140625" style="5" bestFit="1" customWidth="1"/>
    <col min="13315" max="13318" width="16.5703125" style="5" bestFit="1" customWidth="1"/>
    <col min="13319" max="13319" width="16.5703125" style="5" customWidth="1"/>
    <col min="13320" max="13321" width="16.5703125" style="5" bestFit="1" customWidth="1"/>
    <col min="13322" max="13322" width="16.5703125" style="5" customWidth="1"/>
    <col min="13323" max="13323" width="16.5703125" style="5" bestFit="1" customWidth="1"/>
    <col min="13324" max="13324" width="15.28515625" style="5" bestFit="1" customWidth="1"/>
    <col min="13325" max="13325" width="12.28515625" style="5" bestFit="1" customWidth="1"/>
    <col min="13326" max="13326" width="13.28515625" style="5" customWidth="1"/>
    <col min="13327" max="13327" width="6.7109375" style="5" customWidth="1"/>
    <col min="13328" max="13330" width="16.5703125" style="5" bestFit="1" customWidth="1"/>
    <col min="13331" max="13333" width="6.7109375" style="5" customWidth="1"/>
    <col min="13334" max="13335" width="16.5703125" style="5" bestFit="1" customWidth="1"/>
    <col min="13336" max="13336" width="6.7109375" style="5" customWidth="1"/>
    <col min="13337" max="13567" width="9.140625" style="5"/>
    <col min="13568" max="13568" width="72" style="5" customWidth="1"/>
    <col min="13569" max="13569" width="16.7109375" style="5" customWidth="1"/>
    <col min="13570" max="13570" width="16.140625" style="5" bestFit="1" customWidth="1"/>
    <col min="13571" max="13574" width="16.5703125" style="5" bestFit="1" customWidth="1"/>
    <col min="13575" max="13575" width="16.5703125" style="5" customWidth="1"/>
    <col min="13576" max="13577" width="16.5703125" style="5" bestFit="1" customWidth="1"/>
    <col min="13578" max="13578" width="16.5703125" style="5" customWidth="1"/>
    <col min="13579" max="13579" width="16.5703125" style="5" bestFit="1" customWidth="1"/>
    <col min="13580" max="13580" width="15.28515625" style="5" bestFit="1" customWidth="1"/>
    <col min="13581" max="13581" width="12.28515625" style="5" bestFit="1" customWidth="1"/>
    <col min="13582" max="13582" width="13.28515625" style="5" customWidth="1"/>
    <col min="13583" max="13583" width="6.7109375" style="5" customWidth="1"/>
    <col min="13584" max="13586" width="16.5703125" style="5" bestFit="1" customWidth="1"/>
    <col min="13587" max="13589" width="6.7109375" style="5" customWidth="1"/>
    <col min="13590" max="13591" width="16.5703125" style="5" bestFit="1" customWidth="1"/>
    <col min="13592" max="13592" width="6.7109375" style="5" customWidth="1"/>
    <col min="13593" max="13823" width="9.140625" style="5"/>
    <col min="13824" max="13824" width="72" style="5" customWidth="1"/>
    <col min="13825" max="13825" width="16.7109375" style="5" customWidth="1"/>
    <col min="13826" max="13826" width="16.140625" style="5" bestFit="1" customWidth="1"/>
    <col min="13827" max="13830" width="16.5703125" style="5" bestFit="1" customWidth="1"/>
    <col min="13831" max="13831" width="16.5703125" style="5" customWidth="1"/>
    <col min="13832" max="13833" width="16.5703125" style="5" bestFit="1" customWidth="1"/>
    <col min="13834" max="13834" width="16.5703125" style="5" customWidth="1"/>
    <col min="13835" max="13835" width="16.5703125" style="5" bestFit="1" customWidth="1"/>
    <col min="13836" max="13836" width="15.28515625" style="5" bestFit="1" customWidth="1"/>
    <col min="13837" max="13837" width="12.28515625" style="5" bestFit="1" customWidth="1"/>
    <col min="13838" max="13838" width="13.28515625" style="5" customWidth="1"/>
    <col min="13839" max="13839" width="6.7109375" style="5" customWidth="1"/>
    <col min="13840" max="13842" width="16.5703125" style="5" bestFit="1" customWidth="1"/>
    <col min="13843" max="13845" width="6.7109375" style="5" customWidth="1"/>
    <col min="13846" max="13847" width="16.5703125" style="5" bestFit="1" customWidth="1"/>
    <col min="13848" max="13848" width="6.7109375" style="5" customWidth="1"/>
    <col min="13849" max="14079" width="9.140625" style="5"/>
    <col min="14080" max="14080" width="72" style="5" customWidth="1"/>
    <col min="14081" max="14081" width="16.7109375" style="5" customWidth="1"/>
    <col min="14082" max="14082" width="16.140625" style="5" bestFit="1" customWidth="1"/>
    <col min="14083" max="14086" width="16.5703125" style="5" bestFit="1" customWidth="1"/>
    <col min="14087" max="14087" width="16.5703125" style="5" customWidth="1"/>
    <col min="14088" max="14089" width="16.5703125" style="5" bestFit="1" customWidth="1"/>
    <col min="14090" max="14090" width="16.5703125" style="5" customWidth="1"/>
    <col min="14091" max="14091" width="16.5703125" style="5" bestFit="1" customWidth="1"/>
    <col min="14092" max="14092" width="15.28515625" style="5" bestFit="1" customWidth="1"/>
    <col min="14093" max="14093" width="12.28515625" style="5" bestFit="1" customWidth="1"/>
    <col min="14094" max="14094" width="13.28515625" style="5" customWidth="1"/>
    <col min="14095" max="14095" width="6.7109375" style="5" customWidth="1"/>
    <col min="14096" max="14098" width="16.5703125" style="5" bestFit="1" customWidth="1"/>
    <col min="14099" max="14101" width="6.7109375" style="5" customWidth="1"/>
    <col min="14102" max="14103" width="16.5703125" style="5" bestFit="1" customWidth="1"/>
    <col min="14104" max="14104" width="6.7109375" style="5" customWidth="1"/>
    <col min="14105" max="14335" width="9.140625" style="5"/>
    <col min="14336" max="14336" width="72" style="5" customWidth="1"/>
    <col min="14337" max="14337" width="16.7109375" style="5" customWidth="1"/>
    <col min="14338" max="14338" width="16.140625" style="5" bestFit="1" customWidth="1"/>
    <col min="14339" max="14342" width="16.5703125" style="5" bestFit="1" customWidth="1"/>
    <col min="14343" max="14343" width="16.5703125" style="5" customWidth="1"/>
    <col min="14344" max="14345" width="16.5703125" style="5" bestFit="1" customWidth="1"/>
    <col min="14346" max="14346" width="16.5703125" style="5" customWidth="1"/>
    <col min="14347" max="14347" width="16.5703125" style="5" bestFit="1" customWidth="1"/>
    <col min="14348" max="14348" width="15.28515625" style="5" bestFit="1" customWidth="1"/>
    <col min="14349" max="14349" width="12.28515625" style="5" bestFit="1" customWidth="1"/>
    <col min="14350" max="14350" width="13.28515625" style="5" customWidth="1"/>
    <col min="14351" max="14351" width="6.7109375" style="5" customWidth="1"/>
    <col min="14352" max="14354" width="16.5703125" style="5" bestFit="1" customWidth="1"/>
    <col min="14355" max="14357" width="6.7109375" style="5" customWidth="1"/>
    <col min="14358" max="14359" width="16.5703125" style="5" bestFit="1" customWidth="1"/>
    <col min="14360" max="14360" width="6.7109375" style="5" customWidth="1"/>
    <col min="14361" max="14591" width="9.140625" style="5"/>
    <col min="14592" max="14592" width="72" style="5" customWidth="1"/>
    <col min="14593" max="14593" width="16.7109375" style="5" customWidth="1"/>
    <col min="14594" max="14594" width="16.140625" style="5" bestFit="1" customWidth="1"/>
    <col min="14595" max="14598" width="16.5703125" style="5" bestFit="1" customWidth="1"/>
    <col min="14599" max="14599" width="16.5703125" style="5" customWidth="1"/>
    <col min="14600" max="14601" width="16.5703125" style="5" bestFit="1" customWidth="1"/>
    <col min="14602" max="14602" width="16.5703125" style="5" customWidth="1"/>
    <col min="14603" max="14603" width="16.5703125" style="5" bestFit="1" customWidth="1"/>
    <col min="14604" max="14604" width="15.28515625" style="5" bestFit="1" customWidth="1"/>
    <col min="14605" max="14605" width="12.28515625" style="5" bestFit="1" customWidth="1"/>
    <col min="14606" max="14606" width="13.28515625" style="5" customWidth="1"/>
    <col min="14607" max="14607" width="6.7109375" style="5" customWidth="1"/>
    <col min="14608" max="14610" width="16.5703125" style="5" bestFit="1" customWidth="1"/>
    <col min="14611" max="14613" width="6.7109375" style="5" customWidth="1"/>
    <col min="14614" max="14615" width="16.5703125" style="5" bestFit="1" customWidth="1"/>
    <col min="14616" max="14616" width="6.7109375" style="5" customWidth="1"/>
    <col min="14617" max="14847" width="9.140625" style="5"/>
    <col min="14848" max="14848" width="72" style="5" customWidth="1"/>
    <col min="14849" max="14849" width="16.7109375" style="5" customWidth="1"/>
    <col min="14850" max="14850" width="16.140625" style="5" bestFit="1" customWidth="1"/>
    <col min="14851" max="14854" width="16.5703125" style="5" bestFit="1" customWidth="1"/>
    <col min="14855" max="14855" width="16.5703125" style="5" customWidth="1"/>
    <col min="14856" max="14857" width="16.5703125" style="5" bestFit="1" customWidth="1"/>
    <col min="14858" max="14858" width="16.5703125" style="5" customWidth="1"/>
    <col min="14859" max="14859" width="16.5703125" style="5" bestFit="1" customWidth="1"/>
    <col min="14860" max="14860" width="15.28515625" style="5" bestFit="1" customWidth="1"/>
    <col min="14861" max="14861" width="12.28515625" style="5" bestFit="1" customWidth="1"/>
    <col min="14862" max="14862" width="13.28515625" style="5" customWidth="1"/>
    <col min="14863" max="14863" width="6.7109375" style="5" customWidth="1"/>
    <col min="14864" max="14866" width="16.5703125" style="5" bestFit="1" customWidth="1"/>
    <col min="14867" max="14869" width="6.7109375" style="5" customWidth="1"/>
    <col min="14870" max="14871" width="16.5703125" style="5" bestFit="1" customWidth="1"/>
    <col min="14872" max="14872" width="6.7109375" style="5" customWidth="1"/>
    <col min="14873" max="15103" width="9.140625" style="5"/>
    <col min="15104" max="15104" width="72" style="5" customWidth="1"/>
    <col min="15105" max="15105" width="16.7109375" style="5" customWidth="1"/>
    <col min="15106" max="15106" width="16.140625" style="5" bestFit="1" customWidth="1"/>
    <col min="15107" max="15110" width="16.5703125" style="5" bestFit="1" customWidth="1"/>
    <col min="15111" max="15111" width="16.5703125" style="5" customWidth="1"/>
    <col min="15112" max="15113" width="16.5703125" style="5" bestFit="1" customWidth="1"/>
    <col min="15114" max="15114" width="16.5703125" style="5" customWidth="1"/>
    <col min="15115" max="15115" width="16.5703125" style="5" bestFit="1" customWidth="1"/>
    <col min="15116" max="15116" width="15.28515625" style="5" bestFit="1" customWidth="1"/>
    <col min="15117" max="15117" width="12.28515625" style="5" bestFit="1" customWidth="1"/>
    <col min="15118" max="15118" width="13.28515625" style="5" customWidth="1"/>
    <col min="15119" max="15119" width="6.7109375" style="5" customWidth="1"/>
    <col min="15120" max="15122" width="16.5703125" style="5" bestFit="1" customWidth="1"/>
    <col min="15123" max="15125" width="6.7109375" style="5" customWidth="1"/>
    <col min="15126" max="15127" width="16.5703125" style="5" bestFit="1" customWidth="1"/>
    <col min="15128" max="15128" width="6.7109375" style="5" customWidth="1"/>
    <col min="15129" max="15359" width="9.140625" style="5"/>
    <col min="15360" max="15360" width="72" style="5" customWidth="1"/>
    <col min="15361" max="15361" width="16.7109375" style="5" customWidth="1"/>
    <col min="15362" max="15362" width="16.140625" style="5" bestFit="1" customWidth="1"/>
    <col min="15363" max="15366" width="16.5703125" style="5" bestFit="1" customWidth="1"/>
    <col min="15367" max="15367" width="16.5703125" style="5" customWidth="1"/>
    <col min="15368" max="15369" width="16.5703125" style="5" bestFit="1" customWidth="1"/>
    <col min="15370" max="15370" width="16.5703125" style="5" customWidth="1"/>
    <col min="15371" max="15371" width="16.5703125" style="5" bestFit="1" customWidth="1"/>
    <col min="15372" max="15372" width="15.28515625" style="5" bestFit="1" customWidth="1"/>
    <col min="15373" max="15373" width="12.28515625" style="5" bestFit="1" customWidth="1"/>
    <col min="15374" max="15374" width="13.28515625" style="5" customWidth="1"/>
    <col min="15375" max="15375" width="6.7109375" style="5" customWidth="1"/>
    <col min="15376" max="15378" width="16.5703125" style="5" bestFit="1" customWidth="1"/>
    <col min="15379" max="15381" width="6.7109375" style="5" customWidth="1"/>
    <col min="15382" max="15383" width="16.5703125" style="5" bestFit="1" customWidth="1"/>
    <col min="15384" max="15384" width="6.7109375" style="5" customWidth="1"/>
    <col min="15385" max="15615" width="9.140625" style="5"/>
    <col min="15616" max="15616" width="72" style="5" customWidth="1"/>
    <col min="15617" max="15617" width="16.7109375" style="5" customWidth="1"/>
    <col min="15618" max="15618" width="16.140625" style="5" bestFit="1" customWidth="1"/>
    <col min="15619" max="15622" width="16.5703125" style="5" bestFit="1" customWidth="1"/>
    <col min="15623" max="15623" width="16.5703125" style="5" customWidth="1"/>
    <col min="15624" max="15625" width="16.5703125" style="5" bestFit="1" customWidth="1"/>
    <col min="15626" max="15626" width="16.5703125" style="5" customWidth="1"/>
    <col min="15627" max="15627" width="16.5703125" style="5" bestFit="1" customWidth="1"/>
    <col min="15628" max="15628" width="15.28515625" style="5" bestFit="1" customWidth="1"/>
    <col min="15629" max="15629" width="12.28515625" style="5" bestFit="1" customWidth="1"/>
    <col min="15630" max="15630" width="13.28515625" style="5" customWidth="1"/>
    <col min="15631" max="15631" width="6.7109375" style="5" customWidth="1"/>
    <col min="15632" max="15634" width="16.5703125" style="5" bestFit="1" customWidth="1"/>
    <col min="15635" max="15637" width="6.7109375" style="5" customWidth="1"/>
    <col min="15638" max="15639" width="16.5703125" style="5" bestFit="1" customWidth="1"/>
    <col min="15640" max="15640" width="6.7109375" style="5" customWidth="1"/>
    <col min="15641" max="15871" width="9.140625" style="5"/>
    <col min="15872" max="15872" width="72" style="5" customWidth="1"/>
    <col min="15873" max="15873" width="16.7109375" style="5" customWidth="1"/>
    <col min="15874" max="15874" width="16.140625" style="5" bestFit="1" customWidth="1"/>
    <col min="15875" max="15878" width="16.5703125" style="5" bestFit="1" customWidth="1"/>
    <col min="15879" max="15879" width="16.5703125" style="5" customWidth="1"/>
    <col min="15880" max="15881" width="16.5703125" style="5" bestFit="1" customWidth="1"/>
    <col min="15882" max="15882" width="16.5703125" style="5" customWidth="1"/>
    <col min="15883" max="15883" width="16.5703125" style="5" bestFit="1" customWidth="1"/>
    <col min="15884" max="15884" width="15.28515625" style="5" bestFit="1" customWidth="1"/>
    <col min="15885" max="15885" width="12.28515625" style="5" bestFit="1" customWidth="1"/>
    <col min="15886" max="15886" width="13.28515625" style="5" customWidth="1"/>
    <col min="15887" max="15887" width="6.7109375" style="5" customWidth="1"/>
    <col min="15888" max="15890" width="16.5703125" style="5" bestFit="1" customWidth="1"/>
    <col min="15891" max="15893" width="6.7109375" style="5" customWidth="1"/>
    <col min="15894" max="15895" width="16.5703125" style="5" bestFit="1" customWidth="1"/>
    <col min="15896" max="15896" width="6.7109375" style="5" customWidth="1"/>
    <col min="15897" max="16127" width="9.140625" style="5"/>
    <col min="16128" max="16128" width="72" style="5" customWidth="1"/>
    <col min="16129" max="16129" width="16.7109375" style="5" customWidth="1"/>
    <col min="16130" max="16130" width="16.140625" style="5" bestFit="1" customWidth="1"/>
    <col min="16131" max="16134" width="16.5703125" style="5" bestFit="1" customWidth="1"/>
    <col min="16135" max="16135" width="16.5703125" style="5" customWidth="1"/>
    <col min="16136" max="16137" width="16.5703125" style="5" bestFit="1" customWidth="1"/>
    <col min="16138" max="16138" width="16.5703125" style="5" customWidth="1"/>
    <col min="16139" max="16139" width="16.5703125" style="5" bestFit="1" customWidth="1"/>
    <col min="16140" max="16140" width="15.28515625" style="5" bestFit="1" customWidth="1"/>
    <col min="16141" max="16141" width="12.28515625" style="5" bestFit="1" customWidth="1"/>
    <col min="16142" max="16142" width="13.28515625" style="5" customWidth="1"/>
    <col min="16143" max="16143" width="6.7109375" style="5" customWidth="1"/>
    <col min="16144" max="16146" width="16.5703125" style="5" bestFit="1" customWidth="1"/>
    <col min="16147" max="16149" width="6.7109375" style="5" customWidth="1"/>
    <col min="16150" max="16151" width="16.5703125" style="5" bestFit="1" customWidth="1"/>
    <col min="16152" max="16152" width="6.7109375" style="5" customWidth="1"/>
    <col min="16153" max="16384" width="9.140625" style="5"/>
  </cols>
  <sheetData>
    <row r="1" spans="2:24" ht="31.5">
      <c r="C1" s="6" t="s">
        <v>302</v>
      </c>
      <c r="D1" s="6"/>
    </row>
    <row r="2" spans="2:24" s="7" customFormat="1" ht="15.75">
      <c r="C2" s="8"/>
      <c r="D2" s="8"/>
      <c r="S2" s="103" t="s">
        <v>303</v>
      </c>
      <c r="T2" s="103"/>
      <c r="U2" s="103"/>
      <c r="W2" s="103" t="s">
        <v>303</v>
      </c>
      <c r="X2" s="103"/>
    </row>
    <row r="3" spans="2:24" s="7" customFormat="1" ht="39">
      <c r="B3" s="9" t="s">
        <v>304</v>
      </c>
      <c r="C3" s="9" t="s">
        <v>435</v>
      </c>
      <c r="D3" s="9" t="s">
        <v>434</v>
      </c>
      <c r="E3" s="10" t="s">
        <v>1</v>
      </c>
      <c r="F3" s="10" t="s">
        <v>305</v>
      </c>
      <c r="G3" s="10" t="s">
        <v>306</v>
      </c>
      <c r="H3" s="10" t="s">
        <v>307</v>
      </c>
      <c r="I3" s="10" t="s">
        <v>308</v>
      </c>
      <c r="J3" s="10" t="s">
        <v>555</v>
      </c>
      <c r="K3" s="10">
        <v>35</v>
      </c>
      <c r="L3" s="10">
        <v>43</v>
      </c>
      <c r="M3" s="10" t="s">
        <v>309</v>
      </c>
      <c r="N3" s="10" t="s">
        <v>310</v>
      </c>
      <c r="O3" s="10" t="s">
        <v>311</v>
      </c>
      <c r="P3" s="10" t="s">
        <v>312</v>
      </c>
      <c r="Q3" s="10" t="s">
        <v>313</v>
      </c>
      <c r="R3" s="10" t="s">
        <v>314</v>
      </c>
      <c r="S3" s="10" t="s">
        <v>315</v>
      </c>
      <c r="T3" s="10" t="s">
        <v>316</v>
      </c>
      <c r="U3" s="10" t="s">
        <v>317</v>
      </c>
      <c r="V3" s="10" t="s">
        <v>314</v>
      </c>
      <c r="W3" s="10" t="s">
        <v>318</v>
      </c>
      <c r="X3" s="10" t="s">
        <v>319</v>
      </c>
    </row>
    <row r="4" spans="2:24" s="7" customFormat="1">
      <c r="B4" s="9"/>
      <c r="C4" s="9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2:24" s="7" customFormat="1">
      <c r="B5" s="9" t="s">
        <v>320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r="6" spans="2:24" s="7" customFormat="1">
      <c r="B6" s="5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2:24">
      <c r="B7" s="12" t="str">
        <f>'Alloc Amt'!B7</f>
        <v>Ave. No Cust</v>
      </c>
      <c r="C7" s="12" t="str">
        <f>'Alloc Amt'!C7</f>
        <v>CUST_1</v>
      </c>
      <c r="D7" s="12">
        <f>'Alloc Amt'!D7</f>
        <v>1</v>
      </c>
      <c r="E7" s="20">
        <f>SUM(F7:Q7)</f>
        <v>0.99999999999999989</v>
      </c>
      <c r="F7" s="20">
        <f>'Alloc Amt'!F7/'Alloc Amt'!$E7</f>
        <v>0.8794841440665806</v>
      </c>
      <c r="G7" s="20">
        <f>'Alloc Amt'!G7/'Alloc Amt'!$E7</f>
        <v>0.10575226000860956</v>
      </c>
      <c r="H7" s="20">
        <f>'Alloc Amt'!H7/'Alloc Amt'!$E7</f>
        <v>6.830248242215526E-3</v>
      </c>
      <c r="I7" s="20">
        <f>'Alloc Amt'!I7/'Alloc Amt'!$E7</f>
        <v>6.9773281675993687E-4</v>
      </c>
      <c r="J7" s="20">
        <f>'Alloc Amt'!J7/'Alloc Amt'!$E7</f>
        <v>4.2599368632515426E-4</v>
      </c>
      <c r="K7" s="20">
        <f>'Alloc Amt'!K7/'Alloc Amt'!$E7</f>
        <v>8.9682881331611423E-7</v>
      </c>
      <c r="L7" s="20">
        <f>'Alloc Amt'!L7/'Alloc Amt'!$E7</f>
        <v>1.4169895250394605E-4</v>
      </c>
      <c r="M7" s="20">
        <f>'Alloc Amt'!M7/'Alloc Amt'!$E7</f>
        <v>1.4169895250394605E-4</v>
      </c>
      <c r="N7" s="20">
        <f>'Alloc Amt'!N7/'Alloc Amt'!$E7</f>
        <v>2.2420720332902856E-5</v>
      </c>
      <c r="O7" s="20">
        <f>'Alloc Amt'!O7/'Alloc Amt'!$E7</f>
        <v>1.4349261013057828E-5</v>
      </c>
      <c r="P7" s="20">
        <f>'Alloc Amt'!P7/'Alloc Amt'!$E7</f>
        <v>6.4813818338355575E-3</v>
      </c>
      <c r="Q7" s="20">
        <f>'Alloc Amt'!Q7/'Alloc Amt'!$E7</f>
        <v>7.1746305065289138E-6</v>
      </c>
      <c r="R7" s="14"/>
      <c r="S7" s="14"/>
      <c r="T7" s="14"/>
      <c r="U7" s="14"/>
      <c r="V7" s="14"/>
      <c r="W7" s="14"/>
      <c r="X7" s="14"/>
    </row>
    <row r="8" spans="2:24">
      <c r="B8" s="12" t="str">
        <f>'Alloc Amt'!B8</f>
        <v>Ave No. Cust Incl RES &amp; SEC Only, No Sch 40</v>
      </c>
      <c r="C8" s="12" t="str">
        <f>'Alloc Amt'!C8</f>
        <v>CUST_2</v>
      </c>
      <c r="D8" s="12">
        <f>'Alloc Amt'!D8</f>
        <v>2</v>
      </c>
      <c r="E8" s="20">
        <f t="shared" ref="E8:E71" si="0">SUM(F8:Q8)</f>
        <v>0.99999999999999989</v>
      </c>
      <c r="F8" s="20">
        <f>'Alloc Amt'!F8/'Alloc Amt'!$E8</f>
        <v>0.88589413282359442</v>
      </c>
      <c r="G8" s="20">
        <f>'Alloc Amt'!G8/'Alloc Amt'!$E8</f>
        <v>0.10652301955243673</v>
      </c>
      <c r="H8" s="20">
        <f>'Alloc Amt'!H8/'Alloc Amt'!$E8</f>
        <v>6.8800294858406535E-3</v>
      </c>
      <c r="I8" s="20">
        <f>'Alloc Amt'!I8/'Alloc Amt'!$E8</f>
        <v>7.0281813812815498E-4</v>
      </c>
      <c r="J8" s="20">
        <f>'Alloc Amt'!J8/'Alloc Amt'!$E8</f>
        <v>0</v>
      </c>
      <c r="K8" s="20">
        <f>'Alloc Amt'!K8/'Alloc Amt'!$E8</f>
        <v>0</v>
      </c>
      <c r="L8" s="20">
        <f>'Alloc Amt'!L8/'Alloc Amt'!$E8</f>
        <v>0</v>
      </c>
      <c r="M8" s="20">
        <f>'Alloc Amt'!M8/'Alloc Amt'!$E8</f>
        <v>0</v>
      </c>
      <c r="N8" s="20">
        <f>'Alloc Amt'!N8/'Alloc Amt'!$E8</f>
        <v>0</v>
      </c>
      <c r="O8" s="20">
        <f>'Alloc Amt'!O8/'Alloc Amt'!$E8</f>
        <v>0</v>
      </c>
      <c r="P8" s="20">
        <f>'Alloc Amt'!P8/'Alloc Amt'!$E8</f>
        <v>0</v>
      </c>
      <c r="Q8" s="20">
        <f>'Alloc Amt'!Q8/'Alloc Amt'!$E8</f>
        <v>0</v>
      </c>
      <c r="R8" s="14"/>
      <c r="S8" s="14"/>
      <c r="T8" s="14"/>
      <c r="U8" s="14"/>
      <c r="V8" s="14"/>
      <c r="W8" s="14"/>
      <c r="X8" s="14"/>
    </row>
    <row r="9" spans="2:24">
      <c r="B9" s="12" t="str">
        <f>'Alloc Amt'!B9</f>
        <v>Wtd. Ave. No. Cust. A/C 903 Customer Records Direct Assignment (Needs Proforma Adjustment)</v>
      </c>
      <c r="C9" s="12" t="str">
        <f>'Alloc Amt'!C9</f>
        <v>CUST_3</v>
      </c>
      <c r="D9" s="12">
        <f>'Alloc Amt'!D9</f>
        <v>3</v>
      </c>
      <c r="E9" s="20">
        <f t="shared" si="0"/>
        <v>0.99999999999999989</v>
      </c>
      <c r="F9" s="20">
        <f>'Alloc Amt'!F9/'Alloc Amt'!$E9</f>
        <v>0.86059902770567032</v>
      </c>
      <c r="G9" s="20">
        <f>'Alloc Amt'!G9/'Alloc Amt'!$E9</f>
        <v>0.1030159786713615</v>
      </c>
      <c r="H9" s="20">
        <f>'Alloc Amt'!H9/'Alloc Amt'!$E9</f>
        <v>8.5723928660649401E-3</v>
      </c>
      <c r="I9" s="20">
        <f>'Alloc Amt'!I9/'Alloc Amt'!$E9</f>
        <v>4.8011645092444896E-3</v>
      </c>
      <c r="J9" s="20">
        <f>'Alloc Amt'!J9/'Alloc Amt'!$E9</f>
        <v>1.6760111554002541E-3</v>
      </c>
      <c r="K9" s="20">
        <f>'Alloc Amt'!K9/'Alloc Amt'!$E9</f>
        <v>6.6219086378396233E-7</v>
      </c>
      <c r="L9" s="20">
        <f>'Alloc Amt'!L9/'Alloc Amt'!$E9</f>
        <v>2.200519972926063E-4</v>
      </c>
      <c r="M9" s="20">
        <f>'Alloc Amt'!M9/'Alloc Amt'!$E9</f>
        <v>3.1021829176614358E-3</v>
      </c>
      <c r="N9" s="20">
        <f>'Alloc Amt'!N9/'Alloc Amt'!$E9</f>
        <v>1.8912192230472675E-3</v>
      </c>
      <c r="O9" s="20">
        <f>'Alloc Amt'!O9/'Alloc Amt'!$E9</f>
        <v>1.1974362072856728E-2</v>
      </c>
      <c r="P9" s="20">
        <f>'Alloc Amt'!P9/'Alloc Amt'!$E9</f>
        <v>4.1459666983088396E-3</v>
      </c>
      <c r="Q9" s="20">
        <f>'Alloc Amt'!Q9/'Alloc Amt'!$E9</f>
        <v>9.7999222778922465E-7</v>
      </c>
      <c r="R9" s="14"/>
      <c r="S9" s="14"/>
      <c r="T9" s="14"/>
      <c r="U9" s="14"/>
      <c r="V9" s="14"/>
      <c r="W9" s="14"/>
      <c r="X9" s="14"/>
    </row>
    <row r="10" spans="2:24">
      <c r="B10" s="12" t="str">
        <f>'Alloc Amt'!B10</f>
        <v>Meter Counts A/C 902</v>
      </c>
      <c r="C10" s="12" t="str">
        <f>'Alloc Amt'!C10</f>
        <v>CUST_4</v>
      </c>
      <c r="D10" s="12">
        <f>'Alloc Amt'!D10</f>
        <v>4</v>
      </c>
      <c r="E10" s="20">
        <f t="shared" si="0"/>
        <v>1</v>
      </c>
      <c r="F10" s="20">
        <f>'Alloc Amt'!F10/'Alloc Amt'!$E10</f>
        <v>0.878741383613311</v>
      </c>
      <c r="G10" s="20">
        <f>'Alloc Amt'!G10/'Alloc Amt'!$E10</f>
        <v>0.11268880476085023</v>
      </c>
      <c r="H10" s="20">
        <f>'Alloc Amt'!H10/'Alloc Amt'!$E10</f>
        <v>7.0240467929993285E-3</v>
      </c>
      <c r="I10" s="20">
        <f>'Alloc Amt'!I10/'Alloc Amt'!$E10</f>
        <v>7.162014432996938E-4</v>
      </c>
      <c r="J10" s="20">
        <f>'Alloc Amt'!J10/'Alloc Amt'!$E10</f>
        <v>4.3411473986509051E-4</v>
      </c>
      <c r="K10" s="20">
        <f>'Alloc Amt'!K10/'Alloc Amt'!$E10</f>
        <v>8.7877477705483907E-7</v>
      </c>
      <c r="L10" s="20">
        <f>'Alloc Amt'!L10/'Alloc Amt'!$E10</f>
        <v>1.4411906343699359E-4</v>
      </c>
      <c r="M10" s="20">
        <f>'Alloc Amt'!M10/'Alloc Amt'!$E10</f>
        <v>1.6696720764041941E-4</v>
      </c>
      <c r="N10" s="20">
        <f>'Alloc Amt'!N10/'Alloc Amt'!$E10</f>
        <v>3.2514666751029043E-5</v>
      </c>
      <c r="O10" s="20">
        <f>'Alloc Amt'!O10/'Alloc Amt'!$E10</f>
        <v>4.3059964075687116E-5</v>
      </c>
      <c r="P10" s="20">
        <f>'Alloc Amt'!P10/'Alloc Amt'!$E10</f>
        <v>0</v>
      </c>
      <c r="Q10" s="20">
        <f>'Alloc Amt'!Q10/'Alloc Amt'!$E10</f>
        <v>7.9089729934935515E-6</v>
      </c>
      <c r="R10" s="14"/>
      <c r="S10" s="14"/>
      <c r="T10" s="14"/>
      <c r="U10" s="14"/>
      <c r="V10" s="14"/>
      <c r="W10" s="14"/>
      <c r="X10" s="14"/>
    </row>
    <row r="11" spans="2:24">
      <c r="B11" s="12" t="str">
        <f>'Alloc Amt'!B11</f>
        <v>Direct Assignment Schedule 40</v>
      </c>
      <c r="C11" s="12" t="str">
        <f>'Alloc Amt'!C11</f>
        <v>DIR_40</v>
      </c>
      <c r="D11" s="12">
        <f>'Alloc Amt'!D11</f>
        <v>5</v>
      </c>
      <c r="E11" s="20">
        <f t="shared" si="0"/>
        <v>1</v>
      </c>
      <c r="F11" s="20">
        <f>'Alloc Amt'!F11/'Alloc Amt'!$E11</f>
        <v>0</v>
      </c>
      <c r="G11" s="20">
        <f>'Alloc Amt'!G11/'Alloc Amt'!$E11</f>
        <v>0</v>
      </c>
      <c r="H11" s="20">
        <f>'Alloc Amt'!H11/'Alloc Amt'!$E11</f>
        <v>0</v>
      </c>
      <c r="I11" s="20">
        <f>'Alloc Amt'!I11/'Alloc Amt'!$E11</f>
        <v>0</v>
      </c>
      <c r="J11" s="20">
        <f>'Alloc Amt'!J11/'Alloc Amt'!$E11</f>
        <v>0</v>
      </c>
      <c r="K11" s="20">
        <f>'Alloc Amt'!K11/'Alloc Amt'!$E11</f>
        <v>0</v>
      </c>
      <c r="L11" s="20">
        <f>'Alloc Amt'!L11/'Alloc Amt'!$E11</f>
        <v>0</v>
      </c>
      <c r="M11" s="20">
        <f>'Alloc Amt'!M11/'Alloc Amt'!$E11</f>
        <v>1</v>
      </c>
      <c r="N11" s="20">
        <f>'Alloc Amt'!N11/'Alloc Amt'!$E11</f>
        <v>0</v>
      </c>
      <c r="O11" s="20">
        <f>'Alloc Amt'!O11/'Alloc Amt'!$E11</f>
        <v>0</v>
      </c>
      <c r="P11" s="20">
        <f>'Alloc Amt'!P11/'Alloc Amt'!$E11</f>
        <v>0</v>
      </c>
      <c r="Q11" s="20">
        <f>'Alloc Amt'!Q11/'Alloc Amt'!$E11</f>
        <v>0</v>
      </c>
      <c r="R11" s="14"/>
      <c r="S11" s="14"/>
      <c r="T11" s="14"/>
      <c r="U11" s="14"/>
      <c r="V11" s="14"/>
      <c r="W11" s="14"/>
      <c r="X11" s="14"/>
    </row>
    <row r="12" spans="2:24">
      <c r="B12" s="12" t="str">
        <f>'Alloc Amt'!B12</f>
        <v>Schedule 449 / 459 Retail Revenue</v>
      </c>
      <c r="C12" s="12" t="str">
        <f>'Alloc Amt'!C12</f>
        <v>DIR_449</v>
      </c>
      <c r="D12" s="12">
        <f>'Alloc Amt'!D12</f>
        <v>6</v>
      </c>
      <c r="E12" s="20">
        <f t="shared" si="0"/>
        <v>1</v>
      </c>
      <c r="F12" s="20">
        <f>'Alloc Amt'!F12/'Alloc Amt'!$E12</f>
        <v>0</v>
      </c>
      <c r="G12" s="20">
        <f>'Alloc Amt'!G12/'Alloc Amt'!$E12</f>
        <v>0</v>
      </c>
      <c r="H12" s="20">
        <f>'Alloc Amt'!H12/'Alloc Amt'!$E12</f>
        <v>0</v>
      </c>
      <c r="I12" s="20">
        <f>'Alloc Amt'!I12/'Alloc Amt'!$E12</f>
        <v>0</v>
      </c>
      <c r="J12" s="20">
        <f>'Alloc Amt'!J12/'Alloc Amt'!$E12</f>
        <v>0</v>
      </c>
      <c r="K12" s="20">
        <f>'Alloc Amt'!K12/'Alloc Amt'!$E12</f>
        <v>0</v>
      </c>
      <c r="L12" s="20">
        <f>'Alloc Amt'!L12/'Alloc Amt'!$E12</f>
        <v>0</v>
      </c>
      <c r="M12" s="20">
        <f>'Alloc Amt'!M12/'Alloc Amt'!$E12</f>
        <v>0</v>
      </c>
      <c r="N12" s="20">
        <f>'Alloc Amt'!N12/'Alloc Amt'!$E12</f>
        <v>0</v>
      </c>
      <c r="O12" s="20">
        <f>'Alloc Amt'!O12/'Alloc Amt'!$E12</f>
        <v>1</v>
      </c>
      <c r="P12" s="20">
        <f>'Alloc Amt'!P12/'Alloc Amt'!$E12</f>
        <v>0</v>
      </c>
      <c r="Q12" s="20">
        <f>'Alloc Amt'!Q12/'Alloc Amt'!$E12</f>
        <v>0</v>
      </c>
      <c r="R12" s="14"/>
      <c r="S12" s="14"/>
      <c r="T12" s="14"/>
      <c r="U12" s="14"/>
      <c r="V12" s="14"/>
      <c r="W12" s="14"/>
      <c r="X12" s="14"/>
    </row>
    <row r="13" spans="2:24">
      <c r="B13" s="12" t="str">
        <f>'Alloc Amt'!B13</f>
        <v>Transportation OATT Revenue</v>
      </c>
      <c r="C13" s="12" t="str">
        <f>'Alloc Amt'!C13</f>
        <v>DIR_449_OATT</v>
      </c>
      <c r="D13" s="12">
        <f>'Alloc Amt'!D13</f>
        <v>7</v>
      </c>
      <c r="E13" s="20">
        <f t="shared" si="0"/>
        <v>1</v>
      </c>
      <c r="F13" s="20">
        <f>'Alloc Amt'!F13/'Alloc Amt'!$E13</f>
        <v>0</v>
      </c>
      <c r="G13" s="20">
        <f>'Alloc Amt'!G13/'Alloc Amt'!$E13</f>
        <v>0</v>
      </c>
      <c r="H13" s="20">
        <f>'Alloc Amt'!H13/'Alloc Amt'!$E13</f>
        <v>0</v>
      </c>
      <c r="I13" s="20">
        <f>'Alloc Amt'!I13/'Alloc Amt'!$E13</f>
        <v>0</v>
      </c>
      <c r="J13" s="20">
        <f>'Alloc Amt'!J13/'Alloc Amt'!$E13</f>
        <v>0</v>
      </c>
      <c r="K13" s="20">
        <f>'Alloc Amt'!K13/'Alloc Amt'!$E13</f>
        <v>0</v>
      </c>
      <c r="L13" s="20">
        <f>'Alloc Amt'!L13/'Alloc Amt'!$E13</f>
        <v>0</v>
      </c>
      <c r="M13" s="20">
        <f>'Alloc Amt'!M13/'Alloc Amt'!$E13</f>
        <v>0</v>
      </c>
      <c r="N13" s="20">
        <f>'Alloc Amt'!N13/'Alloc Amt'!$E13</f>
        <v>0</v>
      </c>
      <c r="O13" s="20">
        <f>'Alloc Amt'!O13/'Alloc Amt'!$E13</f>
        <v>1</v>
      </c>
      <c r="P13" s="20">
        <f>'Alloc Amt'!P13/'Alloc Amt'!$E13</f>
        <v>0</v>
      </c>
      <c r="Q13" s="20">
        <f>'Alloc Amt'!Q13/'Alloc Amt'!$E13</f>
        <v>0</v>
      </c>
      <c r="R13" s="14"/>
      <c r="S13" s="14"/>
      <c r="T13" s="14"/>
      <c r="U13" s="14"/>
      <c r="V13" s="14"/>
      <c r="W13" s="14"/>
      <c r="X13" s="14"/>
    </row>
    <row r="14" spans="2:24">
      <c r="B14" s="12" t="str">
        <f>'Alloc Amt'!B14</f>
        <v>Small Firm Resale Allocation Only</v>
      </c>
      <c r="C14" s="12" t="str">
        <f>'Alloc Amt'!C14</f>
        <v>DIR_RESALE_SMALL</v>
      </c>
      <c r="D14" s="12">
        <f>'Alloc Amt'!D14</f>
        <v>8</v>
      </c>
      <c r="E14" s="20">
        <f t="shared" si="0"/>
        <v>1</v>
      </c>
      <c r="F14" s="20">
        <f>'Alloc Amt'!F14/'Alloc Amt'!$E14</f>
        <v>0</v>
      </c>
      <c r="G14" s="20">
        <f>'Alloc Amt'!G14/'Alloc Amt'!$E14</f>
        <v>0</v>
      </c>
      <c r="H14" s="20">
        <f>'Alloc Amt'!H14/'Alloc Amt'!$E14</f>
        <v>0</v>
      </c>
      <c r="I14" s="20">
        <f>'Alloc Amt'!I14/'Alloc Amt'!$E14</f>
        <v>0</v>
      </c>
      <c r="J14" s="20">
        <f>'Alloc Amt'!J14/'Alloc Amt'!$E14</f>
        <v>0</v>
      </c>
      <c r="K14" s="20">
        <f>'Alloc Amt'!K14/'Alloc Amt'!$E14</f>
        <v>0</v>
      </c>
      <c r="L14" s="20">
        <f>'Alloc Amt'!L14/'Alloc Amt'!$E14</f>
        <v>0</v>
      </c>
      <c r="M14" s="20">
        <f>'Alloc Amt'!M14/'Alloc Amt'!$E14</f>
        <v>0</v>
      </c>
      <c r="N14" s="20">
        <f>'Alloc Amt'!N14/'Alloc Amt'!$E14</f>
        <v>0</v>
      </c>
      <c r="O14" s="20">
        <f>'Alloc Amt'!O14/'Alloc Amt'!$E14</f>
        <v>0</v>
      </c>
      <c r="P14" s="20">
        <f>'Alloc Amt'!P14/'Alloc Amt'!$E14</f>
        <v>0</v>
      </c>
      <c r="Q14" s="20">
        <f>'Alloc Amt'!Q14/'Alloc Amt'!$E14</f>
        <v>1</v>
      </c>
      <c r="R14" s="14"/>
      <c r="S14" s="14"/>
      <c r="T14" s="14"/>
      <c r="U14" s="14"/>
      <c r="V14" s="14"/>
      <c r="W14" s="14"/>
      <c r="X14" s="14"/>
    </row>
    <row r="15" spans="2:24">
      <c r="B15" s="12" t="str">
        <f>'Alloc Amt'!B15</f>
        <v>Customer Deposits</v>
      </c>
      <c r="C15" s="12" t="str">
        <f>'Alloc Amt'!C15</f>
        <v>DIR235.00</v>
      </c>
      <c r="D15" s="12">
        <f>'Alloc Amt'!D15</f>
        <v>9</v>
      </c>
      <c r="E15" s="20">
        <f t="shared" si="0"/>
        <v>1</v>
      </c>
      <c r="F15" s="20">
        <f>'Alloc Amt'!F15/'Alloc Amt'!$E15</f>
        <v>0.87236121576363324</v>
      </c>
      <c r="G15" s="20">
        <f>'Alloc Amt'!G15/'Alloc Amt'!$E15</f>
        <v>7.6723449522767523E-2</v>
      </c>
      <c r="H15" s="20">
        <f>'Alloc Amt'!H15/'Alloc Amt'!$E15</f>
        <v>3.3598073794129907E-2</v>
      </c>
      <c r="I15" s="20">
        <f>'Alloc Amt'!I15/'Alloc Amt'!$E15</f>
        <v>1.4828821316221204E-2</v>
      </c>
      <c r="J15" s="20">
        <f>'Alloc Amt'!J15/'Alloc Amt'!$E15</f>
        <v>1.233162390285302E-3</v>
      </c>
      <c r="K15" s="20">
        <f>'Alloc Amt'!K15/'Alloc Amt'!$E15</f>
        <v>0</v>
      </c>
      <c r="L15" s="20">
        <f>'Alloc Amt'!L15/'Alloc Amt'!$E15</f>
        <v>0</v>
      </c>
      <c r="M15" s="20">
        <f>'Alloc Amt'!M15/'Alloc Amt'!$E15</f>
        <v>1.2399972153619982E-5</v>
      </c>
      <c r="N15" s="20">
        <f>'Alloc Amt'!N15/'Alloc Amt'!$E15</f>
        <v>0</v>
      </c>
      <c r="O15" s="20">
        <f>'Alloc Amt'!O15/'Alloc Amt'!$E15</f>
        <v>0</v>
      </c>
      <c r="P15" s="20">
        <f>'Alloc Amt'!P15/'Alloc Amt'!$E15</f>
        <v>1.2428772408092739E-3</v>
      </c>
      <c r="Q15" s="20">
        <f>'Alloc Amt'!Q15/'Alloc Amt'!$E15</f>
        <v>0</v>
      </c>
      <c r="R15" s="14"/>
      <c r="S15" s="14"/>
      <c r="T15" s="14"/>
      <c r="U15" s="14"/>
      <c r="V15" s="14"/>
      <c r="W15" s="14"/>
      <c r="X15" s="14"/>
    </row>
    <row r="16" spans="2:24">
      <c r="B16" s="12" t="str">
        <f>'Alloc Amt'!B16</f>
        <v>Customer Advances</v>
      </c>
      <c r="C16" s="12" t="str">
        <f>'Alloc Amt'!C16</f>
        <v>DIR252.00</v>
      </c>
      <c r="D16" s="12">
        <f>'Alloc Amt'!D16</f>
        <v>10</v>
      </c>
      <c r="E16" s="20">
        <f t="shared" si="0"/>
        <v>1</v>
      </c>
      <c r="F16" s="20">
        <f>'Alloc Amt'!F16/'Alloc Amt'!$E16</f>
        <v>0.386930567259474</v>
      </c>
      <c r="G16" s="20">
        <f>'Alloc Amt'!G16/'Alloc Amt'!$E16</f>
        <v>0.57224925141572025</v>
      </c>
      <c r="H16" s="20">
        <f>'Alloc Amt'!H16/'Alloc Amt'!$E16</f>
        <v>3.7010880048061481E-2</v>
      </c>
      <c r="I16" s="20">
        <f>'Alloc Amt'!I16/'Alloc Amt'!$E16</f>
        <v>3.8093012767442327E-3</v>
      </c>
      <c r="J16" s="20">
        <f>'Alloc Amt'!J16/'Alloc Amt'!$E16</f>
        <v>0</v>
      </c>
      <c r="K16" s="20">
        <f>'Alloc Amt'!K16/'Alloc Amt'!$E16</f>
        <v>0</v>
      </c>
      <c r="L16" s="20">
        <f>'Alloc Amt'!L16/'Alloc Amt'!$E16</f>
        <v>0</v>
      </c>
      <c r="M16" s="20">
        <f>'Alloc Amt'!M16/'Alloc Amt'!$E16</f>
        <v>0</v>
      </c>
      <c r="N16" s="20">
        <f>'Alloc Amt'!N16/'Alloc Amt'!$E16</f>
        <v>0</v>
      </c>
      <c r="O16" s="20">
        <f>'Alloc Amt'!O16/'Alloc Amt'!$E16</f>
        <v>0</v>
      </c>
      <c r="P16" s="20">
        <f>'Alloc Amt'!P16/'Alloc Amt'!$E16</f>
        <v>0</v>
      </c>
      <c r="Q16" s="20">
        <f>'Alloc Amt'!Q16/'Alloc Amt'!$E16</f>
        <v>0</v>
      </c>
      <c r="R16" s="14"/>
      <c r="S16" s="14"/>
      <c r="T16" s="14"/>
      <c r="U16" s="14"/>
      <c r="V16" s="14"/>
      <c r="W16" s="14"/>
      <c r="X16" s="14"/>
    </row>
    <row r="17" spans="2:24">
      <c r="B17" s="12" t="str">
        <f>'Alloc Amt'!B17</f>
        <v>Line Transformers - Customer Related</v>
      </c>
      <c r="C17" s="12" t="str">
        <f>'Alloc Amt'!C17</f>
        <v>DIR368.03C</v>
      </c>
      <c r="D17" s="12">
        <f>'Alloc Amt'!D17</f>
        <v>11</v>
      </c>
      <c r="E17" s="20">
        <f t="shared" si="0"/>
        <v>1</v>
      </c>
      <c r="F17" s="20">
        <f>'Alloc Amt'!F17/'Alloc Amt'!$E17</f>
        <v>0</v>
      </c>
      <c r="G17" s="20">
        <f>'Alloc Amt'!G17/'Alloc Amt'!$E17</f>
        <v>0</v>
      </c>
      <c r="H17" s="20">
        <f>'Alloc Amt'!H17/'Alloc Amt'!$E17</f>
        <v>0</v>
      </c>
      <c r="I17" s="20">
        <f>'Alloc Amt'!I17/'Alloc Amt'!$E17</f>
        <v>0</v>
      </c>
      <c r="J17" s="20">
        <f>'Alloc Amt'!J17/'Alloc Amt'!$E17</f>
        <v>0.252533005788799</v>
      </c>
      <c r="K17" s="20">
        <f>'Alloc Amt'!K17/'Alloc Amt'!$E17</f>
        <v>0</v>
      </c>
      <c r="L17" s="20">
        <f>'Alloc Amt'!L17/'Alloc Amt'!$E17</f>
        <v>1.4665641398391188E-2</v>
      </c>
      <c r="M17" s="20">
        <f>'Alloc Amt'!M17/'Alloc Amt'!$E17</f>
        <v>0.72678072931424575</v>
      </c>
      <c r="N17" s="20">
        <f>'Alloc Amt'!N17/'Alloc Amt'!$E17</f>
        <v>0</v>
      </c>
      <c r="O17" s="20">
        <f>'Alloc Amt'!O17/'Alloc Amt'!$E17</f>
        <v>0</v>
      </c>
      <c r="P17" s="20">
        <f>'Alloc Amt'!P17/'Alloc Amt'!$E17</f>
        <v>0</v>
      </c>
      <c r="Q17" s="20">
        <f>'Alloc Amt'!Q17/'Alloc Amt'!$E17</f>
        <v>6.0206234985641059E-3</v>
      </c>
      <c r="R17" s="14"/>
      <c r="S17" s="14"/>
      <c r="T17" s="14"/>
      <c r="U17" s="14"/>
      <c r="V17" s="14"/>
      <c r="W17" s="14"/>
      <c r="X17" s="14"/>
    </row>
    <row r="18" spans="2:24">
      <c r="B18" s="12" t="str">
        <f>'Alloc Amt'!B18</f>
        <v>Str. &amp; Signal Systems</v>
      </c>
      <c r="C18" s="12" t="str">
        <f>'Alloc Amt'!C18</f>
        <v>DIR373.00</v>
      </c>
      <c r="D18" s="12">
        <f>'Alloc Amt'!D18</f>
        <v>12</v>
      </c>
      <c r="E18" s="20">
        <f t="shared" si="0"/>
        <v>1</v>
      </c>
      <c r="F18" s="20">
        <f>'Alloc Amt'!F18/'Alloc Amt'!$E18</f>
        <v>0</v>
      </c>
      <c r="G18" s="20">
        <f>'Alloc Amt'!G18/'Alloc Amt'!$E18</f>
        <v>0</v>
      </c>
      <c r="H18" s="20">
        <f>'Alloc Amt'!H18/'Alloc Amt'!$E18</f>
        <v>0</v>
      </c>
      <c r="I18" s="20">
        <f>'Alloc Amt'!I18/'Alloc Amt'!$E18</f>
        <v>0</v>
      </c>
      <c r="J18" s="20">
        <f>'Alloc Amt'!J18/'Alloc Amt'!$E18</f>
        <v>0</v>
      </c>
      <c r="K18" s="20">
        <f>'Alloc Amt'!K18/'Alloc Amt'!$E18</f>
        <v>0</v>
      </c>
      <c r="L18" s="20">
        <f>'Alloc Amt'!L18/'Alloc Amt'!$E18</f>
        <v>0</v>
      </c>
      <c r="M18" s="20">
        <f>'Alloc Amt'!M18/'Alloc Amt'!$E18</f>
        <v>0</v>
      </c>
      <c r="N18" s="20">
        <f>'Alloc Amt'!N18/'Alloc Amt'!$E18</f>
        <v>0</v>
      </c>
      <c r="O18" s="20">
        <f>'Alloc Amt'!O18/'Alloc Amt'!$E18</f>
        <v>0</v>
      </c>
      <c r="P18" s="20">
        <f>'Alloc Amt'!P18/'Alloc Amt'!$E18</f>
        <v>1</v>
      </c>
      <c r="Q18" s="20">
        <f>'Alloc Amt'!Q18/'Alloc Amt'!$E18</f>
        <v>0</v>
      </c>
      <c r="R18" s="14"/>
      <c r="S18" s="14"/>
      <c r="T18" s="14"/>
      <c r="U18" s="14"/>
      <c r="V18" s="14"/>
      <c r="W18" s="14"/>
      <c r="X18" s="14"/>
    </row>
    <row r="19" spans="2:24">
      <c r="B19" s="12" t="str">
        <f>'Alloc Amt'!B19</f>
        <v>Late Payment Interest Rev</v>
      </c>
      <c r="C19" s="12" t="str">
        <f>'Alloc Amt'!C19</f>
        <v>DIR450.01</v>
      </c>
      <c r="D19" s="12">
        <f>'Alloc Amt'!D19</f>
        <v>13</v>
      </c>
      <c r="E19" s="20">
        <f t="shared" si="0"/>
        <v>1.0000000000000002</v>
      </c>
      <c r="F19" s="20">
        <f>'Alloc Amt'!F19/'Alloc Amt'!$E19</f>
        <v>0.78488838431857766</v>
      </c>
      <c r="G19" s="20">
        <f>'Alloc Amt'!G19/'Alloc Amt'!$E19</f>
        <v>0.12843247058086463</v>
      </c>
      <c r="H19" s="20">
        <f>'Alloc Amt'!H19/'Alloc Amt'!$E19</f>
        <v>3.0539008571290233E-2</v>
      </c>
      <c r="I19" s="20">
        <f>'Alloc Amt'!I19/'Alloc Amt'!$E19</f>
        <v>1.0229810162920641E-2</v>
      </c>
      <c r="J19" s="20">
        <f>'Alloc Amt'!J19/'Alloc Amt'!$E19</f>
        <v>1.4036725202949359E-2</v>
      </c>
      <c r="K19" s="20">
        <f>'Alloc Amt'!K19/'Alloc Amt'!$E19</f>
        <v>0</v>
      </c>
      <c r="L19" s="20">
        <f>'Alloc Amt'!L19/'Alloc Amt'!$E19</f>
        <v>2.5931703745711446E-3</v>
      </c>
      <c r="M19" s="20">
        <f>'Alloc Amt'!M19/'Alloc Amt'!$E19</f>
        <v>-1.6681485956524553E-4</v>
      </c>
      <c r="N19" s="20">
        <f>'Alloc Amt'!N19/'Alloc Amt'!$E19</f>
        <v>3.4794002042230618E-3</v>
      </c>
      <c r="O19" s="20">
        <f>'Alloc Amt'!O19/'Alloc Amt'!$E19</f>
        <v>-5.9112878984022877E-6</v>
      </c>
      <c r="P19" s="20">
        <f>'Alloc Amt'!P19/'Alloc Amt'!$E19</f>
        <v>2.5952733749155226E-2</v>
      </c>
      <c r="Q19" s="20">
        <f>'Alloc Amt'!Q19/'Alloc Amt'!$E19</f>
        <v>2.102298291183569E-5</v>
      </c>
      <c r="R19" s="14"/>
      <c r="S19" s="14"/>
      <c r="T19" s="14"/>
      <c r="U19" s="14"/>
      <c r="V19" s="14"/>
      <c r="W19" s="14"/>
      <c r="X19" s="14"/>
    </row>
    <row r="20" spans="2:24">
      <c r="B20" s="12" t="str">
        <f>'Alloc Amt'!B20</f>
        <v>Direct Assign Disconnect Call - A/C 450.02</v>
      </c>
      <c r="C20" s="12" t="str">
        <f>'Alloc Amt'!C20</f>
        <v>DIR450.02</v>
      </c>
      <c r="D20" s="12">
        <f>'Alloc Amt'!D20</f>
        <v>14</v>
      </c>
      <c r="E20" s="20">
        <f t="shared" si="0"/>
        <v>1.0000000000000002</v>
      </c>
      <c r="F20" s="20">
        <f>'Alloc Amt'!F20/'Alloc Amt'!$E20</f>
        <v>0.96617231797462588</v>
      </c>
      <c r="G20" s="20">
        <f>'Alloc Amt'!G20/'Alloc Amt'!$E20</f>
        <v>3.3432923026539177E-2</v>
      </c>
      <c r="H20" s="20">
        <f>'Alloc Amt'!H20/'Alloc Amt'!$E20</f>
        <v>1.3320048221493301E-4</v>
      </c>
      <c r="I20" s="20">
        <f>'Alloc Amt'!I20/'Alloc Amt'!$E20</f>
        <v>0</v>
      </c>
      <c r="J20" s="20">
        <f>'Alloc Amt'!J20/'Alloc Amt'!$E20</f>
        <v>0</v>
      </c>
      <c r="K20" s="20">
        <f>'Alloc Amt'!K20/'Alloc Amt'!$E20</f>
        <v>0</v>
      </c>
      <c r="L20" s="20">
        <f>'Alloc Amt'!L20/'Alloc Amt'!$E20</f>
        <v>0</v>
      </c>
      <c r="M20" s="20">
        <f>'Alloc Amt'!M20/'Alloc Amt'!$E20</f>
        <v>0</v>
      </c>
      <c r="N20" s="20">
        <f>'Alloc Amt'!N20/'Alloc Amt'!$E20</f>
        <v>0</v>
      </c>
      <c r="O20" s="20">
        <f>'Alloc Amt'!O20/'Alloc Amt'!$E20</f>
        <v>0</v>
      </c>
      <c r="P20" s="20">
        <f>'Alloc Amt'!P20/'Alloc Amt'!$E20</f>
        <v>2.6155851662025938E-4</v>
      </c>
      <c r="Q20" s="20">
        <f>'Alloc Amt'!Q20/'Alloc Amt'!$E20</f>
        <v>0</v>
      </c>
      <c r="R20" s="14"/>
      <c r="S20" s="14"/>
      <c r="T20" s="14"/>
      <c r="U20" s="14"/>
      <c r="V20" s="14"/>
      <c r="W20" s="14"/>
      <c r="X20" s="14"/>
    </row>
    <row r="21" spans="2:24">
      <c r="B21" s="12" t="str">
        <f>'Alloc Amt'!B21</f>
        <v>Connect/Reconnect Revenue</v>
      </c>
      <c r="C21" s="12" t="str">
        <f>'Alloc Amt'!C21</f>
        <v>DIR451.02</v>
      </c>
      <c r="D21" s="12">
        <f>'Alloc Amt'!D21</f>
        <v>15</v>
      </c>
      <c r="E21" s="20">
        <f t="shared" si="0"/>
        <v>0.99999999999999989</v>
      </c>
      <c r="F21" s="20">
        <f>'Alloc Amt'!F21/'Alloc Amt'!$E21</f>
        <v>0.97587076693427399</v>
      </c>
      <c r="G21" s="20">
        <f>'Alloc Amt'!G21/'Alloc Amt'!$E21</f>
        <v>2.3708946307238358E-2</v>
      </c>
      <c r="H21" s="20">
        <f>'Alloc Amt'!H21/'Alloc Amt'!$E21</f>
        <v>4.2028675848752249E-4</v>
      </c>
      <c r="I21" s="20">
        <f>'Alloc Amt'!I21/'Alloc Amt'!$E21</f>
        <v>0</v>
      </c>
      <c r="J21" s="20">
        <f>'Alloc Amt'!J21/'Alloc Amt'!$E21</f>
        <v>0</v>
      </c>
      <c r="K21" s="20">
        <f>'Alloc Amt'!K21/'Alloc Amt'!$E21</f>
        <v>0</v>
      </c>
      <c r="L21" s="20">
        <f>'Alloc Amt'!L21/'Alloc Amt'!$E21</f>
        <v>0</v>
      </c>
      <c r="M21" s="20">
        <f>'Alloc Amt'!M21/'Alloc Amt'!$E21</f>
        <v>0</v>
      </c>
      <c r="N21" s="20">
        <f>'Alloc Amt'!N21/'Alloc Amt'!$E21</f>
        <v>0</v>
      </c>
      <c r="O21" s="20">
        <f>'Alloc Amt'!O21/'Alloc Amt'!$E21</f>
        <v>0</v>
      </c>
      <c r="P21" s="20">
        <f>'Alloc Amt'!P21/'Alloc Amt'!$E21</f>
        <v>0</v>
      </c>
      <c r="Q21" s="20">
        <f>'Alloc Amt'!Q21/'Alloc Amt'!$E21</f>
        <v>0</v>
      </c>
      <c r="R21" s="14"/>
      <c r="S21" s="14"/>
      <c r="T21" s="14"/>
      <c r="U21" s="14"/>
      <c r="V21" s="14"/>
      <c r="W21" s="14"/>
      <c r="X21" s="14"/>
    </row>
    <row r="22" spans="2:24">
      <c r="B22" s="12" t="str">
        <f>'Alloc Amt'!B22</f>
        <v>Billing Initiation Charge</v>
      </c>
      <c r="C22" s="12" t="str">
        <f>'Alloc Amt'!C22</f>
        <v>DIR451.05</v>
      </c>
      <c r="D22" s="12">
        <f>'Alloc Amt'!D22</f>
        <v>16</v>
      </c>
      <c r="E22" s="20">
        <f t="shared" si="0"/>
        <v>0.99999999999999989</v>
      </c>
      <c r="F22" s="20">
        <f>'Alloc Amt'!F22/'Alloc Amt'!$E22</f>
        <v>0.91588908322946017</v>
      </c>
      <c r="G22" s="20">
        <f>'Alloc Amt'!G22/'Alloc Amt'!$E22</f>
        <v>8.1694590819096885E-2</v>
      </c>
      <c r="H22" s="20">
        <f>'Alloc Amt'!H22/'Alloc Amt'!$E22</f>
        <v>1.9943430379136214E-3</v>
      </c>
      <c r="I22" s="20">
        <f>'Alloc Amt'!I22/'Alloc Amt'!$E22</f>
        <v>2.5979122521953242E-4</v>
      </c>
      <c r="J22" s="20">
        <f>'Alloc Amt'!J22/'Alloc Amt'!$E22</f>
        <v>5.6904784825780525E-5</v>
      </c>
      <c r="K22" s="20">
        <f>'Alloc Amt'!K22/'Alloc Amt'!$E22</f>
        <v>0</v>
      </c>
      <c r="L22" s="20">
        <f>'Alloc Amt'!L22/'Alloc Amt'!$E22</f>
        <v>4.2482815277044867E-6</v>
      </c>
      <c r="M22" s="20">
        <f>'Alloc Amt'!M22/'Alloc Amt'!$E22</f>
        <v>9.7057897329568088E-5</v>
      </c>
      <c r="N22" s="20">
        <f>'Alloc Amt'!N22/'Alloc Amt'!$E22</f>
        <v>3.9807246265740961E-6</v>
      </c>
      <c r="O22" s="20">
        <f>'Alloc Amt'!O22/'Alloc Amt'!$E22</f>
        <v>0</v>
      </c>
      <c r="P22" s="20">
        <f>'Alloc Amt'!P22/'Alloc Amt'!$E22</f>
        <v>0</v>
      </c>
      <c r="Q22" s="20">
        <f>'Alloc Amt'!Q22/'Alloc Amt'!$E22</f>
        <v>0</v>
      </c>
      <c r="R22" s="14"/>
      <c r="S22" s="14"/>
      <c r="T22" s="14"/>
      <c r="U22" s="14"/>
      <c r="V22" s="14"/>
      <c r="W22" s="14"/>
      <c r="X22" s="14"/>
    </row>
    <row r="23" spans="2:24">
      <c r="B23" s="12" t="str">
        <f>'Alloc Amt'!B23</f>
        <v>NSF Check Charge Revenue</v>
      </c>
      <c r="C23" s="12" t="str">
        <f>'Alloc Amt'!C23</f>
        <v>DIR451.06</v>
      </c>
      <c r="D23" s="12">
        <f>'Alloc Amt'!D23</f>
        <v>17</v>
      </c>
      <c r="E23" s="20">
        <f t="shared" si="0"/>
        <v>1.0000000000000004</v>
      </c>
      <c r="F23" s="20">
        <f>'Alloc Amt'!F23/'Alloc Amt'!$E23</f>
        <v>-0.88887529315794878</v>
      </c>
      <c r="G23" s="20">
        <f>'Alloc Amt'!G23/'Alloc Amt'!$E23</f>
        <v>1.9602120934026721</v>
      </c>
      <c r="H23" s="20">
        <f>'Alloc Amt'!H23/'Alloc Amt'!$E23</f>
        <v>-5.4002243295605185E-2</v>
      </c>
      <c r="I23" s="20">
        <f>'Alloc Amt'!I23/'Alloc Amt'!$E23</f>
        <v>-1.733455694911798E-2</v>
      </c>
      <c r="J23" s="20">
        <f>'Alloc Amt'!J23/'Alloc Amt'!$E23</f>
        <v>0</v>
      </c>
      <c r="K23" s="20">
        <f>'Alloc Amt'!K23/'Alloc Amt'!$E23</f>
        <v>0</v>
      </c>
      <c r="L23" s="20">
        <f>'Alloc Amt'!L23/'Alloc Amt'!$E23</f>
        <v>0</v>
      </c>
      <c r="M23" s="20">
        <f>'Alloc Amt'!M23/'Alloc Amt'!$E23</f>
        <v>0</v>
      </c>
      <c r="N23" s="20">
        <f>'Alloc Amt'!N23/'Alloc Amt'!$E23</f>
        <v>0</v>
      </c>
      <c r="O23" s="20">
        <f>'Alloc Amt'!O23/'Alloc Amt'!$E23</f>
        <v>0</v>
      </c>
      <c r="P23" s="20">
        <f>'Alloc Amt'!P23/'Alloc Amt'!$E23</f>
        <v>0</v>
      </c>
      <c r="Q23" s="20">
        <f>'Alloc Amt'!Q23/'Alloc Amt'!$E23</f>
        <v>0</v>
      </c>
      <c r="R23" s="14"/>
      <c r="S23" s="14"/>
      <c r="T23" s="14"/>
      <c r="U23" s="14"/>
      <c r="V23" s="14"/>
      <c r="W23" s="14"/>
      <c r="X23" s="14"/>
    </row>
    <row r="24" spans="2:24">
      <c r="B24" s="12" t="str">
        <f>'Alloc Amt'!B24</f>
        <v>Direct Assign 904 Uncollectibles</v>
      </c>
      <c r="C24" s="12" t="str">
        <f>'Alloc Amt'!C24</f>
        <v>DIR904.00</v>
      </c>
      <c r="D24" s="12">
        <f>'Alloc Amt'!D24</f>
        <v>18</v>
      </c>
      <c r="E24" s="20">
        <f t="shared" si="0"/>
        <v>0.99999999999999989</v>
      </c>
      <c r="F24" s="20">
        <f>'Alloc Amt'!F24/'Alloc Amt'!$E24</f>
        <v>0.8891505580192306</v>
      </c>
      <c r="G24" s="20">
        <f>'Alloc Amt'!G24/'Alloc Amt'!$E24</f>
        <v>7.0753466766378753E-2</v>
      </c>
      <c r="H24" s="20">
        <f>'Alloc Amt'!H24/'Alloc Amt'!$E24</f>
        <v>2.1983879713718579E-2</v>
      </c>
      <c r="I24" s="20">
        <f>'Alloc Amt'!I24/'Alloc Amt'!$E24</f>
        <v>1.55786016290759E-2</v>
      </c>
      <c r="J24" s="20">
        <f>'Alloc Amt'!J24/'Alloc Amt'!$E24</f>
        <v>1.0290264859527129E-4</v>
      </c>
      <c r="K24" s="20">
        <f>'Alloc Amt'!K24/'Alloc Amt'!$E24</f>
        <v>0</v>
      </c>
      <c r="L24" s="20">
        <f>'Alloc Amt'!L24/'Alloc Amt'!$E24</f>
        <v>0</v>
      </c>
      <c r="M24" s="20">
        <f>'Alloc Amt'!M24/'Alloc Amt'!$E24</f>
        <v>0</v>
      </c>
      <c r="N24" s="20">
        <f>'Alloc Amt'!N24/'Alloc Amt'!$E24</f>
        <v>0</v>
      </c>
      <c r="O24" s="20">
        <f>'Alloc Amt'!O24/'Alloc Amt'!$E24</f>
        <v>0</v>
      </c>
      <c r="P24" s="20">
        <f>'Alloc Amt'!P24/'Alloc Amt'!$E24</f>
        <v>2.4305912230008263E-3</v>
      </c>
      <c r="Q24" s="20">
        <f>'Alloc Amt'!Q24/'Alloc Amt'!$E24</f>
        <v>0</v>
      </c>
      <c r="R24" s="14"/>
      <c r="S24" s="14"/>
      <c r="T24" s="14"/>
      <c r="U24" s="14"/>
      <c r="V24" s="14"/>
      <c r="W24" s="14"/>
      <c r="X24" s="14"/>
    </row>
    <row r="25" spans="2:24">
      <c r="B25" s="12" t="str">
        <f>'Alloc Amt'!B25</f>
        <v>Meter Investment</v>
      </c>
      <c r="C25" s="12" t="str">
        <f>'Alloc Amt'!C25</f>
        <v>METER</v>
      </c>
      <c r="D25" s="12">
        <f>'Alloc Amt'!D25</f>
        <v>19</v>
      </c>
      <c r="E25" s="20">
        <f t="shared" si="0"/>
        <v>1</v>
      </c>
      <c r="F25" s="20">
        <f>'Alloc Amt'!F25/'Alloc Amt'!$E25</f>
        <v>0.65017083726185199</v>
      </c>
      <c r="G25" s="20">
        <f>'Alloc Amt'!G25/'Alloc Amt'!$E25</f>
        <v>0.18423455039321676</v>
      </c>
      <c r="H25" s="20">
        <f>'Alloc Amt'!H25/'Alloc Amt'!$E25</f>
        <v>5.0043614759020409E-2</v>
      </c>
      <c r="I25" s="20">
        <f>'Alloc Amt'!I25/'Alloc Amt'!$E25</f>
        <v>5.6667878432113189E-3</v>
      </c>
      <c r="J25" s="20">
        <f>'Alloc Amt'!J25/'Alloc Amt'!$E25</f>
        <v>7.0326999653849351E-2</v>
      </c>
      <c r="K25" s="20">
        <f>'Alloc Amt'!K25/'Alloc Amt'!$E25</f>
        <v>1.6527322091635006E-4</v>
      </c>
      <c r="L25" s="20">
        <f>'Alloc Amt'!L25/'Alloc Amt'!$E25</f>
        <v>2.4581357779955966E-2</v>
      </c>
      <c r="M25" s="20">
        <f>'Alloc Amt'!M25/'Alloc Amt'!$E25</f>
        <v>5.9486741585833194E-3</v>
      </c>
      <c r="N25" s="20">
        <f>'Alloc Amt'!N25/'Alloc Amt'!$E25</f>
        <v>3.0782353480524266E-3</v>
      </c>
      <c r="O25" s="20">
        <f>'Alloc Amt'!O25/'Alloc Amt'!$E25</f>
        <v>4.322814960327743E-3</v>
      </c>
      <c r="P25" s="20">
        <f>'Alloc Amt'!P25/'Alloc Amt'!$E25</f>
        <v>0</v>
      </c>
      <c r="Q25" s="20">
        <f>'Alloc Amt'!Q25/'Alloc Amt'!$E25</f>
        <v>1.4608546210143638E-3</v>
      </c>
      <c r="R25" s="14"/>
      <c r="S25" s="14"/>
      <c r="T25" s="14"/>
      <c r="U25" s="14"/>
      <c r="V25" s="14"/>
      <c r="W25" s="14"/>
      <c r="X25" s="14"/>
    </row>
    <row r="26" spans="2:24">
      <c r="B26" s="12" t="str">
        <f>'Alloc Amt'!B26</f>
        <v>Dist OH Services (Sec Voltage Only)</v>
      </c>
      <c r="C26" s="12" t="str">
        <f>'Alloc Amt'!C26</f>
        <v>OH_SVC</v>
      </c>
      <c r="D26" s="12">
        <f>'Alloc Amt'!D26</f>
        <v>20</v>
      </c>
      <c r="E26" s="20">
        <f t="shared" si="0"/>
        <v>0.99999999999999989</v>
      </c>
      <c r="F26" s="20">
        <f>'Alloc Amt'!F26/'Alloc Amt'!$E26</f>
        <v>0.86745968532344786</v>
      </c>
      <c r="G26" s="20">
        <f>'Alloc Amt'!G26/'Alloc Amt'!$E26</f>
        <v>0.12794001245605024</v>
      </c>
      <c r="H26" s="20">
        <f>'Alloc Amt'!H26/'Alloc Amt'!$E26</f>
        <v>4.530826243061707E-3</v>
      </c>
      <c r="I26" s="20">
        <f>'Alloc Amt'!I26/'Alloc Amt'!$E26</f>
        <v>6.9475977440157616E-5</v>
      </c>
      <c r="J26" s="20">
        <f>'Alloc Amt'!J26/'Alloc Amt'!$E26</f>
        <v>0</v>
      </c>
      <c r="K26" s="20">
        <f>'Alloc Amt'!K26/'Alloc Amt'!$E26</f>
        <v>0</v>
      </c>
      <c r="L26" s="20">
        <f>'Alloc Amt'!L26/'Alloc Amt'!$E26</f>
        <v>0</v>
      </c>
      <c r="M26" s="20">
        <f>'Alloc Amt'!M26/'Alloc Amt'!$E26</f>
        <v>0</v>
      </c>
      <c r="N26" s="20">
        <f>'Alloc Amt'!N26/'Alloc Amt'!$E26</f>
        <v>0</v>
      </c>
      <c r="O26" s="20">
        <f>'Alloc Amt'!O26/'Alloc Amt'!$E26</f>
        <v>0</v>
      </c>
      <c r="P26" s="20">
        <f>'Alloc Amt'!P26/'Alloc Amt'!$E26</f>
        <v>0</v>
      </c>
      <c r="Q26" s="20">
        <f>'Alloc Amt'!Q26/'Alloc Amt'!$E26</f>
        <v>0</v>
      </c>
      <c r="R26" s="14"/>
      <c r="S26" s="14"/>
      <c r="T26" s="14"/>
      <c r="U26" s="14"/>
      <c r="V26" s="14"/>
      <c r="W26" s="14"/>
      <c r="X26" s="14"/>
    </row>
    <row r="27" spans="2:24">
      <c r="B27" s="12" t="str">
        <f>'Alloc Amt'!B27</f>
        <v>Allocate Overhead Transformers</v>
      </c>
      <c r="C27" s="12" t="str">
        <f>'Alloc Amt'!C27</f>
        <v>OH_TFMRC</v>
      </c>
      <c r="D27" s="12">
        <f>'Alloc Amt'!D27</f>
        <v>21</v>
      </c>
      <c r="E27" s="20">
        <f t="shared" si="0"/>
        <v>1</v>
      </c>
      <c r="F27" s="20">
        <f>'Alloc Amt'!F27/'Alloc Amt'!$E27</f>
        <v>0.7303429587007737</v>
      </c>
      <c r="G27" s="20">
        <f>'Alloc Amt'!G27/'Alloc Amt'!$E27</f>
        <v>0.11447772228662677</v>
      </c>
      <c r="H27" s="20">
        <f>'Alloc Amt'!H27/'Alloc Amt'!$E27</f>
        <v>1.4681822696456839E-2</v>
      </c>
      <c r="I27" s="20">
        <f>'Alloc Amt'!I27/'Alloc Amt'!$E27</f>
        <v>1.8637852716737259E-4</v>
      </c>
      <c r="J27" s="20">
        <f>'Alloc Amt'!J27/'Alloc Amt'!$E27</f>
        <v>0</v>
      </c>
      <c r="K27" s="20">
        <f>'Alloc Amt'!K27/'Alloc Amt'!$E27</f>
        <v>0</v>
      </c>
      <c r="L27" s="20">
        <f>'Alloc Amt'!L27/'Alloc Amt'!$E27</f>
        <v>0</v>
      </c>
      <c r="M27" s="20">
        <f>'Alloc Amt'!M27/'Alloc Amt'!$E27</f>
        <v>0</v>
      </c>
      <c r="N27" s="20">
        <f>'Alloc Amt'!N27/'Alloc Amt'!$E27</f>
        <v>0</v>
      </c>
      <c r="O27" s="20">
        <f>'Alloc Amt'!O27/'Alloc Amt'!$E27</f>
        <v>0</v>
      </c>
      <c r="P27" s="20">
        <f>'Alloc Amt'!P27/'Alloc Amt'!$E27</f>
        <v>0.14031111778897534</v>
      </c>
      <c r="Q27" s="20">
        <f>'Alloc Amt'!Q27/'Alloc Amt'!$E27</f>
        <v>0</v>
      </c>
      <c r="R27" s="14"/>
      <c r="S27" s="14"/>
      <c r="T27" s="14"/>
      <c r="U27" s="14"/>
      <c r="V27" s="14"/>
      <c r="W27" s="14"/>
      <c r="X27" s="14"/>
    </row>
    <row r="28" spans="2:24">
      <c r="B28" s="12" t="str">
        <f>'Alloc Amt'!B28</f>
        <v>Proforma Revenue</v>
      </c>
      <c r="C28" s="12" t="str">
        <f>'Alloc Amt'!C28</f>
        <v>PROFORMA</v>
      </c>
      <c r="D28" s="12">
        <f>'Alloc Amt'!D28</f>
        <v>22</v>
      </c>
      <c r="E28" s="20">
        <f t="shared" si="0"/>
        <v>1</v>
      </c>
      <c r="F28" s="20">
        <f>'Alloc Amt'!F28/'Alloc Amt'!$E28</f>
        <v>0.54322667010947834</v>
      </c>
      <c r="G28" s="20">
        <f>'Alloc Amt'!G28/'Alloc Amt'!$E28</f>
        <v>0.13595304236387315</v>
      </c>
      <c r="H28" s="20">
        <f>'Alloc Amt'!H28/'Alloc Amt'!$E28</f>
        <v>0.12881200534268167</v>
      </c>
      <c r="I28" s="20">
        <f>'Alloc Amt'!I28/'Alloc Amt'!$E28</f>
        <v>7.7328477897030637E-2</v>
      </c>
      <c r="J28" s="20">
        <f>'Alloc Amt'!J28/'Alloc Amt'!$E28</f>
        <v>5.1639671809050179E-2</v>
      </c>
      <c r="K28" s="20">
        <f>'Alloc Amt'!K28/'Alloc Amt'!$E28</f>
        <v>1.2641383286066631E-4</v>
      </c>
      <c r="L28" s="20">
        <f>'Alloc Amt'!L28/'Alloc Amt'!$E28</f>
        <v>5.2649899204180693E-3</v>
      </c>
      <c r="M28" s="20">
        <f>'Alloc Amt'!M28/'Alloc Amt'!$E28</f>
        <v>2.4362891515197469E-2</v>
      </c>
      <c r="N28" s="20">
        <f>'Alloc Amt'!N28/'Alloc Amt'!$E28</f>
        <v>2.055514162911486E-2</v>
      </c>
      <c r="O28" s="20">
        <f>'Alloc Amt'!O28/'Alloc Amt'!$E28</f>
        <v>3.8264658550345837E-3</v>
      </c>
      <c r="P28" s="20">
        <f>'Alloc Amt'!P28/'Alloc Amt'!$E28</f>
        <v>8.7430947926420196E-3</v>
      </c>
      <c r="Q28" s="20">
        <f>'Alloc Amt'!Q28/'Alloc Amt'!$E28</f>
        <v>1.6113493261843954E-4</v>
      </c>
      <c r="R28" s="14"/>
      <c r="S28" s="14"/>
      <c r="T28" s="14"/>
      <c r="U28" s="14"/>
      <c r="V28" s="14"/>
      <c r="W28" s="14"/>
      <c r="X28" s="14"/>
    </row>
    <row r="29" spans="2:24">
      <c r="B29" s="12" t="str">
        <f>'Alloc Amt'!B29</f>
        <v>Proforma Retail Revenue - No Transportation</v>
      </c>
      <c r="C29" s="12" t="str">
        <f>'Alloc Amt'!C29</f>
        <v>PROFORMA_RETAIL</v>
      </c>
      <c r="D29" s="12">
        <f>'Alloc Amt'!D29</f>
        <v>23</v>
      </c>
      <c r="E29" s="20">
        <f t="shared" si="0"/>
        <v>1</v>
      </c>
      <c r="F29" s="20">
        <f>'Alloc Amt'!F29/'Alloc Amt'!$E29</f>
        <v>0.54540151361475564</v>
      </c>
      <c r="G29" s="20">
        <f>'Alloc Amt'!G29/'Alloc Amt'!$E29</f>
        <v>0.13649733926142457</v>
      </c>
      <c r="H29" s="20">
        <f>'Alloc Amt'!H29/'Alloc Amt'!$E29</f>
        <v>0.12932771263143616</v>
      </c>
      <c r="I29" s="20">
        <f>'Alloc Amt'!I29/'Alloc Amt'!$E29</f>
        <v>7.7638067516210135E-2</v>
      </c>
      <c r="J29" s="20">
        <f>'Alloc Amt'!J29/'Alloc Amt'!$E29</f>
        <v>5.1846414612797154E-2</v>
      </c>
      <c r="K29" s="20">
        <f>'Alloc Amt'!K29/'Alloc Amt'!$E29</f>
        <v>1.2691993890902884E-4</v>
      </c>
      <c r="L29" s="20">
        <f>'Alloc Amt'!L29/'Alloc Amt'!$E29</f>
        <v>5.2860686519381255E-3</v>
      </c>
      <c r="M29" s="20">
        <f>'Alloc Amt'!M29/'Alloc Amt'!$E29</f>
        <v>2.446042994491213E-2</v>
      </c>
      <c r="N29" s="20">
        <f>'Alloc Amt'!N29/'Alloc Amt'!$E29</f>
        <v>2.0637435483102415E-2</v>
      </c>
      <c r="O29" s="20">
        <f>'Alloc Amt'!O29/'Alloc Amt'!$E29</f>
        <v>0</v>
      </c>
      <c r="P29" s="20">
        <f>'Alloc Amt'!P29/'Alloc Amt'!$E29</f>
        <v>8.7780983445147013E-3</v>
      </c>
      <c r="Q29" s="20">
        <f>'Alloc Amt'!Q29/'Alloc Amt'!$E29</f>
        <v>0</v>
      </c>
      <c r="R29" s="14"/>
      <c r="S29" s="14"/>
      <c r="T29" s="14"/>
      <c r="U29" s="14"/>
      <c r="V29" s="14"/>
      <c r="W29" s="14"/>
      <c r="X29" s="14"/>
    </row>
    <row r="30" spans="2:24">
      <c r="B30" s="12" t="str">
        <f>'Alloc Amt'!B30</f>
        <v>Residential Allocation Only</v>
      </c>
      <c r="C30" s="12" t="str">
        <f>'Alloc Amt'!C30</f>
        <v>RESID</v>
      </c>
      <c r="D30" s="12">
        <f>'Alloc Amt'!D30</f>
        <v>24</v>
      </c>
      <c r="E30" s="20">
        <f t="shared" si="0"/>
        <v>1</v>
      </c>
      <c r="F30" s="20">
        <f>'Alloc Amt'!F30/'Alloc Amt'!$E30</f>
        <v>1</v>
      </c>
      <c r="G30" s="20">
        <f>'Alloc Amt'!G30/'Alloc Amt'!$E30</f>
        <v>0</v>
      </c>
      <c r="H30" s="20">
        <f>'Alloc Amt'!H30/'Alloc Amt'!$E30</f>
        <v>0</v>
      </c>
      <c r="I30" s="20">
        <f>'Alloc Amt'!I30/'Alloc Amt'!$E30</f>
        <v>0</v>
      </c>
      <c r="J30" s="20">
        <f>'Alloc Amt'!J30/'Alloc Amt'!$E30</f>
        <v>0</v>
      </c>
      <c r="K30" s="20">
        <f>'Alloc Amt'!K30/'Alloc Amt'!$E30</f>
        <v>0</v>
      </c>
      <c r="L30" s="20">
        <f>'Alloc Amt'!L30/'Alloc Amt'!$E30</f>
        <v>0</v>
      </c>
      <c r="M30" s="20">
        <f>'Alloc Amt'!M30/'Alloc Amt'!$E30</f>
        <v>0</v>
      </c>
      <c r="N30" s="20">
        <f>'Alloc Amt'!N30/'Alloc Amt'!$E30</f>
        <v>0</v>
      </c>
      <c r="O30" s="20">
        <f>'Alloc Amt'!O30/'Alloc Amt'!$E30</f>
        <v>0</v>
      </c>
      <c r="P30" s="20">
        <f>'Alloc Amt'!P30/'Alloc Amt'!$E30</f>
        <v>0</v>
      </c>
      <c r="Q30" s="20">
        <f>'Alloc Amt'!Q30/'Alloc Amt'!$E30</f>
        <v>0</v>
      </c>
      <c r="R30" s="14"/>
      <c r="S30" s="14"/>
      <c r="T30" s="14"/>
      <c r="U30" s="14"/>
      <c r="V30" s="14"/>
      <c r="W30" s="14"/>
      <c r="X30" s="14"/>
    </row>
    <row r="31" spans="2:24">
      <c r="B31" s="12" t="str">
        <f>'Alloc Amt'!B31</f>
        <v>Allocate Underground Transformers</v>
      </c>
      <c r="C31" s="12" t="str">
        <f>'Alloc Amt'!C31</f>
        <v>UG_TFMRC</v>
      </c>
      <c r="D31" s="12">
        <f>'Alloc Amt'!D31</f>
        <v>25</v>
      </c>
      <c r="E31" s="20">
        <f t="shared" si="0"/>
        <v>1</v>
      </c>
      <c r="F31" s="20">
        <f>'Alloc Amt'!F31/'Alloc Amt'!$E31</f>
        <v>0.7355320996358401</v>
      </c>
      <c r="G31" s="20">
        <f>'Alloc Amt'!G31/'Alloc Amt'!$E31</f>
        <v>0.14493820090527729</v>
      </c>
      <c r="H31" s="20">
        <f>'Alloc Amt'!H31/'Alloc Amt'!$E31</f>
        <v>8.7743433698652465E-2</v>
      </c>
      <c r="I31" s="20">
        <f>'Alloc Amt'!I31/'Alloc Amt'!$E31</f>
        <v>2.9422589225516247E-2</v>
      </c>
      <c r="J31" s="20">
        <f>'Alloc Amt'!J31/'Alloc Amt'!$E31</f>
        <v>0</v>
      </c>
      <c r="K31" s="20">
        <f>'Alloc Amt'!K31/'Alloc Amt'!$E31</f>
        <v>0</v>
      </c>
      <c r="L31" s="20">
        <f>'Alloc Amt'!L31/'Alloc Amt'!$E31</f>
        <v>0</v>
      </c>
      <c r="M31" s="20">
        <f>'Alloc Amt'!M31/'Alloc Amt'!$E31</f>
        <v>0</v>
      </c>
      <c r="N31" s="20">
        <f>'Alloc Amt'!N31/'Alloc Amt'!$E31</f>
        <v>0</v>
      </c>
      <c r="O31" s="20">
        <f>'Alloc Amt'!O31/'Alloc Amt'!$E31</f>
        <v>0</v>
      </c>
      <c r="P31" s="20">
        <f>'Alloc Amt'!P31/'Alloc Amt'!$E31</f>
        <v>2.3045907603834585E-3</v>
      </c>
      <c r="Q31" s="20">
        <f>'Alloc Amt'!Q31/'Alloc Amt'!$E31</f>
        <v>5.9085774330539027E-5</v>
      </c>
      <c r="R31" s="14"/>
      <c r="S31" s="14"/>
      <c r="T31" s="14"/>
      <c r="U31" s="14"/>
      <c r="V31" s="14"/>
      <c r="W31" s="14"/>
      <c r="X31" s="14"/>
    </row>
    <row r="32" spans="2:24">
      <c r="B32" s="12" t="str">
        <f>'Alloc Amt'!B32</f>
        <v>Top 75 CP Hours (not used)</v>
      </c>
      <c r="C32" s="12" t="str">
        <f>'Alloc Amt'!C32</f>
        <v>DEM_1</v>
      </c>
      <c r="D32" s="12">
        <f>'Alloc Amt'!D32</f>
        <v>26</v>
      </c>
      <c r="E32" s="20">
        <f t="shared" si="0"/>
        <v>0.99999999999999989</v>
      </c>
      <c r="F32" s="20">
        <f>'Alloc Amt'!F32/'Alloc Amt'!$E32</f>
        <v>0.59054453470709478</v>
      </c>
      <c r="G32" s="20">
        <f>'Alloc Amt'!G32/'Alloc Amt'!$E32</f>
        <v>0.1090236794512251</v>
      </c>
      <c r="H32" s="20">
        <f>'Alloc Amt'!H32/'Alloc Amt'!$E32</f>
        <v>9.8308250016838405E-2</v>
      </c>
      <c r="I32" s="20">
        <f>'Alloc Amt'!I32/'Alloc Amt'!$E32</f>
        <v>5.7462005350809392E-2</v>
      </c>
      <c r="J32" s="20">
        <f>'Alloc Amt'!J32/'Alloc Amt'!$E32</f>
        <v>3.8578806163441691E-2</v>
      </c>
      <c r="K32" s="20">
        <f>'Alloc Amt'!K32/'Alloc Amt'!$E32</f>
        <v>1.0295037634579526E-6</v>
      </c>
      <c r="L32" s="20">
        <f>'Alloc Amt'!L32/'Alloc Amt'!$E32</f>
        <v>6.4963881994430667E-3</v>
      </c>
      <c r="M32" s="20">
        <f>'Alloc Amt'!M32/'Alloc Amt'!$E32</f>
        <v>2.0983961523717759E-2</v>
      </c>
      <c r="N32" s="20">
        <f>'Alloc Amt'!N32/'Alloc Amt'!$E32</f>
        <v>1.7208056543194291E-2</v>
      </c>
      <c r="O32" s="20">
        <f>'Alloc Amt'!O32/'Alloc Amt'!$E32</f>
        <v>5.7862678020930085E-2</v>
      </c>
      <c r="P32" s="20">
        <f>'Alloc Amt'!P32/'Alloc Amt'!$E32</f>
        <v>3.1781838349294877E-3</v>
      </c>
      <c r="Q32" s="20">
        <f>'Alloc Amt'!Q32/'Alloc Amt'!$E32</f>
        <v>3.5242668461242012E-4</v>
      </c>
      <c r="R32" s="14"/>
      <c r="S32" s="14"/>
      <c r="T32" s="14"/>
      <c r="U32" s="14"/>
      <c r="V32" s="14"/>
      <c r="W32" s="14"/>
      <c r="X32" s="14"/>
    </row>
    <row r="33" spans="2:24">
      <c r="B33" s="12" t="str">
        <f>'Alloc Amt'!B33</f>
        <v>Top 75 CP Hours Excl. Interruptible (not used)</v>
      </c>
      <c r="C33" s="12" t="str">
        <f>'Alloc Amt'!C33</f>
        <v>DEM_1A</v>
      </c>
      <c r="D33" s="12">
        <f>'Alloc Amt'!D33</f>
        <v>27</v>
      </c>
      <c r="E33" s="20">
        <f t="shared" si="0"/>
        <v>1</v>
      </c>
      <c r="F33" s="20">
        <f>'Alloc Amt'!F33/'Alloc Amt'!$E33</f>
        <v>0.59512615902592947</v>
      </c>
      <c r="G33" s="20">
        <f>'Alloc Amt'!G33/'Alloc Amt'!$E33</f>
        <v>0.10986951835370572</v>
      </c>
      <c r="H33" s="20">
        <f>'Alloc Amt'!H33/'Alloc Amt'!$E33</f>
        <v>9.9070955354959314E-2</v>
      </c>
      <c r="I33" s="20">
        <f>'Alloc Amt'!I33/'Alloc Amt'!$E33</f>
        <v>5.7907813085284247E-2</v>
      </c>
      <c r="J33" s="20">
        <f>'Alloc Amt'!J33/'Alloc Amt'!$E33</f>
        <v>3.8878112288758225E-2</v>
      </c>
      <c r="K33" s="20">
        <f>'Alloc Amt'!K33/'Alloc Amt'!$E33</f>
        <v>1.0374909671348612E-6</v>
      </c>
      <c r="L33" s="20">
        <f>'Alloc Amt'!L33/'Alloc Amt'!$E33</f>
        <v>0</v>
      </c>
      <c r="M33" s="20">
        <f>'Alloc Amt'!M33/'Alloc Amt'!$E33</f>
        <v>2.1146761486755674E-2</v>
      </c>
      <c r="N33" s="20">
        <f>'Alloc Amt'!N33/'Alloc Amt'!$E33</f>
        <v>1.6130046546646987E-2</v>
      </c>
      <c r="O33" s="20">
        <f>'Alloc Amt'!O33/'Alloc Amt'!$E33</f>
        <v>5.8311594295983059E-2</v>
      </c>
      <c r="P33" s="20">
        <f>'Alloc Amt'!P33/'Alloc Amt'!$E33</f>
        <v>3.2028411528658269E-3</v>
      </c>
      <c r="Q33" s="20">
        <f>'Alloc Amt'!Q33/'Alloc Amt'!$E33</f>
        <v>3.551609181442357E-4</v>
      </c>
      <c r="R33" s="14"/>
      <c r="S33" s="14"/>
      <c r="T33" s="14"/>
      <c r="U33" s="14"/>
      <c r="V33" s="14"/>
      <c r="W33" s="14"/>
      <c r="X33" s="14"/>
    </row>
    <row r="34" spans="2:24">
      <c r="B34" s="12" t="str">
        <f>'Alloc Amt'!B34</f>
        <v>Top 75 CP No Interruptibles or Transportation (not used)</v>
      </c>
      <c r="C34" s="12" t="str">
        <f>'Alloc Amt'!C34</f>
        <v>DEM_1B</v>
      </c>
      <c r="D34" s="12">
        <f>'Alloc Amt'!D34</f>
        <v>28</v>
      </c>
      <c r="E34" s="20">
        <f t="shared" si="0"/>
        <v>0.99999999999999978</v>
      </c>
      <c r="F34" s="20">
        <f>'Alloc Amt'!F34/'Alloc Amt'!$E34</f>
        <v>0.6319777916146333</v>
      </c>
      <c r="G34" s="20">
        <f>'Alloc Amt'!G34/'Alloc Amt'!$E34</f>
        <v>0.11667290123590936</v>
      </c>
      <c r="H34" s="20">
        <f>'Alloc Amt'!H34/'Alloc Amt'!$E34</f>
        <v>0.10520566543547147</v>
      </c>
      <c r="I34" s="20">
        <f>'Alloc Amt'!I34/'Alloc Amt'!$E34</f>
        <v>6.1493603122353101E-2</v>
      </c>
      <c r="J34" s="20">
        <f>'Alloc Amt'!J34/'Alloc Amt'!$E34</f>
        <v>4.1285537820434891E-2</v>
      </c>
      <c r="K34" s="20">
        <f>'Alloc Amt'!K34/'Alloc Amt'!$E34</f>
        <v>1.1017348847565149E-6</v>
      </c>
      <c r="L34" s="20">
        <f>'Alloc Amt'!L34/'Alloc Amt'!$E34</f>
        <v>0</v>
      </c>
      <c r="M34" s="20">
        <f>'Alloc Amt'!M34/'Alloc Amt'!$E34</f>
        <v>2.2456219444420274E-2</v>
      </c>
      <c r="N34" s="20">
        <f>'Alloc Amt'!N34/'Alloc Amt'!$E34</f>
        <v>1.7128857538166228E-2</v>
      </c>
      <c r="O34" s="20">
        <f>'Alloc Amt'!O34/'Alloc Amt'!$E34</f>
        <v>0</v>
      </c>
      <c r="P34" s="20">
        <f>'Alloc Amt'!P34/'Alloc Amt'!$E34</f>
        <v>3.4011687236091079E-3</v>
      </c>
      <c r="Q34" s="20">
        <f>'Alloc Amt'!Q34/'Alloc Amt'!$E34</f>
        <v>3.7715333011742181E-4</v>
      </c>
      <c r="R34" s="14"/>
      <c r="S34" s="14"/>
      <c r="T34" s="14"/>
      <c r="U34" s="14"/>
      <c r="V34" s="14"/>
      <c r="W34" s="14"/>
      <c r="X34" s="14"/>
    </row>
    <row r="35" spans="2:24">
      <c r="B35" s="12" t="str">
        <f>'Alloc Amt'!B35</f>
        <v>4 CP Winter Peak - No Interruptibles</v>
      </c>
      <c r="C35" s="12" t="str">
        <f>'Alloc Amt'!C35</f>
        <v>DEM_2A</v>
      </c>
      <c r="D35" s="12">
        <f>'Alloc Amt'!D35</f>
        <v>29</v>
      </c>
      <c r="E35" s="20">
        <f t="shared" si="0"/>
        <v>1</v>
      </c>
      <c r="F35" s="20">
        <f>'Alloc Amt'!F35/'Alloc Amt'!$E35</f>
        <v>0.57390862226922457</v>
      </c>
      <c r="G35" s="20">
        <f>'Alloc Amt'!G35/'Alloc Amt'!$E35</f>
        <v>0.11560496541001039</v>
      </c>
      <c r="H35" s="20">
        <f>'Alloc Amt'!H35/'Alloc Amt'!$E35</f>
        <v>0.10778710238283166</v>
      </c>
      <c r="I35" s="20">
        <f>'Alloc Amt'!I35/'Alloc Amt'!$E35</f>
        <v>6.1215091961067197E-2</v>
      </c>
      <c r="J35" s="20">
        <f>'Alloc Amt'!J35/'Alloc Amt'!$E35</f>
        <v>4.1950901922881367E-2</v>
      </c>
      <c r="K35" s="20">
        <f>'Alloc Amt'!K35/'Alloc Amt'!$E35</f>
        <v>9.658378403436802E-7</v>
      </c>
      <c r="L35" s="20">
        <f>'Alloc Amt'!L35/'Alloc Amt'!$E35</f>
        <v>0</v>
      </c>
      <c r="M35" s="20">
        <f>'Alloc Amt'!M35/'Alloc Amt'!$E35</f>
        <v>2.1694943588694365E-2</v>
      </c>
      <c r="N35" s="20">
        <f>'Alloc Amt'!N35/'Alloc Amt'!$E35</f>
        <v>1.6052810859452493E-2</v>
      </c>
      <c r="O35" s="20">
        <f>'Alloc Amt'!O35/'Alloc Amt'!$E35</f>
        <v>5.8127930134670672E-2</v>
      </c>
      <c r="P35" s="20">
        <f>'Alloc Amt'!P35/'Alloc Amt'!$E35</f>
        <v>3.2909557007779469E-3</v>
      </c>
      <c r="Q35" s="20">
        <f>'Alloc Amt'!Q35/'Alloc Amt'!$E35</f>
        <v>3.6570993254894153E-4</v>
      </c>
      <c r="R35" s="14"/>
      <c r="S35" s="14"/>
      <c r="T35" s="14"/>
      <c r="U35" s="14"/>
      <c r="V35" s="14"/>
      <c r="W35" s="14"/>
      <c r="X35" s="14"/>
    </row>
    <row r="36" spans="2:24">
      <c r="B36" s="12" t="str">
        <f>'Alloc Amt'!B36</f>
        <v>4 CP Winter Peak - No Interruptibles or Transportation</v>
      </c>
      <c r="C36" s="12" t="str">
        <f>'Alloc Amt'!C36</f>
        <v>DEM_2B</v>
      </c>
      <c r="D36" s="12">
        <f>'Alloc Amt'!D36</f>
        <v>30</v>
      </c>
      <c r="E36" s="20">
        <f t="shared" si="0"/>
        <v>0.99999999999999978</v>
      </c>
      <c r="F36" s="20">
        <f>'Alloc Amt'!F36/'Alloc Amt'!$E36</f>
        <v>0.60932757285316164</v>
      </c>
      <c r="G36" s="20">
        <f>'Alloc Amt'!G36/'Alloc Amt'!$E36</f>
        <v>0.1227395621005513</v>
      </c>
      <c r="H36" s="20">
        <f>'Alloc Amt'!H36/'Alloc Amt'!$E36</f>
        <v>0.11443921720520205</v>
      </c>
      <c r="I36" s="20">
        <f>'Alloc Amt'!I36/'Alloc Amt'!$E36</f>
        <v>6.499300055666779E-2</v>
      </c>
      <c r="J36" s="20">
        <f>'Alloc Amt'!J36/'Alloc Amt'!$E36</f>
        <v>4.4539914989601068E-2</v>
      </c>
      <c r="K36" s="20">
        <f>'Alloc Amt'!K36/'Alloc Amt'!$E36</f>
        <v>1.0254448255183715E-6</v>
      </c>
      <c r="L36" s="20">
        <f>'Alloc Amt'!L36/'Alloc Amt'!$E36</f>
        <v>0</v>
      </c>
      <c r="M36" s="20">
        <f>'Alloc Amt'!M36/'Alloc Amt'!$E36</f>
        <v>2.3033853835156562E-2</v>
      </c>
      <c r="N36" s="20">
        <f>'Alloc Amt'!N36/'Alloc Amt'!$E36</f>
        <v>1.7043515115325324E-2</v>
      </c>
      <c r="O36" s="20">
        <f>'Alloc Amt'!O36/'Alloc Amt'!$E36</f>
        <v>0</v>
      </c>
      <c r="P36" s="20">
        <f>'Alloc Amt'!P36/'Alloc Amt'!$E36</f>
        <v>3.4940580637968103E-3</v>
      </c>
      <c r="Q36" s="20">
        <f>'Alloc Amt'!Q36/'Alloc Amt'!$E36</f>
        <v>3.8827983571190452E-4</v>
      </c>
      <c r="R36" s="14"/>
      <c r="S36" s="14"/>
      <c r="T36" s="14"/>
      <c r="U36" s="14"/>
      <c r="V36" s="14"/>
      <c r="W36" s="14"/>
      <c r="X36" s="14"/>
    </row>
    <row r="37" spans="2:24">
      <c r="B37" s="12" t="str">
        <f>'Alloc Amt'!B37</f>
        <v>Direct Assign Substation Ease - Accum Depr</v>
      </c>
      <c r="C37" s="12" t="str">
        <f>'Alloc Amt'!C37</f>
        <v>DIR108.360</v>
      </c>
      <c r="D37" s="12">
        <f>'Alloc Amt'!D37</f>
        <v>31</v>
      </c>
      <c r="E37" s="20">
        <f t="shared" si="0"/>
        <v>1</v>
      </c>
      <c r="F37" s="20">
        <f>'Alloc Amt'!F37/'Alloc Amt'!$E37</f>
        <v>0</v>
      </c>
      <c r="G37" s="20">
        <f>'Alloc Amt'!G37/'Alloc Amt'!$E37</f>
        <v>0</v>
      </c>
      <c r="H37" s="20">
        <f>'Alloc Amt'!H37/'Alloc Amt'!$E37</f>
        <v>0</v>
      </c>
      <c r="I37" s="20">
        <f>'Alloc Amt'!I37/'Alloc Amt'!$E37</f>
        <v>0</v>
      </c>
      <c r="J37" s="20">
        <f>'Alloc Amt'!J37/'Alloc Amt'!$E37</f>
        <v>0</v>
      </c>
      <c r="K37" s="20">
        <f>'Alloc Amt'!K37/'Alloc Amt'!$E37</f>
        <v>0</v>
      </c>
      <c r="L37" s="20">
        <f>'Alloc Amt'!L37/'Alloc Amt'!$E37</f>
        <v>0</v>
      </c>
      <c r="M37" s="20">
        <f>'Alloc Amt'!M37/'Alloc Amt'!$E37</f>
        <v>0</v>
      </c>
      <c r="N37" s="20">
        <f>'Alloc Amt'!N37/'Alloc Amt'!$E37</f>
        <v>1</v>
      </c>
      <c r="O37" s="20">
        <f>'Alloc Amt'!O37/'Alloc Amt'!$E37</f>
        <v>0</v>
      </c>
      <c r="P37" s="20">
        <f>'Alloc Amt'!P37/'Alloc Amt'!$E37</f>
        <v>0</v>
      </c>
      <c r="Q37" s="20">
        <f>'Alloc Amt'!Q37/'Alloc Amt'!$E37</f>
        <v>0</v>
      </c>
      <c r="R37" s="14"/>
      <c r="S37" s="14"/>
      <c r="T37" s="14"/>
      <c r="U37" s="14"/>
      <c r="V37" s="14"/>
      <c r="W37" s="14"/>
      <c r="X37" s="14"/>
    </row>
    <row r="38" spans="2:24">
      <c r="B38" s="12" t="str">
        <f>'Alloc Amt'!B38</f>
        <v>Direct Assign Substation Structures - Accum Depr</v>
      </c>
      <c r="C38" s="12" t="str">
        <f>'Alloc Amt'!C38</f>
        <v>DIR108.361</v>
      </c>
      <c r="D38" s="12">
        <f>'Alloc Amt'!D38</f>
        <v>32</v>
      </c>
      <c r="E38" s="20">
        <f t="shared" si="0"/>
        <v>1</v>
      </c>
      <c r="F38" s="20">
        <f>'Alloc Amt'!F38/'Alloc Amt'!$E38</f>
        <v>0</v>
      </c>
      <c r="G38" s="20">
        <f>'Alloc Amt'!G38/'Alloc Amt'!$E38</f>
        <v>0</v>
      </c>
      <c r="H38" s="20">
        <f>'Alloc Amt'!H38/'Alloc Amt'!$E38</f>
        <v>0</v>
      </c>
      <c r="I38" s="20">
        <f>'Alloc Amt'!I38/'Alloc Amt'!$E38</f>
        <v>0</v>
      </c>
      <c r="J38" s="20">
        <f>'Alloc Amt'!J38/'Alloc Amt'!$E38</f>
        <v>4.3474422709207122E-2</v>
      </c>
      <c r="K38" s="20">
        <f>'Alloc Amt'!K38/'Alloc Amt'!$E38</f>
        <v>0</v>
      </c>
      <c r="L38" s="20">
        <f>'Alloc Amt'!L38/'Alloc Amt'!$E38</f>
        <v>0</v>
      </c>
      <c r="M38" s="20">
        <f>'Alloc Amt'!M38/'Alloc Amt'!$E38</f>
        <v>0.33564980265410982</v>
      </c>
      <c r="N38" s="20">
        <f>'Alloc Amt'!N38/'Alloc Amt'!$E38</f>
        <v>0.23197097979112802</v>
      </c>
      <c r="O38" s="20">
        <f>'Alloc Amt'!O38/'Alloc Amt'!$E38</f>
        <v>0.38890479484555501</v>
      </c>
      <c r="P38" s="20">
        <f>'Alloc Amt'!P38/'Alloc Amt'!$E38</f>
        <v>0</v>
      </c>
      <c r="Q38" s="20">
        <f>'Alloc Amt'!Q38/'Alloc Amt'!$E38</f>
        <v>0</v>
      </c>
      <c r="R38" s="14"/>
      <c r="S38" s="14"/>
      <c r="T38" s="14"/>
      <c r="U38" s="14"/>
      <c r="V38" s="14"/>
      <c r="W38" s="14"/>
      <c r="X38" s="14"/>
    </row>
    <row r="39" spans="2:24">
      <c r="B39" s="12" t="str">
        <f>'Alloc Amt'!B39</f>
        <v>Direct Assign Substation Equipment - Accum Depr</v>
      </c>
      <c r="C39" s="12" t="str">
        <f>'Alloc Amt'!C39</f>
        <v>DIR108.362</v>
      </c>
      <c r="D39" s="12">
        <f>'Alloc Amt'!D39</f>
        <v>33</v>
      </c>
      <c r="E39" s="20">
        <f t="shared" si="0"/>
        <v>1</v>
      </c>
      <c r="F39" s="20">
        <f>'Alloc Amt'!F39/'Alloc Amt'!$E39</f>
        <v>0</v>
      </c>
      <c r="G39" s="20">
        <f>'Alloc Amt'!G39/'Alloc Amt'!$E39</f>
        <v>0</v>
      </c>
      <c r="H39" s="20">
        <f>'Alloc Amt'!H39/'Alloc Amt'!$E39</f>
        <v>0</v>
      </c>
      <c r="I39" s="20">
        <f>'Alloc Amt'!I39/'Alloc Amt'!$E39</f>
        <v>0</v>
      </c>
      <c r="J39" s="20">
        <f>'Alloc Amt'!J39/'Alloc Amt'!$E39</f>
        <v>5.55545207793086E-2</v>
      </c>
      <c r="K39" s="20">
        <f>'Alloc Amt'!K39/'Alloc Amt'!$E39</f>
        <v>0</v>
      </c>
      <c r="L39" s="20">
        <f>'Alloc Amt'!L39/'Alloc Amt'!$E39</f>
        <v>0</v>
      </c>
      <c r="M39" s="20">
        <f>'Alloc Amt'!M39/'Alloc Amt'!$E39</f>
        <v>0.31583983972004964</v>
      </c>
      <c r="N39" s="20">
        <f>'Alloc Amt'!N39/'Alloc Amt'!$E39</f>
        <v>0.33745782326325829</v>
      </c>
      <c r="O39" s="20">
        <f>'Alloc Amt'!O39/'Alloc Amt'!$E39</f>
        <v>0.29114781623738345</v>
      </c>
      <c r="P39" s="20">
        <f>'Alloc Amt'!P39/'Alloc Amt'!$E39</f>
        <v>0</v>
      </c>
      <c r="Q39" s="20">
        <f>'Alloc Amt'!Q39/'Alloc Amt'!$E39</f>
        <v>0</v>
      </c>
      <c r="R39" s="14"/>
      <c r="S39" s="14"/>
      <c r="T39" s="14"/>
      <c r="U39" s="14"/>
      <c r="V39" s="14"/>
      <c r="W39" s="14"/>
      <c r="X39" s="14"/>
    </row>
    <row r="40" spans="2:24">
      <c r="B40" s="12" t="str">
        <f>'Alloc Amt'!B40</f>
        <v>Direct Assign OH Dist Lines - Accum Depr</v>
      </c>
      <c r="C40" s="12" t="str">
        <f>'Alloc Amt'!C40</f>
        <v>DIR108.364</v>
      </c>
      <c r="D40" s="12">
        <f>'Alloc Amt'!D40</f>
        <v>34</v>
      </c>
      <c r="E40" s="20">
        <f t="shared" si="0"/>
        <v>1</v>
      </c>
      <c r="F40" s="20">
        <f>'Alloc Amt'!F40/'Alloc Amt'!$E40</f>
        <v>0</v>
      </c>
      <c r="G40" s="20">
        <f>'Alloc Amt'!G40/'Alloc Amt'!$E40</f>
        <v>0</v>
      </c>
      <c r="H40" s="20">
        <f>'Alloc Amt'!H40/'Alloc Amt'!$E40</f>
        <v>0</v>
      </c>
      <c r="I40" s="20">
        <f>'Alloc Amt'!I40/'Alloc Amt'!$E40</f>
        <v>0</v>
      </c>
      <c r="J40" s="20">
        <f>'Alloc Amt'!J40/'Alloc Amt'!$E40</f>
        <v>0</v>
      </c>
      <c r="K40" s="20">
        <f>'Alloc Amt'!K40/'Alloc Amt'!$E40</f>
        <v>0</v>
      </c>
      <c r="L40" s="20">
        <f>'Alloc Amt'!L40/'Alloc Amt'!$E40</f>
        <v>0</v>
      </c>
      <c r="M40" s="20">
        <f>'Alloc Amt'!M40/'Alloc Amt'!$E40</f>
        <v>1</v>
      </c>
      <c r="N40" s="20">
        <f>'Alloc Amt'!N40/'Alloc Amt'!$E40</f>
        <v>0</v>
      </c>
      <c r="O40" s="20">
        <f>'Alloc Amt'!O40/'Alloc Amt'!$E40</f>
        <v>0</v>
      </c>
      <c r="P40" s="20">
        <f>'Alloc Amt'!P40/'Alloc Amt'!$E40</f>
        <v>0</v>
      </c>
      <c r="Q40" s="20">
        <f>'Alloc Amt'!Q40/'Alloc Amt'!$E40</f>
        <v>0</v>
      </c>
      <c r="R40" s="14"/>
      <c r="S40" s="14"/>
      <c r="T40" s="14"/>
      <c r="U40" s="14"/>
      <c r="V40" s="14"/>
      <c r="W40" s="14"/>
      <c r="X40" s="14"/>
    </row>
    <row r="41" spans="2:24">
      <c r="B41" s="12" t="str">
        <f>'Alloc Amt'!B41</f>
        <v>Direct Assign UG Dist Lines</v>
      </c>
      <c r="C41" s="12" t="str">
        <f>'Alloc Amt'!C41</f>
        <v>DIR108.366</v>
      </c>
      <c r="D41" s="12">
        <f>'Alloc Amt'!D41</f>
        <v>35</v>
      </c>
      <c r="E41" s="20">
        <f t="shared" si="0"/>
        <v>0.99999999999999989</v>
      </c>
      <c r="F41" s="20">
        <f>'Alloc Amt'!F41/'Alloc Amt'!$E41</f>
        <v>0</v>
      </c>
      <c r="G41" s="20">
        <f>'Alloc Amt'!G41/'Alloc Amt'!$E41</f>
        <v>0</v>
      </c>
      <c r="H41" s="20">
        <f>'Alloc Amt'!H41/'Alloc Amt'!$E41</f>
        <v>0</v>
      </c>
      <c r="I41" s="20">
        <f>'Alloc Amt'!I41/'Alloc Amt'!$E41</f>
        <v>0</v>
      </c>
      <c r="J41" s="20">
        <f>'Alloc Amt'!J41/'Alloc Amt'!$E41</f>
        <v>0</v>
      </c>
      <c r="K41" s="20">
        <f>'Alloc Amt'!K41/'Alloc Amt'!$E41</f>
        <v>0</v>
      </c>
      <c r="L41" s="20">
        <f>'Alloc Amt'!L41/'Alloc Amt'!$E41</f>
        <v>0</v>
      </c>
      <c r="M41" s="20">
        <f>'Alloc Amt'!M41/'Alloc Amt'!$E41</f>
        <v>0.91285521070130171</v>
      </c>
      <c r="N41" s="20">
        <f>'Alloc Amt'!N41/'Alloc Amt'!$E41</f>
        <v>8.7144789298698205E-2</v>
      </c>
      <c r="O41" s="20">
        <f>'Alloc Amt'!O41/'Alloc Amt'!$E41</f>
        <v>0</v>
      </c>
      <c r="P41" s="20">
        <f>'Alloc Amt'!P41/'Alloc Amt'!$E41</f>
        <v>0</v>
      </c>
      <c r="Q41" s="20">
        <f>'Alloc Amt'!Q41/'Alloc Amt'!$E41</f>
        <v>0</v>
      </c>
      <c r="R41" s="14"/>
      <c r="S41" s="14"/>
      <c r="T41" s="14"/>
      <c r="U41" s="14"/>
      <c r="V41" s="14"/>
      <c r="W41" s="14"/>
      <c r="X41" s="14"/>
    </row>
    <row r="42" spans="2:24">
      <c r="B42" s="12" t="str">
        <f>'Alloc Amt'!B42</f>
        <v>Direct Assign Substation Land</v>
      </c>
      <c r="C42" s="12" t="str">
        <f>'Alloc Amt'!C42</f>
        <v>DIR360.01</v>
      </c>
      <c r="D42" s="12">
        <f>'Alloc Amt'!D42</f>
        <v>36</v>
      </c>
      <c r="E42" s="20">
        <f t="shared" si="0"/>
        <v>1</v>
      </c>
      <c r="F42" s="20">
        <f>'Alloc Amt'!F42/'Alloc Amt'!$E42</f>
        <v>0</v>
      </c>
      <c r="G42" s="20">
        <f>'Alloc Amt'!G42/'Alloc Amt'!$E42</f>
        <v>0</v>
      </c>
      <c r="H42" s="20">
        <f>'Alloc Amt'!H42/'Alloc Amt'!$E42</f>
        <v>0</v>
      </c>
      <c r="I42" s="20">
        <f>'Alloc Amt'!I42/'Alloc Amt'!$E42</f>
        <v>0</v>
      </c>
      <c r="J42" s="20">
        <f>'Alloc Amt'!J42/'Alloc Amt'!$E42</f>
        <v>0</v>
      </c>
      <c r="K42" s="20">
        <f>'Alloc Amt'!K42/'Alloc Amt'!$E42</f>
        <v>0</v>
      </c>
      <c r="L42" s="20">
        <f>'Alloc Amt'!L42/'Alloc Amt'!$E42</f>
        <v>0</v>
      </c>
      <c r="M42" s="20">
        <f>'Alloc Amt'!M42/'Alloc Amt'!$E42</f>
        <v>0.86109010773689709</v>
      </c>
      <c r="N42" s="20">
        <f>'Alloc Amt'!N42/'Alloc Amt'!$E42</f>
        <v>0.13890989226310285</v>
      </c>
      <c r="O42" s="20">
        <f>'Alloc Amt'!O42/'Alloc Amt'!$E42</f>
        <v>0</v>
      </c>
      <c r="P42" s="20">
        <f>'Alloc Amt'!P42/'Alloc Amt'!$E42</f>
        <v>0</v>
      </c>
      <c r="Q42" s="20">
        <f>'Alloc Amt'!Q42/'Alloc Amt'!$E42</f>
        <v>0</v>
      </c>
      <c r="R42" s="14"/>
      <c r="S42" s="14"/>
      <c r="T42" s="14"/>
      <c r="U42" s="14"/>
      <c r="V42" s="14"/>
      <c r="W42" s="14"/>
      <c r="X42" s="14"/>
    </row>
    <row r="43" spans="2:24">
      <c r="B43" s="12" t="str">
        <f>'Alloc Amt'!B43</f>
        <v>Direct Assign Substation Structures</v>
      </c>
      <c r="C43" s="12" t="str">
        <f>'Alloc Amt'!C43</f>
        <v>DIR361.01</v>
      </c>
      <c r="D43" s="12">
        <f>'Alloc Amt'!D43</f>
        <v>37</v>
      </c>
      <c r="E43" s="20">
        <f t="shared" si="0"/>
        <v>1</v>
      </c>
      <c r="F43" s="20">
        <f>'Alloc Amt'!F43/'Alloc Amt'!$E43</f>
        <v>0</v>
      </c>
      <c r="G43" s="20">
        <f>'Alloc Amt'!G43/'Alloc Amt'!$E43</f>
        <v>0</v>
      </c>
      <c r="H43" s="20">
        <f>'Alloc Amt'!H43/'Alloc Amt'!$E43</f>
        <v>0</v>
      </c>
      <c r="I43" s="20">
        <f>'Alloc Amt'!I43/'Alloc Amt'!$E43</f>
        <v>0</v>
      </c>
      <c r="J43" s="20">
        <f>'Alloc Amt'!J43/'Alloc Amt'!$E43</f>
        <v>0</v>
      </c>
      <c r="K43" s="20">
        <f>'Alloc Amt'!K43/'Alloc Amt'!$E43</f>
        <v>0</v>
      </c>
      <c r="L43" s="20">
        <f>'Alloc Amt'!L43/'Alloc Amt'!$E43</f>
        <v>0</v>
      </c>
      <c r="M43" s="20">
        <f>'Alloc Amt'!M43/'Alloc Amt'!$E43</f>
        <v>0.50633317118826138</v>
      </c>
      <c r="N43" s="20">
        <f>'Alloc Amt'!N43/'Alloc Amt'!$E43</f>
        <v>0.22590470937329563</v>
      </c>
      <c r="O43" s="20">
        <f>'Alloc Amt'!O43/'Alloc Amt'!$E43</f>
        <v>0.26776211943844291</v>
      </c>
      <c r="P43" s="20">
        <f>'Alloc Amt'!P43/'Alloc Amt'!$E43</f>
        <v>0</v>
      </c>
      <c r="Q43" s="20">
        <f>'Alloc Amt'!Q43/'Alloc Amt'!$E43</f>
        <v>0</v>
      </c>
      <c r="R43" s="14"/>
      <c r="S43" s="14"/>
      <c r="T43" s="14"/>
      <c r="U43" s="14"/>
      <c r="V43" s="14"/>
      <c r="W43" s="14"/>
      <c r="X43" s="14"/>
    </row>
    <row r="44" spans="2:24">
      <c r="B44" s="12" t="str">
        <f>'Alloc Amt'!B44</f>
        <v>Direct Assign Substation Equipment</v>
      </c>
      <c r="C44" s="12" t="str">
        <f>'Alloc Amt'!C44</f>
        <v>DIR362.01</v>
      </c>
      <c r="D44" s="12">
        <f>'Alloc Amt'!D44</f>
        <v>38</v>
      </c>
      <c r="E44" s="20">
        <f t="shared" si="0"/>
        <v>0.99999999999999989</v>
      </c>
      <c r="F44" s="20">
        <f>'Alloc Amt'!F44/'Alloc Amt'!$E44</f>
        <v>0</v>
      </c>
      <c r="G44" s="20">
        <f>'Alloc Amt'!G44/'Alloc Amt'!$E44</f>
        <v>0</v>
      </c>
      <c r="H44" s="20">
        <f>'Alloc Amt'!H44/'Alloc Amt'!$E44</f>
        <v>0</v>
      </c>
      <c r="I44" s="20">
        <f>'Alloc Amt'!I44/'Alloc Amt'!$E44</f>
        <v>0</v>
      </c>
      <c r="J44" s="20">
        <f>'Alloc Amt'!J44/'Alloc Amt'!$E44</f>
        <v>2.1140905001406689E-2</v>
      </c>
      <c r="K44" s="20">
        <f>'Alloc Amt'!K44/'Alloc Amt'!$E44</f>
        <v>0</v>
      </c>
      <c r="L44" s="20">
        <f>'Alloc Amt'!L44/'Alloc Amt'!$E44</f>
        <v>0</v>
      </c>
      <c r="M44" s="20">
        <f>'Alloc Amt'!M44/'Alloc Amt'!$E44</f>
        <v>0.40210924273460275</v>
      </c>
      <c r="N44" s="20">
        <f>'Alloc Amt'!N44/'Alloc Amt'!$E44</f>
        <v>0.39425075027318779</v>
      </c>
      <c r="O44" s="20">
        <f>'Alloc Amt'!O44/'Alloc Amt'!$E44</f>
        <v>0.18249910199080269</v>
      </c>
      <c r="P44" s="20">
        <f>'Alloc Amt'!P44/'Alloc Amt'!$E44</f>
        <v>0</v>
      </c>
      <c r="Q44" s="20">
        <f>'Alloc Amt'!Q44/'Alloc Amt'!$E44</f>
        <v>0</v>
      </c>
      <c r="R44" s="14"/>
      <c r="S44" s="14"/>
      <c r="T44" s="14"/>
      <c r="U44" s="14"/>
      <c r="V44" s="14"/>
      <c r="W44" s="14"/>
      <c r="X44" s="14"/>
    </row>
    <row r="45" spans="2:24">
      <c r="B45" s="12" t="str">
        <f>'Alloc Amt'!B45</f>
        <v>Direct Assign OH Dist Lines</v>
      </c>
      <c r="C45" s="12" t="str">
        <f>'Alloc Amt'!C45</f>
        <v>DIR364.01</v>
      </c>
      <c r="D45" s="12">
        <f>'Alloc Amt'!D45</f>
        <v>39</v>
      </c>
      <c r="E45" s="20">
        <f t="shared" si="0"/>
        <v>1</v>
      </c>
      <c r="F45" s="20">
        <f>'Alloc Amt'!F45/'Alloc Amt'!$E45</f>
        <v>0</v>
      </c>
      <c r="G45" s="20">
        <f>'Alloc Amt'!G45/'Alloc Amt'!$E45</f>
        <v>0</v>
      </c>
      <c r="H45" s="20">
        <f>'Alloc Amt'!H45/'Alloc Amt'!$E45</f>
        <v>0</v>
      </c>
      <c r="I45" s="20">
        <f>'Alloc Amt'!I45/'Alloc Amt'!$E45</f>
        <v>0</v>
      </c>
      <c r="J45" s="20">
        <f>'Alloc Amt'!J45/'Alloc Amt'!$E45</f>
        <v>0</v>
      </c>
      <c r="K45" s="20">
        <f>'Alloc Amt'!K45/'Alloc Amt'!$E45</f>
        <v>0</v>
      </c>
      <c r="L45" s="20">
        <f>'Alloc Amt'!L45/'Alloc Amt'!$E45</f>
        <v>0</v>
      </c>
      <c r="M45" s="20">
        <f>'Alloc Amt'!M45/'Alloc Amt'!$E45</f>
        <v>1</v>
      </c>
      <c r="N45" s="20">
        <f>'Alloc Amt'!N45/'Alloc Amt'!$E45</f>
        <v>0</v>
      </c>
      <c r="O45" s="20">
        <f>'Alloc Amt'!O45/'Alloc Amt'!$E45</f>
        <v>0</v>
      </c>
      <c r="P45" s="20">
        <f>'Alloc Amt'!P45/'Alloc Amt'!$E45</f>
        <v>0</v>
      </c>
      <c r="Q45" s="20">
        <f>'Alloc Amt'!Q45/'Alloc Amt'!$E45</f>
        <v>0</v>
      </c>
      <c r="R45" s="14"/>
      <c r="S45" s="14"/>
      <c r="T45" s="14"/>
      <c r="U45" s="14"/>
      <c r="V45" s="14"/>
      <c r="W45" s="14"/>
      <c r="X45" s="14"/>
    </row>
    <row r="46" spans="2:24">
      <c r="B46" s="12" t="str">
        <f>'Alloc Amt'!B46</f>
        <v>Direct Assign UG Dist Lines</v>
      </c>
      <c r="C46" s="12" t="str">
        <f>'Alloc Amt'!C46</f>
        <v>DIR366.01</v>
      </c>
      <c r="D46" s="12">
        <f>'Alloc Amt'!D46</f>
        <v>40</v>
      </c>
      <c r="E46" s="20">
        <f t="shared" si="0"/>
        <v>0.99999999999999978</v>
      </c>
      <c r="F46" s="20">
        <f>'Alloc Amt'!F46/'Alloc Amt'!$E46</f>
        <v>0</v>
      </c>
      <c r="G46" s="20">
        <f>'Alloc Amt'!G46/'Alloc Amt'!$E46</f>
        <v>0</v>
      </c>
      <c r="H46" s="20">
        <f>'Alloc Amt'!H46/'Alloc Amt'!$E46</f>
        <v>0</v>
      </c>
      <c r="I46" s="20">
        <f>'Alloc Amt'!I46/'Alloc Amt'!$E46</f>
        <v>0</v>
      </c>
      <c r="J46" s="20">
        <f>'Alloc Amt'!J46/'Alloc Amt'!$E46</f>
        <v>0</v>
      </c>
      <c r="K46" s="20">
        <f>'Alloc Amt'!K46/'Alloc Amt'!$E46</f>
        <v>0</v>
      </c>
      <c r="L46" s="20">
        <f>'Alloc Amt'!L46/'Alloc Amt'!$E46</f>
        <v>0</v>
      </c>
      <c r="M46" s="20">
        <f>'Alloc Amt'!M46/'Alloc Amt'!$E46</f>
        <v>0.80618490283486066</v>
      </c>
      <c r="N46" s="20">
        <f>'Alloc Amt'!N46/'Alloc Amt'!$E46</f>
        <v>0.19381509716513917</v>
      </c>
      <c r="O46" s="20">
        <f>'Alloc Amt'!O46/'Alloc Amt'!$E46</f>
        <v>0</v>
      </c>
      <c r="P46" s="20">
        <f>'Alloc Amt'!P46/'Alloc Amt'!$E46</f>
        <v>0</v>
      </c>
      <c r="Q46" s="20">
        <f>'Alloc Amt'!Q46/'Alloc Amt'!$E46</f>
        <v>0</v>
      </c>
      <c r="R46" s="14"/>
      <c r="S46" s="14"/>
      <c r="T46" s="14"/>
      <c r="U46" s="14"/>
      <c r="V46" s="14"/>
      <c r="W46" s="14"/>
      <c r="X46" s="14"/>
    </row>
    <row r="47" spans="2:24">
      <c r="B47" s="12" t="str">
        <f>'Alloc Amt'!B47</f>
        <v>Line Transformers</v>
      </c>
      <c r="C47" s="12" t="str">
        <f>'Alloc Amt'!C47</f>
        <v>DIR368.03</v>
      </c>
      <c r="D47" s="12">
        <f>'Alloc Amt'!D47</f>
        <v>41</v>
      </c>
      <c r="E47" s="20">
        <f t="shared" si="0"/>
        <v>1</v>
      </c>
      <c r="F47" s="20">
        <f>'Alloc Amt'!F47/'Alloc Amt'!$E47</f>
        <v>0</v>
      </c>
      <c r="G47" s="20">
        <f>'Alloc Amt'!G47/'Alloc Amt'!$E47</f>
        <v>0</v>
      </c>
      <c r="H47" s="20">
        <f>'Alloc Amt'!H47/'Alloc Amt'!$E47</f>
        <v>0</v>
      </c>
      <c r="I47" s="20">
        <f>'Alloc Amt'!I47/'Alloc Amt'!$E47</f>
        <v>0</v>
      </c>
      <c r="J47" s="20">
        <f>'Alloc Amt'!J47/'Alloc Amt'!$E47</f>
        <v>0.252533005788799</v>
      </c>
      <c r="K47" s="20">
        <f>'Alloc Amt'!K47/'Alloc Amt'!$E47</f>
        <v>0</v>
      </c>
      <c r="L47" s="20">
        <f>'Alloc Amt'!L47/'Alloc Amt'!$E47</f>
        <v>1.4665641398391188E-2</v>
      </c>
      <c r="M47" s="20">
        <f>'Alloc Amt'!M47/'Alloc Amt'!$E47</f>
        <v>0.72678072931424575</v>
      </c>
      <c r="N47" s="20">
        <f>'Alloc Amt'!N47/'Alloc Amt'!$E47</f>
        <v>0</v>
      </c>
      <c r="O47" s="20">
        <f>'Alloc Amt'!O47/'Alloc Amt'!$E47</f>
        <v>0</v>
      </c>
      <c r="P47" s="20">
        <f>'Alloc Amt'!P47/'Alloc Amt'!$E47</f>
        <v>0</v>
      </c>
      <c r="Q47" s="20">
        <f>'Alloc Amt'!Q47/'Alloc Amt'!$E47</f>
        <v>6.0206234985641059E-3</v>
      </c>
      <c r="R47" s="14"/>
      <c r="S47" s="14"/>
      <c r="T47" s="14"/>
      <c r="U47" s="14"/>
      <c r="V47" s="14"/>
      <c r="W47" s="14"/>
      <c r="X47" s="14"/>
    </row>
    <row r="48" spans="2:24">
      <c r="B48" s="12" t="str">
        <f>'Alloc Amt'!B48</f>
        <v>Allocate Substation Land - 12 NCP</v>
      </c>
      <c r="C48" s="12" t="str">
        <f>'Alloc Amt'!C48</f>
        <v>NCP_360</v>
      </c>
      <c r="D48" s="12">
        <f>'Alloc Amt'!D48</f>
        <v>42</v>
      </c>
      <c r="E48" s="20">
        <f t="shared" si="0"/>
        <v>1</v>
      </c>
      <c r="F48" s="20">
        <f>'Alloc Amt'!F48/'Alloc Amt'!$E48</f>
        <v>0.40940547241121222</v>
      </c>
      <c r="G48" s="20">
        <f>'Alloc Amt'!G48/'Alloc Amt'!$E48</f>
        <v>0.16007715671561679</v>
      </c>
      <c r="H48" s="20">
        <f>'Alloc Amt'!H48/'Alloc Amt'!$E48</f>
        <v>0.20137341655772095</v>
      </c>
      <c r="I48" s="20">
        <f>'Alloc Amt'!I48/'Alloc Amt'!$E48</f>
        <v>0.114339142974466</v>
      </c>
      <c r="J48" s="20">
        <f>'Alloc Amt'!J48/'Alloc Amt'!$E48</f>
        <v>0.10845052794618527</v>
      </c>
      <c r="K48" s="20">
        <f>'Alloc Amt'!K48/'Alloc Amt'!$E48</f>
        <v>2.0303186836565064E-5</v>
      </c>
      <c r="L48" s="20">
        <f>'Alloc Amt'!L48/'Alloc Amt'!$E48</f>
        <v>5.441676255668629E-3</v>
      </c>
      <c r="M48" s="20">
        <f>'Alloc Amt'!M48/'Alloc Amt'!$E48</f>
        <v>0</v>
      </c>
      <c r="N48" s="20">
        <f>'Alloc Amt'!N48/'Alloc Amt'!$E48</f>
        <v>0</v>
      </c>
      <c r="O48" s="20">
        <f>'Alloc Amt'!O48/'Alloc Amt'!$E48</f>
        <v>0</v>
      </c>
      <c r="P48" s="20">
        <f>'Alloc Amt'!P48/'Alloc Amt'!$E48</f>
        <v>8.2621304920744076E-4</v>
      </c>
      <c r="Q48" s="20">
        <f>'Alloc Amt'!Q48/'Alloc Amt'!$E48</f>
        <v>6.6090903086134288E-5</v>
      </c>
      <c r="R48" s="14"/>
      <c r="S48" s="14"/>
      <c r="T48" s="14"/>
      <c r="U48" s="14"/>
      <c r="V48" s="14"/>
      <c r="W48" s="14"/>
      <c r="X48" s="14"/>
    </row>
    <row r="49" spans="2:24">
      <c r="B49" s="12" t="str">
        <f>'Alloc Amt'!B49</f>
        <v>Allocate Substation Structures - 12 NCP</v>
      </c>
      <c r="C49" s="12" t="str">
        <f>'Alloc Amt'!C49</f>
        <v>NCP_361</v>
      </c>
      <c r="D49" s="12">
        <f>'Alloc Amt'!D49</f>
        <v>43</v>
      </c>
      <c r="E49" s="20">
        <f t="shared" si="0"/>
        <v>0.99999999999999989</v>
      </c>
      <c r="F49" s="20">
        <f>'Alloc Amt'!F49/'Alloc Amt'!$E49</f>
        <v>0.49601126194172962</v>
      </c>
      <c r="G49" s="20">
        <f>'Alloc Amt'!G49/'Alloc Amt'!$E49</f>
        <v>0.14605593210339615</v>
      </c>
      <c r="H49" s="20">
        <f>'Alloc Amt'!H49/'Alloc Amt'!$E49</f>
        <v>0.17543979015707517</v>
      </c>
      <c r="I49" s="20">
        <f>'Alloc Amt'!I49/'Alloc Amt'!$E49</f>
        <v>0.10941976336883391</v>
      </c>
      <c r="J49" s="20">
        <f>'Alloc Amt'!J49/'Alloc Amt'!$E49</f>
        <v>6.3279435251893265E-2</v>
      </c>
      <c r="K49" s="20">
        <f>'Alloc Amt'!K49/'Alloc Amt'!$E49</f>
        <v>0</v>
      </c>
      <c r="L49" s="20">
        <f>'Alloc Amt'!L49/'Alloc Amt'!$E49</f>
        <v>8.8105704384384941E-3</v>
      </c>
      <c r="M49" s="20">
        <f>'Alloc Amt'!M49/'Alloc Amt'!$E49</f>
        <v>0</v>
      </c>
      <c r="N49" s="20">
        <f>'Alloc Amt'!N49/'Alloc Amt'!$E49</f>
        <v>0</v>
      </c>
      <c r="O49" s="20">
        <f>'Alloc Amt'!O49/'Alloc Amt'!$E49</f>
        <v>0</v>
      </c>
      <c r="P49" s="20">
        <f>'Alloc Amt'!P49/'Alloc Amt'!$E49</f>
        <v>8.7575540193191243E-4</v>
      </c>
      <c r="Q49" s="20">
        <f>'Alloc Amt'!Q49/'Alloc Amt'!$E49</f>
        <v>1.0749133670144383E-4</v>
      </c>
      <c r="R49" s="14"/>
      <c r="S49" s="14"/>
      <c r="T49" s="14"/>
      <c r="U49" s="14"/>
      <c r="V49" s="14"/>
      <c r="W49" s="14"/>
      <c r="X49" s="14"/>
    </row>
    <row r="50" spans="2:24">
      <c r="B50" s="12" t="str">
        <f>'Alloc Amt'!B50</f>
        <v>Allocate Substation Equipment - 12 NCP</v>
      </c>
      <c r="C50" s="12" t="str">
        <f>'Alloc Amt'!C50</f>
        <v>NCP_362</v>
      </c>
      <c r="D50" s="12">
        <f>'Alloc Amt'!D50</f>
        <v>44</v>
      </c>
      <c r="E50" s="20">
        <f t="shared" si="0"/>
        <v>1</v>
      </c>
      <c r="F50" s="20">
        <f>'Alloc Amt'!F50/'Alloc Amt'!$E50</f>
        <v>0.54457524271034785</v>
      </c>
      <c r="G50" s="20">
        <f>'Alloc Amt'!G50/'Alloc Amt'!$E50</f>
        <v>0.14087937800043182</v>
      </c>
      <c r="H50" s="20">
        <f>'Alloc Amt'!H50/'Alloc Amt'!$E50</f>
        <v>0.15173163209487195</v>
      </c>
      <c r="I50" s="20">
        <f>'Alloc Amt'!I50/'Alloc Amt'!$E50</f>
        <v>8.5999559586225016E-2</v>
      </c>
      <c r="J50" s="20">
        <f>'Alloc Amt'!J50/'Alloc Amt'!$E50</f>
        <v>6.6700776305602283E-2</v>
      </c>
      <c r="K50" s="20">
        <f>'Alloc Amt'!K50/'Alloc Amt'!$E50</f>
        <v>2.4369914277479039E-4</v>
      </c>
      <c r="L50" s="20">
        <f>'Alloc Amt'!L50/'Alloc Amt'!$E50</f>
        <v>8.6189607373069084E-3</v>
      </c>
      <c r="M50" s="20">
        <f>'Alloc Amt'!M50/'Alloc Amt'!$E50</f>
        <v>0</v>
      </c>
      <c r="N50" s="20">
        <f>'Alloc Amt'!N50/'Alloc Amt'!$E50</f>
        <v>0</v>
      </c>
      <c r="O50" s="20">
        <f>'Alloc Amt'!O50/'Alloc Amt'!$E50</f>
        <v>0</v>
      </c>
      <c r="P50" s="20">
        <f>'Alloc Amt'!P50/'Alloc Amt'!$E50</f>
        <v>9.6430170852159034E-4</v>
      </c>
      <c r="Q50" s="20">
        <f>'Alloc Amt'!Q50/'Alloc Amt'!$E50</f>
        <v>2.864497139178493E-4</v>
      </c>
      <c r="R50" s="14"/>
      <c r="S50" s="14"/>
      <c r="T50" s="14"/>
      <c r="U50" s="14"/>
      <c r="V50" s="14"/>
      <c r="W50" s="14"/>
      <c r="X50" s="14"/>
    </row>
    <row r="51" spans="2:24">
      <c r="B51" s="12" t="str">
        <f>'Alloc Amt'!B51</f>
        <v>Allocate Overhead Lines - 12 NCP</v>
      </c>
      <c r="C51" s="12" t="str">
        <f>'Alloc Amt'!C51</f>
        <v>OH_NCP</v>
      </c>
      <c r="D51" s="12">
        <f>'Alloc Amt'!D51</f>
        <v>45</v>
      </c>
      <c r="E51" s="20">
        <f t="shared" si="0"/>
        <v>1.0000000000000002</v>
      </c>
      <c r="F51" s="20">
        <f>'Alloc Amt'!F51/'Alloc Amt'!$E51</f>
        <v>0.67931750604630792</v>
      </c>
      <c r="G51" s="20">
        <f>'Alloc Amt'!G51/'Alloc Amt'!$E51</f>
        <v>0.13025747319621001</v>
      </c>
      <c r="H51" s="20">
        <f>'Alloc Amt'!H51/'Alloc Amt'!$E51</f>
        <v>0.10062503643867951</v>
      </c>
      <c r="I51" s="20">
        <f>'Alloc Amt'!I51/'Alloc Amt'!$E51</f>
        <v>4.1929108926018935E-2</v>
      </c>
      <c r="J51" s="20">
        <f>'Alloc Amt'!J51/'Alloc Amt'!$E51</f>
        <v>3.5716942327371139E-2</v>
      </c>
      <c r="K51" s="20">
        <f>'Alloc Amt'!K51/'Alloc Amt'!$E51</f>
        <v>8.0014314118505639E-4</v>
      </c>
      <c r="L51" s="20">
        <f>'Alloc Amt'!L51/'Alloc Amt'!$E51</f>
        <v>9.9897268053983548E-3</v>
      </c>
      <c r="M51" s="20">
        <f>'Alloc Amt'!M51/'Alloc Amt'!$E51</f>
        <v>0</v>
      </c>
      <c r="N51" s="20">
        <f>'Alloc Amt'!N51/'Alloc Amt'!$E51</f>
        <v>0</v>
      </c>
      <c r="O51" s="20">
        <f>'Alloc Amt'!O51/'Alloc Amt'!$E51</f>
        <v>0</v>
      </c>
      <c r="P51" s="20">
        <f>'Alloc Amt'!P51/'Alloc Amt'!$E51</f>
        <v>6.5438842325561773E-4</v>
      </c>
      <c r="Q51" s="20">
        <f>'Alloc Amt'!Q51/'Alloc Amt'!$E51</f>
        <v>7.0967469557368067E-4</v>
      </c>
      <c r="R51" s="14"/>
      <c r="S51" s="14"/>
      <c r="T51" s="14"/>
      <c r="U51" s="14"/>
      <c r="V51" s="14"/>
      <c r="W51" s="14"/>
      <c r="X51" s="14"/>
    </row>
    <row r="52" spans="2:24">
      <c r="B52" s="12" t="str">
        <f>'Alloc Amt'!B52</f>
        <v>Allocate Overhead Transformers</v>
      </c>
      <c r="C52" s="12" t="str">
        <f>'Alloc Amt'!C52</f>
        <v>OH_TFMR</v>
      </c>
      <c r="D52" s="12">
        <f>'Alloc Amt'!D52</f>
        <v>46</v>
      </c>
      <c r="E52" s="20">
        <f t="shared" si="0"/>
        <v>1</v>
      </c>
      <c r="F52" s="20">
        <f>'Alloc Amt'!F52/'Alloc Amt'!$E52</f>
        <v>0.7303429587007737</v>
      </c>
      <c r="G52" s="20">
        <f>'Alloc Amt'!G52/'Alloc Amt'!$E52</f>
        <v>0.11447772228662677</v>
      </c>
      <c r="H52" s="20">
        <f>'Alloc Amt'!H52/'Alloc Amt'!$E52</f>
        <v>1.4681822696456839E-2</v>
      </c>
      <c r="I52" s="20">
        <f>'Alloc Amt'!I52/'Alloc Amt'!$E52</f>
        <v>1.8637852716737259E-4</v>
      </c>
      <c r="J52" s="20">
        <f>'Alloc Amt'!J52/'Alloc Amt'!$E52</f>
        <v>0</v>
      </c>
      <c r="K52" s="20">
        <f>'Alloc Amt'!K52/'Alloc Amt'!$E52</f>
        <v>0</v>
      </c>
      <c r="L52" s="20">
        <f>'Alloc Amt'!L52/'Alloc Amt'!$E52</f>
        <v>0</v>
      </c>
      <c r="M52" s="20">
        <f>'Alloc Amt'!M52/'Alloc Amt'!$E52</f>
        <v>0</v>
      </c>
      <c r="N52" s="20">
        <f>'Alloc Amt'!N52/'Alloc Amt'!$E52</f>
        <v>0</v>
      </c>
      <c r="O52" s="20">
        <f>'Alloc Amt'!O52/'Alloc Amt'!$E52</f>
        <v>0</v>
      </c>
      <c r="P52" s="20">
        <f>'Alloc Amt'!P52/'Alloc Amt'!$E52</f>
        <v>0.14031111778897534</v>
      </c>
      <c r="Q52" s="20">
        <f>'Alloc Amt'!Q52/'Alloc Amt'!$E52</f>
        <v>0</v>
      </c>
      <c r="R52" s="14"/>
      <c r="S52" s="14"/>
      <c r="T52" s="14"/>
      <c r="U52" s="14"/>
      <c r="V52" s="14"/>
      <c r="W52" s="14"/>
      <c r="X52" s="14"/>
    </row>
    <row r="53" spans="2:24">
      <c r="B53" s="12" t="str">
        <f>'Alloc Amt'!B53</f>
        <v>Allocate Underground Lines - 12 CP</v>
      </c>
      <c r="C53" s="12" t="str">
        <f>'Alloc Amt'!C53</f>
        <v>UG_NCP</v>
      </c>
      <c r="D53" s="12">
        <f>'Alloc Amt'!D53</f>
        <v>47</v>
      </c>
      <c r="E53" s="20">
        <f t="shared" si="0"/>
        <v>1.0000000000000002</v>
      </c>
      <c r="F53" s="20">
        <f>'Alloc Amt'!F53/'Alloc Amt'!$E53</f>
        <v>0.66763664754224528</v>
      </c>
      <c r="G53" s="20">
        <f>'Alloc Amt'!G53/'Alloc Amt'!$E53</f>
        <v>0.12354566571435271</v>
      </c>
      <c r="H53" s="20">
        <f>'Alloc Amt'!H53/'Alloc Amt'!$E53</f>
        <v>0.11401776950604361</v>
      </c>
      <c r="I53" s="20">
        <f>'Alloc Amt'!I53/'Alloc Amt'!$E53</f>
        <v>4.8959402478190729E-2</v>
      </c>
      <c r="J53" s="20">
        <f>'Alloc Amt'!J53/'Alloc Amt'!$E53</f>
        <v>3.3327251842029365E-2</v>
      </c>
      <c r="K53" s="20">
        <f>'Alloc Amt'!K53/'Alloc Amt'!$E53</f>
        <v>3.7100494435435462E-4</v>
      </c>
      <c r="L53" s="20">
        <f>'Alloc Amt'!L53/'Alloc Amt'!$E53</f>
        <v>1.1389036396196589E-2</v>
      </c>
      <c r="M53" s="20">
        <f>'Alloc Amt'!M53/'Alloc Amt'!$E53</f>
        <v>0</v>
      </c>
      <c r="N53" s="20">
        <f>'Alloc Amt'!N53/'Alloc Amt'!$E53</f>
        <v>0</v>
      </c>
      <c r="O53" s="20">
        <f>'Alloc Amt'!O53/'Alloc Amt'!$E53</f>
        <v>0</v>
      </c>
      <c r="P53" s="20">
        <f>'Alloc Amt'!P53/'Alloc Amt'!$E53</f>
        <v>4.8923728925848956E-4</v>
      </c>
      <c r="Q53" s="20">
        <f>'Alloc Amt'!Q53/'Alloc Amt'!$E53</f>
        <v>2.6398428732906E-4</v>
      </c>
      <c r="R53" s="14"/>
      <c r="S53" s="14"/>
      <c r="T53" s="14"/>
      <c r="U53" s="14"/>
      <c r="V53" s="14"/>
      <c r="W53" s="14"/>
      <c r="X53" s="14"/>
    </row>
    <row r="54" spans="2:24">
      <c r="B54" s="12" t="str">
        <f>'Alloc Amt'!B54</f>
        <v>Allocate Underground Transformers</v>
      </c>
      <c r="C54" s="12" t="str">
        <f>'Alloc Amt'!C54</f>
        <v>UG_TFMR</v>
      </c>
      <c r="D54" s="12">
        <f>'Alloc Amt'!D54</f>
        <v>48</v>
      </c>
      <c r="E54" s="20">
        <f t="shared" si="0"/>
        <v>1</v>
      </c>
      <c r="F54" s="20">
        <f>'Alloc Amt'!F54/'Alloc Amt'!$E54</f>
        <v>0.7355320996358401</v>
      </c>
      <c r="G54" s="20">
        <f>'Alloc Amt'!G54/'Alloc Amt'!$E54</f>
        <v>0.14493820090527729</v>
      </c>
      <c r="H54" s="20">
        <f>'Alloc Amt'!H54/'Alloc Amt'!$E54</f>
        <v>8.7743433698652465E-2</v>
      </c>
      <c r="I54" s="20">
        <f>'Alloc Amt'!I54/'Alloc Amt'!$E54</f>
        <v>2.9422589225516247E-2</v>
      </c>
      <c r="J54" s="20">
        <f>'Alloc Amt'!J54/'Alloc Amt'!$E54</f>
        <v>0</v>
      </c>
      <c r="K54" s="20">
        <f>'Alloc Amt'!K54/'Alloc Amt'!$E54</f>
        <v>0</v>
      </c>
      <c r="L54" s="20">
        <f>'Alloc Amt'!L54/'Alloc Amt'!$E54</f>
        <v>0</v>
      </c>
      <c r="M54" s="20">
        <f>'Alloc Amt'!M54/'Alloc Amt'!$E54</f>
        <v>0</v>
      </c>
      <c r="N54" s="20">
        <f>'Alloc Amt'!N54/'Alloc Amt'!$E54</f>
        <v>0</v>
      </c>
      <c r="O54" s="20">
        <f>'Alloc Amt'!O54/'Alloc Amt'!$E54</f>
        <v>0</v>
      </c>
      <c r="P54" s="20">
        <f>'Alloc Amt'!P54/'Alloc Amt'!$E54</f>
        <v>2.3045907603834585E-3</v>
      </c>
      <c r="Q54" s="20">
        <f>'Alloc Amt'!Q54/'Alloc Amt'!$E54</f>
        <v>5.9085774330539027E-5</v>
      </c>
      <c r="R54" s="14"/>
      <c r="S54" s="14"/>
      <c r="T54" s="14"/>
      <c r="U54" s="14"/>
      <c r="V54" s="14"/>
      <c r="W54" s="14"/>
      <c r="X54" s="14"/>
    </row>
    <row r="55" spans="2:24">
      <c r="B55" s="12" t="str">
        <f>'Alloc Amt'!B55</f>
        <v>Equip. (Transformer &amp; Substation) Rentals</v>
      </c>
      <c r="C55" s="12" t="str">
        <f>'Alloc Amt'!C55</f>
        <v>DIR454.05</v>
      </c>
      <c r="D55" s="12">
        <f>'Alloc Amt'!D55</f>
        <v>49</v>
      </c>
      <c r="E55" s="20">
        <f t="shared" si="0"/>
        <v>1.0000000000000002</v>
      </c>
      <c r="F55" s="20">
        <f>'Alloc Amt'!F55/'Alloc Amt'!$E55</f>
        <v>0</v>
      </c>
      <c r="G55" s="20">
        <f>'Alloc Amt'!G55/'Alloc Amt'!$E55</f>
        <v>0</v>
      </c>
      <c r="H55" s="20">
        <f>'Alloc Amt'!H55/'Alloc Amt'!$E55</f>
        <v>0</v>
      </c>
      <c r="I55" s="20">
        <f>'Alloc Amt'!I55/'Alloc Amt'!$E55</f>
        <v>0</v>
      </c>
      <c r="J55" s="20">
        <f>'Alloc Amt'!J55/'Alloc Amt'!$E55</f>
        <v>0.15252047115174688</v>
      </c>
      <c r="K55" s="20">
        <f>'Alloc Amt'!K55/'Alloc Amt'!$E55</f>
        <v>0</v>
      </c>
      <c r="L55" s="20">
        <f>'Alloc Amt'!L55/'Alloc Amt'!$E55</f>
        <v>2.8692555375480428E-3</v>
      </c>
      <c r="M55" s="20">
        <f>'Alloc Amt'!M55/'Alloc Amt'!$E55</f>
        <v>1.8120200537630402E-2</v>
      </c>
      <c r="N55" s="20">
        <f>'Alloc Amt'!N55/'Alloc Amt'!$E55</f>
        <v>0.63667414965169566</v>
      </c>
      <c r="O55" s="20">
        <f>'Alloc Amt'!O55/'Alloc Amt'!$E55</f>
        <v>0.18903994303462143</v>
      </c>
      <c r="P55" s="20">
        <f>'Alloc Amt'!P55/'Alloc Amt'!$E55</f>
        <v>0</v>
      </c>
      <c r="Q55" s="20">
        <f>'Alloc Amt'!Q55/'Alloc Amt'!$E55</f>
        <v>7.7598008675775019E-4</v>
      </c>
      <c r="R55" s="14"/>
      <c r="S55" s="14"/>
      <c r="T55" s="14"/>
      <c r="U55" s="14"/>
      <c r="V55" s="14"/>
      <c r="W55" s="14"/>
      <c r="X55" s="14"/>
    </row>
    <row r="56" spans="2:24">
      <c r="B56" s="12" t="str">
        <f>'Alloc Amt'!B56</f>
        <v>BPA Residential Exchange kWh</v>
      </c>
      <c r="C56" s="12" t="str">
        <f>'Alloc Amt'!C56</f>
        <v>BPAX</v>
      </c>
      <c r="D56" s="12">
        <f>'Alloc Amt'!D56</f>
        <v>50</v>
      </c>
      <c r="E56" s="20">
        <f t="shared" si="0"/>
        <v>1.0000000000000002</v>
      </c>
      <c r="F56" s="20">
        <f>'Alloc Amt'!F56/'Alloc Amt'!$E56</f>
        <v>0.95527023080075346</v>
      </c>
      <c r="G56" s="20">
        <f>'Alloc Amt'!G56/'Alloc Amt'!$E56</f>
        <v>2.3950176947135578E-2</v>
      </c>
      <c r="H56" s="20">
        <f>'Alloc Amt'!H56/'Alloc Amt'!$E56</f>
        <v>1.5547633533287933E-2</v>
      </c>
      <c r="I56" s="20">
        <f>'Alloc Amt'!I56/'Alloc Amt'!$E56</f>
        <v>1.6190337313309329E-3</v>
      </c>
      <c r="J56" s="20">
        <f>'Alloc Amt'!J56/'Alloc Amt'!$E56</f>
        <v>3.0104510727716359E-3</v>
      </c>
      <c r="K56" s="20">
        <f>'Alloc Amt'!K56/'Alloc Amt'!$E56</f>
        <v>4.1692230577485684E-4</v>
      </c>
      <c r="L56" s="20">
        <f>'Alloc Amt'!L56/'Alloc Amt'!$E56</f>
        <v>0</v>
      </c>
      <c r="M56" s="20">
        <f>'Alloc Amt'!M56/'Alloc Amt'!$E56</f>
        <v>0</v>
      </c>
      <c r="N56" s="20">
        <f>'Alloc Amt'!N56/'Alloc Amt'!$E56</f>
        <v>0</v>
      </c>
      <c r="O56" s="20">
        <f>'Alloc Amt'!O56/'Alloc Amt'!$E56</f>
        <v>0</v>
      </c>
      <c r="P56" s="20">
        <f>'Alloc Amt'!P56/'Alloc Amt'!$E56</f>
        <v>1.8555160894588536E-4</v>
      </c>
      <c r="Q56" s="20">
        <f>'Alloc Amt'!Q56/'Alloc Amt'!$E56</f>
        <v>0</v>
      </c>
      <c r="R56" s="14"/>
      <c r="S56" s="14"/>
      <c r="T56" s="14"/>
      <c r="U56" s="14"/>
      <c r="V56" s="14"/>
      <c r="W56" s="14"/>
      <c r="X56" s="14"/>
    </row>
    <row r="57" spans="2:24">
      <c r="B57" s="12" t="str">
        <f>'Alloc Amt'!B57</f>
        <v>Annual kWhs</v>
      </c>
      <c r="C57" s="12" t="str">
        <f>'Alloc Amt'!C57</f>
        <v>ENERGY_1</v>
      </c>
      <c r="D57" s="12">
        <f>'Alloc Amt'!D57</f>
        <v>51</v>
      </c>
      <c r="E57" s="20">
        <f t="shared" si="0"/>
        <v>1.0000000000000002</v>
      </c>
      <c r="F57" s="20">
        <f>'Alloc Amt'!F57/'Alloc Amt'!$E57</f>
        <v>0.46468859388342376</v>
      </c>
      <c r="G57" s="20">
        <f>'Alloc Amt'!G57/'Alloc Amt'!$E57</f>
        <v>0.12202171045373814</v>
      </c>
      <c r="H57" s="20">
        <f>'Alloc Amt'!H57/'Alloc Amt'!$E57</f>
        <v>0.12563348413862588</v>
      </c>
      <c r="I57" s="20">
        <f>'Alloc Amt'!I57/'Alloc Amt'!$E57</f>
        <v>8.2881834765981835E-2</v>
      </c>
      <c r="J57" s="20">
        <f>'Alloc Amt'!J57/'Alloc Amt'!$E57</f>
        <v>5.4105529243114493E-2</v>
      </c>
      <c r="K57" s="20">
        <f>'Alloc Amt'!K57/'Alloc Amt'!$E57</f>
        <v>1.8789920614908733E-4</v>
      </c>
      <c r="L57" s="20">
        <f>'Alloc Amt'!L57/'Alloc Amt'!$E57</f>
        <v>5.1111617483568994E-3</v>
      </c>
      <c r="M57" s="20">
        <f>'Alloc Amt'!M57/'Alloc Amt'!$E57</f>
        <v>2.8321484222276278E-2</v>
      </c>
      <c r="N57" s="20">
        <f>'Alloc Amt'!N57/'Alloc Amt'!$E57</f>
        <v>2.5882572156662523E-2</v>
      </c>
      <c r="O57" s="20">
        <f>'Alloc Amt'!O57/'Alloc Amt'!$E57</f>
        <v>8.75357171460584E-2</v>
      </c>
      <c r="P57" s="20">
        <f>'Alloc Amt'!P57/'Alloc Amt'!$E57</f>
        <v>3.3344293589362426E-3</v>
      </c>
      <c r="Q57" s="20">
        <f>'Alloc Amt'!Q57/'Alloc Amt'!$E57</f>
        <v>2.9558367667650046E-4</v>
      </c>
      <c r="R57" s="14"/>
      <c r="S57" s="14"/>
      <c r="T57" s="14"/>
      <c r="U57" s="14"/>
      <c r="V57" s="14"/>
      <c r="W57" s="14"/>
      <c r="X57" s="14"/>
    </row>
    <row r="58" spans="2:24">
      <c r="B58" s="12" t="str">
        <f>'Alloc Amt'!B58</f>
        <v>Energy - No Retail Wheeling</v>
      </c>
      <c r="C58" s="12" t="str">
        <f>'Alloc Amt'!C58</f>
        <v>ENERGY_2</v>
      </c>
      <c r="D58" s="12">
        <f>'Alloc Amt'!D58</f>
        <v>52</v>
      </c>
      <c r="E58" s="20">
        <f t="shared" si="0"/>
        <v>1.0000000000000002</v>
      </c>
      <c r="F58" s="20">
        <f>'Alloc Amt'!F58/'Alloc Amt'!$E58</f>
        <v>0.50926770791510168</v>
      </c>
      <c r="G58" s="20">
        <f>'Alloc Amt'!G58/'Alloc Amt'!$E58</f>
        <v>0.13372765679341139</v>
      </c>
      <c r="H58" s="20">
        <f>'Alloc Amt'!H58/'Alloc Amt'!$E58</f>
        <v>0.13768591987587539</v>
      </c>
      <c r="I58" s="20">
        <f>'Alloc Amt'!I58/'Alloc Amt'!$E58</f>
        <v>9.0832963353644783E-2</v>
      </c>
      <c r="J58" s="20">
        <f>'Alloc Amt'!J58/'Alloc Amt'!$E58</f>
        <v>5.9296051648056874E-2</v>
      </c>
      <c r="K58" s="20">
        <f>'Alloc Amt'!K58/'Alloc Amt'!$E58</f>
        <v>2.0592499857790533E-4</v>
      </c>
      <c r="L58" s="20">
        <f>'Alloc Amt'!L58/'Alloc Amt'!$E58</f>
        <v>5.6014924029361094E-3</v>
      </c>
      <c r="M58" s="20">
        <f>'Alloc Amt'!M58/'Alloc Amt'!$E58</f>
        <v>3.1038457893052353E-2</v>
      </c>
      <c r="N58" s="20">
        <f>'Alloc Amt'!N58/'Alloc Amt'!$E58</f>
        <v>2.8365572924902698E-2</v>
      </c>
      <c r="O58" s="20">
        <f>'Alloc Amt'!O58/'Alloc Amt'!$E58</f>
        <v>0</v>
      </c>
      <c r="P58" s="20">
        <f>'Alloc Amt'!P58/'Alloc Amt'!$E58</f>
        <v>3.6543121978506923E-3</v>
      </c>
      <c r="Q58" s="20">
        <f>'Alloc Amt'!Q58/'Alloc Amt'!$E58</f>
        <v>3.2393999659032641E-4</v>
      </c>
      <c r="R58" s="14"/>
      <c r="S58" s="14"/>
      <c r="T58" s="14"/>
      <c r="U58" s="14"/>
      <c r="V58" s="14"/>
      <c r="W58" s="14"/>
      <c r="X58" s="14"/>
    </row>
    <row r="59" spans="2:24">
      <c r="B59" s="12">
        <f>'Alloc Amt'!B59</f>
        <v>0</v>
      </c>
      <c r="C59" s="12">
        <f>'Alloc Amt'!C59</f>
        <v>0</v>
      </c>
      <c r="D59" s="12">
        <f>'Alloc Amt'!D59</f>
        <v>53</v>
      </c>
      <c r="E59" s="20" t="e">
        <f t="shared" si="0"/>
        <v>#DIV/0!</v>
      </c>
      <c r="F59" s="20" t="e">
        <f>'Alloc Amt'!F59/'Alloc Amt'!$E59</f>
        <v>#DIV/0!</v>
      </c>
      <c r="G59" s="20" t="e">
        <f>'Alloc Amt'!G59/'Alloc Amt'!$E59</f>
        <v>#DIV/0!</v>
      </c>
      <c r="H59" s="20" t="e">
        <f>'Alloc Amt'!H59/'Alloc Amt'!$E59</f>
        <v>#DIV/0!</v>
      </c>
      <c r="I59" s="20" t="e">
        <f>'Alloc Amt'!I59/'Alloc Amt'!$E59</f>
        <v>#DIV/0!</v>
      </c>
      <c r="J59" s="20" t="e">
        <f>'Alloc Amt'!J59/'Alloc Amt'!$E59</f>
        <v>#DIV/0!</v>
      </c>
      <c r="K59" s="20" t="e">
        <f>'Alloc Amt'!K59/'Alloc Amt'!$E59</f>
        <v>#DIV/0!</v>
      </c>
      <c r="L59" s="20" t="e">
        <f>'Alloc Amt'!L59/'Alloc Amt'!$E59</f>
        <v>#DIV/0!</v>
      </c>
      <c r="M59" s="20" t="e">
        <f>'Alloc Amt'!M59/'Alloc Amt'!$E59</f>
        <v>#DIV/0!</v>
      </c>
      <c r="N59" s="20" t="e">
        <f>'Alloc Amt'!N59/'Alloc Amt'!$E59</f>
        <v>#DIV/0!</v>
      </c>
      <c r="O59" s="20" t="e">
        <f>'Alloc Amt'!O59/'Alloc Amt'!$E59</f>
        <v>#DIV/0!</v>
      </c>
      <c r="P59" s="20" t="e">
        <f>'Alloc Amt'!P59/'Alloc Amt'!$E59</f>
        <v>#DIV/0!</v>
      </c>
      <c r="Q59" s="20" t="e">
        <f>'Alloc Amt'!Q59/'Alloc Amt'!$E59</f>
        <v>#DIV/0!</v>
      </c>
    </row>
    <row r="60" spans="2:24">
      <c r="B60" s="12" t="str">
        <f>'Alloc Amt'!B60</f>
        <v>Total Struct and Improvements</v>
      </c>
      <c r="C60" s="12" t="str">
        <f>'Alloc Amt'!C60</f>
        <v>D360.T</v>
      </c>
      <c r="D60" s="12">
        <f>'Alloc Amt'!D60</f>
        <v>54</v>
      </c>
      <c r="E60" s="20" t="e">
        <f t="shared" si="0"/>
        <v>#DIV/0!</v>
      </c>
      <c r="F60" s="20" t="e">
        <f>'Alloc Amt'!F60/'Alloc Amt'!$E60</f>
        <v>#DIV/0!</v>
      </c>
      <c r="G60" s="20" t="e">
        <f>'Alloc Amt'!G60/'Alloc Amt'!$E60</f>
        <v>#DIV/0!</v>
      </c>
      <c r="H60" s="20" t="e">
        <f>'Alloc Amt'!H60/'Alloc Amt'!$E60</f>
        <v>#DIV/0!</v>
      </c>
      <c r="I60" s="20" t="e">
        <f>'Alloc Amt'!I60/'Alloc Amt'!$E60</f>
        <v>#DIV/0!</v>
      </c>
      <c r="J60" s="20" t="e">
        <f>'Alloc Amt'!J60/'Alloc Amt'!$E60</f>
        <v>#DIV/0!</v>
      </c>
      <c r="K60" s="20" t="e">
        <f>'Alloc Amt'!K60/'Alloc Amt'!$E60</f>
        <v>#DIV/0!</v>
      </c>
      <c r="L60" s="20" t="e">
        <f>'Alloc Amt'!L60/'Alloc Amt'!$E60</f>
        <v>#DIV/0!</v>
      </c>
      <c r="M60" s="20" t="e">
        <f>'Alloc Amt'!M60/'Alloc Amt'!$E60</f>
        <v>#DIV/0!</v>
      </c>
      <c r="N60" s="20" t="e">
        <f>'Alloc Amt'!N60/'Alloc Amt'!$E60</f>
        <v>#DIV/0!</v>
      </c>
      <c r="O60" s="20" t="e">
        <f>'Alloc Amt'!O60/'Alloc Amt'!$E60</f>
        <v>#DIV/0!</v>
      </c>
      <c r="P60" s="20" t="e">
        <f>'Alloc Amt'!P60/'Alloc Amt'!$E60</f>
        <v>#DIV/0!</v>
      </c>
      <c r="Q60" s="20" t="e">
        <f>'Alloc Amt'!Q60/'Alloc Amt'!$E60</f>
        <v>#DIV/0!</v>
      </c>
    </row>
    <row r="61" spans="2:24">
      <c r="B61" s="12" t="str">
        <f>'Alloc Amt'!B61</f>
        <v>Total Struct and Improvements</v>
      </c>
      <c r="C61" s="12" t="str">
        <f>'Alloc Amt'!C61</f>
        <v>D361.T</v>
      </c>
      <c r="D61" s="12">
        <f>'Alloc Amt'!D61</f>
        <v>55</v>
      </c>
      <c r="E61" s="20">
        <f t="shared" si="0"/>
        <v>0.99999999999999989</v>
      </c>
      <c r="F61" s="20">
        <f>'Alloc Amt'!F61/'Alloc Amt'!$E61</f>
        <v>0.45114938668710913</v>
      </c>
      <c r="G61" s="20">
        <f>'Alloc Amt'!G61/'Alloc Amt'!$E61</f>
        <v>0.13284586308083102</v>
      </c>
      <c r="H61" s="20">
        <f>'Alloc Amt'!H61/'Alloc Amt'!$E61</f>
        <v>0.15957208999657332</v>
      </c>
      <c r="I61" s="20">
        <f>'Alloc Amt'!I61/'Alloc Amt'!$E61</f>
        <v>9.952326272200103E-2</v>
      </c>
      <c r="J61" s="20">
        <f>'Alloc Amt'!J61/'Alloc Amt'!$E61</f>
        <v>5.7556109294857286E-2</v>
      </c>
      <c r="K61" s="20">
        <f>'Alloc Amt'!K61/'Alloc Amt'!$E61</f>
        <v>0</v>
      </c>
      <c r="L61" s="20">
        <f>'Alloc Amt'!L61/'Alloc Amt'!$E61</f>
        <v>8.0136959675162819E-3</v>
      </c>
      <c r="M61" s="20">
        <f>'Alloc Amt'!M61/'Alloc Amt'!$E61</f>
        <v>4.5795443180466917E-2</v>
      </c>
      <c r="N61" s="20">
        <f>'Alloc Amt'!N61/'Alloc Amt'!$E61</f>
        <v>2.043201368384789E-2</v>
      </c>
      <c r="O61" s="20">
        <f>'Alloc Amt'!O61/'Alloc Amt'!$E61</f>
        <v>2.4217818670357917E-2</v>
      </c>
      <c r="P61" s="20">
        <f>'Alloc Amt'!P61/'Alloc Amt'!$E61</f>
        <v>7.9654746330320243E-4</v>
      </c>
      <c r="Q61" s="20">
        <f>'Alloc Amt'!Q61/'Alloc Amt'!$E61</f>
        <v>9.7769253135891458E-5</v>
      </c>
    </row>
    <row r="62" spans="2:24">
      <c r="B62" s="12" t="str">
        <f>'Alloc Amt'!B62</f>
        <v>Total Station Equip</v>
      </c>
      <c r="C62" s="12" t="str">
        <f>'Alloc Amt'!C62</f>
        <v>D362.T</v>
      </c>
      <c r="D62" s="12">
        <f>'Alloc Amt'!D62</f>
        <v>56</v>
      </c>
      <c r="E62" s="20">
        <f t="shared" si="0"/>
        <v>1</v>
      </c>
      <c r="F62" s="20">
        <f>'Alloc Amt'!F62/'Alloc Amt'!$E62</f>
        <v>0.49761087478950272</v>
      </c>
      <c r="G62" s="20">
        <f>'Alloc Amt'!G62/'Alloc Amt'!$E62</f>
        <v>0.12872988896390722</v>
      </c>
      <c r="H62" s="20">
        <f>'Alloc Amt'!H62/'Alloc Amt'!$E62</f>
        <v>0.13864624069979509</v>
      </c>
      <c r="I62" s="20">
        <f>'Alloc Amt'!I62/'Alloc Amt'!$E62</f>
        <v>7.8582926142999693E-2</v>
      </c>
      <c r="J62" s="20">
        <f>'Alloc Amt'!J62/'Alloc Amt'!$E62</f>
        <v>6.2771676356608325E-2</v>
      </c>
      <c r="K62" s="20">
        <f>'Alloc Amt'!K62/'Alloc Amt'!$E62</f>
        <v>2.2268243965345999E-4</v>
      </c>
      <c r="L62" s="20">
        <f>'Alloc Amt'!L62/'Alloc Amt'!$E62</f>
        <v>7.8756584139262273E-3</v>
      </c>
      <c r="M62" s="20">
        <f>'Alloc Amt'!M62/'Alloc Amt'!$E62</f>
        <v>3.4678048025412897E-2</v>
      </c>
      <c r="N62" s="20">
        <f>'Alloc Amt'!N62/'Alloc Amt'!$E62</f>
        <v>3.4000328764022633E-2</v>
      </c>
      <c r="O62" s="20">
        <f>'Alloc Amt'!O62/'Alloc Amt'!$E62</f>
        <v>1.5738789241432117E-2</v>
      </c>
      <c r="P62" s="20">
        <f>'Alloc Amt'!P62/'Alloc Amt'!$E62</f>
        <v>8.8113997681981424E-4</v>
      </c>
      <c r="Q62" s="20">
        <f>'Alloc Amt'!Q62/'Alloc Amt'!$E62</f>
        <v>2.6174618591994847E-4</v>
      </c>
    </row>
    <row r="63" spans="2:24">
      <c r="B63" s="12" t="str">
        <f>'Alloc Amt'!B63</f>
        <v>Total OVHD Lines</v>
      </c>
      <c r="C63" s="12" t="str">
        <f>'Alloc Amt'!C63</f>
        <v>D364.T</v>
      </c>
      <c r="D63" s="12">
        <f>'Alloc Amt'!D63</f>
        <v>57</v>
      </c>
      <c r="E63" s="20">
        <f t="shared" si="0"/>
        <v>1</v>
      </c>
      <c r="F63" s="20">
        <f>'Alloc Amt'!F63/'Alloc Amt'!$E63</f>
        <v>0.67778213368105555</v>
      </c>
      <c r="G63" s="20">
        <f>'Alloc Amt'!G63/'Alloc Amt'!$E63</f>
        <v>0.12996306929386242</v>
      </c>
      <c r="H63" s="20">
        <f>'Alloc Amt'!H63/'Alloc Amt'!$E63</f>
        <v>0.10039760685115179</v>
      </c>
      <c r="I63" s="20">
        <f>'Alloc Amt'!I63/'Alloc Amt'!$E63</f>
        <v>4.1834342054016253E-2</v>
      </c>
      <c r="J63" s="20">
        <f>'Alloc Amt'!J63/'Alloc Amt'!$E63</f>
        <v>3.5636216001709478E-2</v>
      </c>
      <c r="K63" s="20">
        <f>'Alloc Amt'!K63/'Alloc Amt'!$E63</f>
        <v>7.9833468246540422E-4</v>
      </c>
      <c r="L63" s="20">
        <f>'Alloc Amt'!L63/'Alloc Amt'!$E63</f>
        <v>9.9671483345994804E-3</v>
      </c>
      <c r="M63" s="20">
        <f>'Alloc Amt'!M63/'Alloc Amt'!$E63</f>
        <v>2.2601689954794574E-3</v>
      </c>
      <c r="N63" s="20">
        <f>'Alloc Amt'!N63/'Alloc Amt'!$E63</f>
        <v>0</v>
      </c>
      <c r="O63" s="20">
        <f>'Alloc Amt'!O63/'Alloc Amt'!$E63</f>
        <v>0</v>
      </c>
      <c r="P63" s="20">
        <f>'Alloc Amt'!P63/'Alloc Amt'!$E63</f>
        <v>6.5290939483037458E-4</v>
      </c>
      <c r="Q63" s="20">
        <f>'Alloc Amt'!Q63/'Alloc Amt'!$E63</f>
        <v>7.0807071082986859E-4</v>
      </c>
    </row>
    <row r="64" spans="2:24">
      <c r="B64" s="12" t="str">
        <f>'Alloc Amt'!B64</f>
        <v>Total UNGD Lines</v>
      </c>
      <c r="C64" s="12" t="str">
        <f>'Alloc Amt'!C64</f>
        <v>D366.T</v>
      </c>
      <c r="D64" s="12">
        <f>'Alloc Amt'!D64</f>
        <v>58</v>
      </c>
      <c r="E64" s="20">
        <f t="shared" si="0"/>
        <v>0.99999999999999989</v>
      </c>
      <c r="F64" s="20">
        <f>'Alloc Amt'!F64/'Alloc Amt'!$E64</f>
        <v>0.65233382570645737</v>
      </c>
      <c r="G64" s="20">
        <f>'Alloc Amt'!G64/'Alloc Amt'!$E64</f>
        <v>0.12071388990041207</v>
      </c>
      <c r="H64" s="20">
        <f>'Alloc Amt'!H64/'Alloc Amt'!$E64</f>
        <v>0.11140438149133834</v>
      </c>
      <c r="I64" s="20">
        <f>'Alloc Amt'!I64/'Alloc Amt'!$E64</f>
        <v>4.7837209716501482E-2</v>
      </c>
      <c r="J64" s="20">
        <f>'Alloc Amt'!J64/'Alloc Amt'!$E64</f>
        <v>3.256336178432738E-2</v>
      </c>
      <c r="K64" s="20">
        <f>'Alloc Amt'!K64/'Alloc Amt'!$E64</f>
        <v>3.6250118323735898E-4</v>
      </c>
      <c r="L64" s="20">
        <f>'Alloc Amt'!L64/'Alloc Amt'!$E64</f>
        <v>1.1127989619489697E-2</v>
      </c>
      <c r="M64" s="20">
        <f>'Alloc Amt'!M64/'Alloc Amt'!$E64</f>
        <v>1.8478470258035212E-2</v>
      </c>
      <c r="N64" s="20">
        <f>'Alloc Amt'!N64/'Alloc Amt'!$E64</f>
        <v>4.4424132676394784E-3</v>
      </c>
      <c r="O64" s="20">
        <f>'Alloc Amt'!O64/'Alloc Amt'!$E64</f>
        <v>0</v>
      </c>
      <c r="P64" s="20">
        <f>'Alloc Amt'!P64/'Alloc Amt'!$E64</f>
        <v>4.7802353833497881E-4</v>
      </c>
      <c r="Q64" s="20">
        <f>'Alloc Amt'!Q64/'Alloc Amt'!$E64</f>
        <v>2.5793353422658231E-4</v>
      </c>
    </row>
    <row r="65" spans="2:17">
      <c r="B65" s="12" t="str">
        <f>'Alloc Amt'!B65</f>
        <v>Total Transformers</v>
      </c>
      <c r="C65" s="12" t="str">
        <f>'Alloc Amt'!C65</f>
        <v>D368.T</v>
      </c>
      <c r="D65" s="12">
        <f>'Alloc Amt'!D65</f>
        <v>59</v>
      </c>
      <c r="E65" s="20">
        <f t="shared" si="0"/>
        <v>1</v>
      </c>
      <c r="F65" s="20">
        <f>'Alloc Amt'!F65/'Alloc Amt'!$E65</f>
        <v>0.72855559295491423</v>
      </c>
      <c r="G65" s="20">
        <f>'Alloc Amt'!G65/'Alloc Amt'!$E65</f>
        <v>0.13338143014946943</v>
      </c>
      <c r="H65" s="20">
        <f>'Alloc Amt'!H65/'Alloc Amt'!$E65</f>
        <v>6.1854654551762117E-2</v>
      </c>
      <c r="I65" s="20">
        <f>'Alloc Amt'!I65/'Alloc Amt'!$E65</f>
        <v>1.9103054747425817E-2</v>
      </c>
      <c r="J65" s="20">
        <f>'Alloc Amt'!J65/'Alloc Amt'!$E65</f>
        <v>1.7790456926471579E-3</v>
      </c>
      <c r="K65" s="20">
        <f>'Alloc Amt'!K65/'Alloc Amt'!$E65</f>
        <v>0</v>
      </c>
      <c r="L65" s="20">
        <f>'Alloc Amt'!L65/'Alloc Amt'!$E65</f>
        <v>1.03316578671448E-4</v>
      </c>
      <c r="M65" s="20">
        <f>'Alloc Amt'!M65/'Alloc Amt'!$E65</f>
        <v>5.1200282590657632E-3</v>
      </c>
      <c r="N65" s="20">
        <f>'Alloc Amt'!N65/'Alloc Amt'!$E65</f>
        <v>0</v>
      </c>
      <c r="O65" s="20">
        <f>'Alloc Amt'!O65/'Alloc Amt'!$E65</f>
        <v>0</v>
      </c>
      <c r="P65" s="20">
        <f>'Alloc Amt'!P65/'Alloc Amt'!$E65</f>
        <v>5.0022230086521541E-2</v>
      </c>
      <c r="Q65" s="20">
        <f>'Alloc Amt'!Q65/'Alloc Amt'!$E65</f>
        <v>8.0646979522532434E-5</v>
      </c>
    </row>
    <row r="66" spans="2:17">
      <c r="B66" s="12" t="str">
        <f>'Alloc Amt'!B66</f>
        <v>Total Services</v>
      </c>
      <c r="C66" s="12" t="str">
        <f>'Alloc Amt'!C66</f>
        <v>D369.T</v>
      </c>
      <c r="D66" s="12">
        <f>'Alloc Amt'!D66</f>
        <v>60</v>
      </c>
      <c r="E66" s="20" t="e">
        <f t="shared" si="0"/>
        <v>#DIV/0!</v>
      </c>
      <c r="F66" s="20" t="e">
        <f>'Alloc Amt'!F66/'Alloc Amt'!$E66</f>
        <v>#DIV/0!</v>
      </c>
      <c r="G66" s="20" t="e">
        <f>'Alloc Amt'!G66/'Alloc Amt'!$E66</f>
        <v>#DIV/0!</v>
      </c>
      <c r="H66" s="20" t="e">
        <f>'Alloc Amt'!H66/'Alloc Amt'!$E66</f>
        <v>#DIV/0!</v>
      </c>
      <c r="I66" s="20" t="e">
        <f>'Alloc Amt'!I66/'Alloc Amt'!$E66</f>
        <v>#DIV/0!</v>
      </c>
      <c r="J66" s="20" t="e">
        <f>'Alloc Amt'!J66/'Alloc Amt'!$E66</f>
        <v>#DIV/0!</v>
      </c>
      <c r="K66" s="20" t="e">
        <f>'Alloc Amt'!K66/'Alloc Amt'!$E66</f>
        <v>#DIV/0!</v>
      </c>
      <c r="L66" s="20" t="e">
        <f>'Alloc Amt'!L66/'Alloc Amt'!$E66</f>
        <v>#DIV/0!</v>
      </c>
      <c r="M66" s="20" t="e">
        <f>'Alloc Amt'!M66/'Alloc Amt'!$E66</f>
        <v>#DIV/0!</v>
      </c>
      <c r="N66" s="20" t="e">
        <f>'Alloc Amt'!N66/'Alloc Amt'!$E66</f>
        <v>#DIV/0!</v>
      </c>
      <c r="O66" s="20" t="e">
        <f>'Alloc Amt'!O66/'Alloc Amt'!$E66</f>
        <v>#DIV/0!</v>
      </c>
      <c r="P66" s="20" t="e">
        <f>'Alloc Amt'!P66/'Alloc Amt'!$E66</f>
        <v>#DIV/0!</v>
      </c>
      <c r="Q66" s="20" t="e">
        <f>'Alloc Amt'!Q66/'Alloc Amt'!$E66</f>
        <v>#DIV/0!</v>
      </c>
    </row>
    <row r="67" spans="2:17">
      <c r="B67" s="12" t="str">
        <f>'Alloc Amt'!B67</f>
        <v>Total Meters</v>
      </c>
      <c r="C67" s="12" t="str">
        <f>'Alloc Amt'!C67</f>
        <v>D370.T</v>
      </c>
      <c r="D67" s="12">
        <f>'Alloc Amt'!D67</f>
        <v>61</v>
      </c>
      <c r="E67" s="20" t="e">
        <f t="shared" si="0"/>
        <v>#DIV/0!</v>
      </c>
      <c r="F67" s="20" t="e">
        <f>'Alloc Amt'!F67/'Alloc Amt'!$E67</f>
        <v>#DIV/0!</v>
      </c>
      <c r="G67" s="20" t="e">
        <f>'Alloc Amt'!G67/'Alloc Amt'!$E67</f>
        <v>#DIV/0!</v>
      </c>
      <c r="H67" s="20" t="e">
        <f>'Alloc Amt'!H67/'Alloc Amt'!$E67</f>
        <v>#DIV/0!</v>
      </c>
      <c r="I67" s="20" t="e">
        <f>'Alloc Amt'!I67/'Alloc Amt'!$E67</f>
        <v>#DIV/0!</v>
      </c>
      <c r="J67" s="20" t="e">
        <f>'Alloc Amt'!J67/'Alloc Amt'!$E67</f>
        <v>#DIV/0!</v>
      </c>
      <c r="K67" s="20" t="e">
        <f>'Alloc Amt'!K67/'Alloc Amt'!$E67</f>
        <v>#DIV/0!</v>
      </c>
      <c r="L67" s="20" t="e">
        <f>'Alloc Amt'!L67/'Alloc Amt'!$E67</f>
        <v>#DIV/0!</v>
      </c>
      <c r="M67" s="20" t="e">
        <f>'Alloc Amt'!M67/'Alloc Amt'!$E67</f>
        <v>#DIV/0!</v>
      </c>
      <c r="N67" s="20" t="e">
        <f>'Alloc Amt'!N67/'Alloc Amt'!$E67</f>
        <v>#DIV/0!</v>
      </c>
      <c r="O67" s="20" t="e">
        <f>'Alloc Amt'!O67/'Alloc Amt'!$E67</f>
        <v>#DIV/0!</v>
      </c>
      <c r="P67" s="20" t="e">
        <f>'Alloc Amt'!P67/'Alloc Amt'!$E67</f>
        <v>#DIV/0!</v>
      </c>
      <c r="Q67" s="20" t="e">
        <f>'Alloc Amt'!Q67/'Alloc Amt'!$E67</f>
        <v>#DIV/0!</v>
      </c>
    </row>
    <row r="68" spans="2:17">
      <c r="B68" s="12" t="str">
        <f>'Alloc Amt'!B68</f>
        <v>Adj Total Prod Trans Dist &amp; Cust Exp</v>
      </c>
      <c r="C68" s="12" t="str">
        <f>'Alloc Amt'!C68</f>
        <v>ADJPTDCE.T</v>
      </c>
      <c r="D68" s="12">
        <f>'Alloc Amt'!D68</f>
        <v>62</v>
      </c>
      <c r="E68" s="20">
        <f t="shared" si="0"/>
        <v>1.0000000000000002</v>
      </c>
      <c r="F68" s="20">
        <f>'Alloc Amt'!F68/'Alloc Amt'!$E68</f>
        <v>0.60384276723778163</v>
      </c>
      <c r="G68" s="20">
        <f>'Alloc Amt'!G68/'Alloc Amt'!$E68</f>
        <v>0.1259473469475601</v>
      </c>
      <c r="H68" s="20">
        <f>'Alloc Amt'!H68/'Alloc Amt'!$E68</f>
        <v>0.10183107323744334</v>
      </c>
      <c r="I68" s="20">
        <f>'Alloc Amt'!I68/'Alloc Amt'!$E68</f>
        <v>6.1169524991849751E-2</v>
      </c>
      <c r="J68" s="20">
        <f>'Alloc Amt'!J68/'Alloc Amt'!$E68</f>
        <v>4.3106563657652648E-2</v>
      </c>
      <c r="K68" s="20">
        <f>'Alloc Amt'!K68/'Alloc Amt'!$E68</f>
        <v>2.9672848723731029E-4</v>
      </c>
      <c r="L68" s="20">
        <f>'Alloc Amt'!L68/'Alloc Amt'!$E68</f>
        <v>6.0057319105102525E-3</v>
      </c>
      <c r="M68" s="20">
        <f>'Alloc Amt'!M68/'Alloc Amt'!$E68</f>
        <v>1.9963754240415989E-2</v>
      </c>
      <c r="N68" s="20">
        <f>'Alloc Amt'!N68/'Alloc Amt'!$E68</f>
        <v>1.6829118077530087E-2</v>
      </c>
      <c r="O68" s="20">
        <f>'Alloc Amt'!O68/'Alloc Amt'!$E68</f>
        <v>5.8199823937274721E-3</v>
      </c>
      <c r="P68" s="20">
        <f>'Alloc Amt'!P68/'Alloc Amt'!$E68</f>
        <v>1.4843158461198729E-2</v>
      </c>
      <c r="Q68" s="20">
        <f>'Alloc Amt'!Q68/'Alloc Amt'!$E68</f>
        <v>3.442503570927377E-4</v>
      </c>
    </row>
    <row r="69" spans="2:17">
      <c r="B69" s="12" t="str">
        <f>'Alloc Amt'!B69</f>
        <v>Cust Accts Exp - Total</v>
      </c>
      <c r="C69" s="12" t="str">
        <f>'Alloc Amt'!C69</f>
        <v>CAE.T</v>
      </c>
      <c r="D69" s="12">
        <f>'Alloc Amt'!D69</f>
        <v>63</v>
      </c>
      <c r="E69" s="20">
        <f t="shared" si="0"/>
        <v>0.99999999999999978</v>
      </c>
      <c r="F69" s="20">
        <f>'Alloc Amt'!F69/'Alloc Amt'!$E69</f>
        <v>0.87233112198206819</v>
      </c>
      <c r="G69" s="20">
        <f>'Alloc Amt'!G69/'Alloc Amt'!$E69</f>
        <v>0.1092394934197997</v>
      </c>
      <c r="H69" s="20">
        <f>'Alloc Amt'!H69/'Alloc Amt'!$E69</f>
        <v>7.5718965045429992E-3</v>
      </c>
      <c r="I69" s="20">
        <f>'Alloc Amt'!I69/'Alloc Amt'!$E69</f>
        <v>2.1614844512290077E-3</v>
      </c>
      <c r="J69" s="20">
        <f>'Alloc Amt'!J69/'Alloc Amt'!$E69</f>
        <v>8.7310804445098753E-4</v>
      </c>
      <c r="K69" s="20">
        <f>'Alloc Amt'!K69/'Alloc Amt'!$E69</f>
        <v>8.0220367440802033E-7</v>
      </c>
      <c r="L69" s="20">
        <f>'Alloc Amt'!L69/'Alloc Amt'!$E69</f>
        <v>1.7094312758114799E-4</v>
      </c>
      <c r="M69" s="20">
        <f>'Alloc Amt'!M69/'Alloc Amt'!$E69</f>
        <v>1.2045517252636828E-3</v>
      </c>
      <c r="N69" s="20">
        <f>'Alloc Amt'!N69/'Alloc Amt'!$E69</f>
        <v>6.8958595982671945E-4</v>
      </c>
      <c r="O69" s="20">
        <f>'Alloc Amt'!O69/'Alloc Amt'!$E69</f>
        <v>4.261048787361537E-3</v>
      </c>
      <c r="P69" s="20">
        <f>'Alloc Amt'!P69/'Alloc Amt'!$E69</f>
        <v>1.4905078563586275E-3</v>
      </c>
      <c r="Q69" s="20">
        <f>'Alloc Amt'!Q69/'Alloc Amt'!$E69</f>
        <v>5.4559378428183443E-6</v>
      </c>
    </row>
    <row r="70" spans="2:17">
      <c r="B70" s="12" t="str">
        <f>'Alloc Amt'!B70</f>
        <v>Cust Accts Exp - Subtotal ID902.00 to ID905.00</v>
      </c>
      <c r="C70" s="12" t="str">
        <f>'Alloc Amt'!C70</f>
        <v>CAES1.T</v>
      </c>
      <c r="D70" s="12">
        <f>'Alloc Amt'!D70</f>
        <v>64</v>
      </c>
      <c r="E70" s="20">
        <f t="shared" si="0"/>
        <v>0.99999999999999989</v>
      </c>
      <c r="F70" s="20">
        <f>'Alloc Amt'!F70/'Alloc Amt'!$E70</f>
        <v>0.8723311219820683</v>
      </c>
      <c r="G70" s="20">
        <f>'Alloc Amt'!G70/'Alloc Amt'!$E70</f>
        <v>0.1092394934197997</v>
      </c>
      <c r="H70" s="20">
        <f>'Alloc Amt'!H70/'Alloc Amt'!$E70</f>
        <v>7.5718965045430001E-3</v>
      </c>
      <c r="I70" s="20">
        <f>'Alloc Amt'!I70/'Alloc Amt'!$E70</f>
        <v>2.1614844512290077E-3</v>
      </c>
      <c r="J70" s="20">
        <f>'Alloc Amt'!J70/'Alloc Amt'!$E70</f>
        <v>8.7310804445098753E-4</v>
      </c>
      <c r="K70" s="20">
        <f>'Alloc Amt'!K70/'Alloc Amt'!$E70</f>
        <v>8.0220367440802033E-7</v>
      </c>
      <c r="L70" s="20">
        <f>'Alloc Amt'!L70/'Alloc Amt'!$E70</f>
        <v>1.7094312758114802E-4</v>
      </c>
      <c r="M70" s="20">
        <f>'Alloc Amt'!M70/'Alloc Amt'!$E70</f>
        <v>1.2045517252636828E-3</v>
      </c>
      <c r="N70" s="20">
        <f>'Alloc Amt'!N70/'Alloc Amt'!$E70</f>
        <v>6.8958595982671945E-4</v>
      </c>
      <c r="O70" s="20">
        <f>'Alloc Amt'!O70/'Alloc Amt'!$E70</f>
        <v>4.2610487873615379E-3</v>
      </c>
      <c r="P70" s="20">
        <f>'Alloc Amt'!P70/'Alloc Amt'!$E70</f>
        <v>1.4905078563586277E-3</v>
      </c>
      <c r="Q70" s="20">
        <f>'Alloc Amt'!Q70/'Alloc Amt'!$E70</f>
        <v>5.4559378428183443E-6</v>
      </c>
    </row>
    <row r="71" spans="2:17">
      <c r="B71" s="12" t="str">
        <f>'Alloc Amt'!B71</f>
        <v>Dist O&amp;M - ID581.00 to ID589.00 Subtotal</v>
      </c>
      <c r="C71" s="12" t="str">
        <f>'Alloc Amt'!C71</f>
        <v>DES1.T</v>
      </c>
      <c r="D71" s="12">
        <f>'Alloc Amt'!D71</f>
        <v>65</v>
      </c>
      <c r="E71" s="20">
        <f t="shared" si="0"/>
        <v>1.0000000000000002</v>
      </c>
      <c r="F71" s="20">
        <f>'Alloc Amt'!F71/'Alloc Amt'!$E71</f>
        <v>0.61060168316680785</v>
      </c>
      <c r="G71" s="20">
        <f>'Alloc Amt'!G71/'Alloc Amt'!$E71</f>
        <v>0.13869946322482804</v>
      </c>
      <c r="H71" s="20">
        <f>'Alloc Amt'!H71/'Alloc Amt'!$E71</f>
        <v>8.7457841863258362E-2</v>
      </c>
      <c r="I71" s="20">
        <f>'Alloc Amt'!I71/'Alloc Amt'!$E71</f>
        <v>3.4622537399346363E-2</v>
      </c>
      <c r="J71" s="20">
        <f>'Alloc Amt'!J71/'Alloc Amt'!$E71</f>
        <v>4.7455310807962475E-2</v>
      </c>
      <c r="K71" s="20">
        <f>'Alloc Amt'!K71/'Alloc Amt'!$E71</f>
        <v>3.9607504698807854E-4</v>
      </c>
      <c r="L71" s="20">
        <f>'Alloc Amt'!L71/'Alloc Amt'!$E71</f>
        <v>1.4057363148571912E-2</v>
      </c>
      <c r="M71" s="20">
        <f>'Alloc Amt'!M71/'Alloc Amt'!$E71</f>
        <v>1.0979487168724279E-2</v>
      </c>
      <c r="N71" s="20">
        <f>'Alloc Amt'!N71/'Alloc Amt'!$E71</f>
        <v>6.1638016508317895E-3</v>
      </c>
      <c r="O71" s="20">
        <f>'Alloc Amt'!O71/'Alloc Amt'!$E71</f>
        <v>3.2875071968698722E-3</v>
      </c>
      <c r="P71" s="20">
        <f>'Alloc Amt'!P71/'Alloc Amt'!$E71</f>
        <v>4.5526160082768503E-2</v>
      </c>
      <c r="Q71" s="20">
        <f>'Alloc Amt'!Q71/'Alloc Amt'!$E71</f>
        <v>7.5276924304251648E-4</v>
      </c>
    </row>
    <row r="72" spans="2:17">
      <c r="B72" s="12" t="str">
        <f>'Alloc Amt'!B72</f>
        <v>Dist O&amp;M - ID591.00 to ID597.00 Subtotal</v>
      </c>
      <c r="C72" s="12" t="str">
        <f>'Alloc Amt'!C72</f>
        <v>DES2.T</v>
      </c>
      <c r="D72" s="12">
        <f>'Alloc Amt'!D72</f>
        <v>66</v>
      </c>
      <c r="E72" s="20" t="e">
        <f t="shared" ref="E72:E125" si="1">SUM(F72:Q72)</f>
        <v>#DIV/0!</v>
      </c>
      <c r="F72" s="20" t="e">
        <f>'Alloc Amt'!F72/'Alloc Amt'!$E72</f>
        <v>#DIV/0!</v>
      </c>
      <c r="G72" s="20" t="e">
        <f>'Alloc Amt'!G72/'Alloc Amt'!$E72</f>
        <v>#DIV/0!</v>
      </c>
      <c r="H72" s="20" t="e">
        <f>'Alloc Amt'!H72/'Alloc Amt'!$E72</f>
        <v>#DIV/0!</v>
      </c>
      <c r="I72" s="20" t="e">
        <f>'Alloc Amt'!I72/'Alloc Amt'!$E72</f>
        <v>#DIV/0!</v>
      </c>
      <c r="J72" s="20" t="e">
        <f>'Alloc Amt'!J72/'Alloc Amt'!$E72</f>
        <v>#DIV/0!</v>
      </c>
      <c r="K72" s="20" t="e">
        <f>'Alloc Amt'!K72/'Alloc Amt'!$E72</f>
        <v>#DIV/0!</v>
      </c>
      <c r="L72" s="20" t="e">
        <f>'Alloc Amt'!L72/'Alloc Amt'!$E72</f>
        <v>#DIV/0!</v>
      </c>
      <c r="M72" s="20" t="e">
        <f>'Alloc Amt'!M72/'Alloc Amt'!$E72</f>
        <v>#DIV/0!</v>
      </c>
      <c r="N72" s="20" t="e">
        <f>'Alloc Amt'!N72/'Alloc Amt'!$E72</f>
        <v>#DIV/0!</v>
      </c>
      <c r="O72" s="20" t="e">
        <f>'Alloc Amt'!O72/'Alloc Amt'!$E72</f>
        <v>#DIV/0!</v>
      </c>
      <c r="P72" s="20" t="e">
        <f>'Alloc Amt'!P72/'Alloc Amt'!$E72</f>
        <v>#DIV/0!</v>
      </c>
      <c r="Q72" s="20" t="e">
        <f>'Alloc Amt'!Q72/'Alloc Amt'!$E72</f>
        <v>#DIV/0!</v>
      </c>
    </row>
    <row r="73" spans="2:17">
      <c r="B73" s="12" t="str">
        <f>'Alloc Amt'!B73</f>
        <v>Dist O&amp;M - ID582.00 to ID587.00 Subtotal</v>
      </c>
      <c r="C73" s="12" t="str">
        <f>'Alloc Amt'!C73</f>
        <v>DES3.T</v>
      </c>
      <c r="D73" s="12">
        <f>'Alloc Amt'!D73</f>
        <v>67</v>
      </c>
      <c r="E73" s="20">
        <f t="shared" si="1"/>
        <v>1.0000000000000002</v>
      </c>
      <c r="F73" s="20">
        <f>'Alloc Amt'!F73/'Alloc Amt'!$E73</f>
        <v>0.61060168316680785</v>
      </c>
      <c r="G73" s="20">
        <f>'Alloc Amt'!G73/'Alloc Amt'!$E73</f>
        <v>0.13869946322482807</v>
      </c>
      <c r="H73" s="20">
        <f>'Alloc Amt'!H73/'Alloc Amt'!$E73</f>
        <v>8.7457841863258376E-2</v>
      </c>
      <c r="I73" s="20">
        <f>'Alloc Amt'!I73/'Alloc Amt'!$E73</f>
        <v>3.4622537399346363E-2</v>
      </c>
      <c r="J73" s="20">
        <f>'Alloc Amt'!J73/'Alloc Amt'!$E73</f>
        <v>4.7455310807962482E-2</v>
      </c>
      <c r="K73" s="20">
        <f>'Alloc Amt'!K73/'Alloc Amt'!$E73</f>
        <v>3.9607504698807849E-4</v>
      </c>
      <c r="L73" s="20">
        <f>'Alloc Amt'!L73/'Alloc Amt'!$E73</f>
        <v>1.4057363148571912E-2</v>
      </c>
      <c r="M73" s="20">
        <f>'Alloc Amt'!M73/'Alloc Amt'!$E73</f>
        <v>1.0979487168724279E-2</v>
      </c>
      <c r="N73" s="20">
        <f>'Alloc Amt'!N73/'Alloc Amt'!$E73</f>
        <v>6.1638016508317895E-3</v>
      </c>
      <c r="O73" s="20">
        <f>'Alloc Amt'!O73/'Alloc Amt'!$E73</f>
        <v>3.2875071968698722E-3</v>
      </c>
      <c r="P73" s="20">
        <f>'Alloc Amt'!P73/'Alloc Amt'!$E73</f>
        <v>4.5526160082768503E-2</v>
      </c>
      <c r="Q73" s="20">
        <f>'Alloc Amt'!Q73/'Alloc Amt'!$E73</f>
        <v>7.5276924304251637E-4</v>
      </c>
    </row>
    <row r="74" spans="2:17">
      <c r="B74" s="12" t="str">
        <f>'Alloc Amt'!B74</f>
        <v>Total Distribution Plant</v>
      </c>
      <c r="C74" s="12" t="str">
        <f>'Alloc Amt'!C74</f>
        <v>DP.T</v>
      </c>
      <c r="D74" s="12">
        <f>'Alloc Amt'!D74</f>
        <v>68</v>
      </c>
      <c r="E74" s="20">
        <f t="shared" si="1"/>
        <v>1</v>
      </c>
      <c r="F74" s="20">
        <f>'Alloc Amt'!F74/'Alloc Amt'!$E74</f>
        <v>0.65137711172961332</v>
      </c>
      <c r="G74" s="20">
        <f>'Alloc Amt'!G74/'Alloc Amt'!$E74</f>
        <v>0.12143462962924183</v>
      </c>
      <c r="H74" s="20">
        <f>'Alloc Amt'!H74/'Alloc Amt'!$E74</f>
        <v>9.727424588731115E-2</v>
      </c>
      <c r="I74" s="20">
        <f>'Alloc Amt'!I74/'Alloc Amt'!$E74</f>
        <v>4.257417414897962E-2</v>
      </c>
      <c r="J74" s="20">
        <f>'Alloc Amt'!J74/'Alloc Amt'!$E74</f>
        <v>3.2997931005340271E-2</v>
      </c>
      <c r="K74" s="20">
        <f>'Alloc Amt'!K74/'Alloc Amt'!$E74</f>
        <v>3.5162786736672112E-4</v>
      </c>
      <c r="L74" s="20">
        <f>'Alloc Amt'!L74/'Alloc Amt'!$E74</f>
        <v>8.7661564063898113E-3</v>
      </c>
      <c r="M74" s="20">
        <f>'Alloc Amt'!M74/'Alloc Amt'!$E74</f>
        <v>1.4734614024038027E-2</v>
      </c>
      <c r="N74" s="20">
        <f>'Alloc Amt'!N74/'Alloc Amt'!$E74</f>
        <v>6.2929964016452096E-3</v>
      </c>
      <c r="O74" s="20">
        <f>'Alloc Amt'!O74/'Alloc Amt'!$E74</f>
        <v>2.0860894675010177E-3</v>
      </c>
      <c r="P74" s="20">
        <f>'Alloc Amt'!P74/'Alloc Amt'!$E74</f>
        <v>2.1756001045502293E-2</v>
      </c>
      <c r="Q74" s="20">
        <f>'Alloc Amt'!Q74/'Alloc Amt'!$E74</f>
        <v>3.5442238707086274E-4</v>
      </c>
    </row>
    <row r="75" spans="2:17">
      <c r="B75" s="12" t="str">
        <f>'Alloc Amt'!B75</f>
        <v>Total Elec Plant In Service</v>
      </c>
      <c r="C75" s="12" t="str">
        <f>'Alloc Amt'!C75</f>
        <v>EPIS.T</v>
      </c>
      <c r="D75" s="12">
        <f>'Alloc Amt'!D75</f>
        <v>69</v>
      </c>
      <c r="E75" s="20">
        <f t="shared" si="1"/>
        <v>0.99999999999999978</v>
      </c>
      <c r="F75" s="20">
        <f>'Alloc Amt'!F75/'Alloc Amt'!$E75</f>
        <v>0.55873179962475383</v>
      </c>
      <c r="G75" s="20">
        <f>'Alloc Amt'!G75/'Alloc Amt'!$E75</f>
        <v>0.12660152976298905</v>
      </c>
      <c r="H75" s="20">
        <f>'Alloc Amt'!H75/'Alloc Amt'!$E75</f>
        <v>0.11937911398512173</v>
      </c>
      <c r="I75" s="20">
        <f>'Alloc Amt'!I75/'Alloc Amt'!$E75</f>
        <v>7.1504691923048452E-2</v>
      </c>
      <c r="J75" s="20">
        <f>'Alloc Amt'!J75/'Alloc Amt'!$E75</f>
        <v>4.8727400621005418E-2</v>
      </c>
      <c r="K75" s="20">
        <f>'Alloc Amt'!K75/'Alloc Amt'!$E75</f>
        <v>2.8837116567161867E-4</v>
      </c>
      <c r="L75" s="20">
        <f>'Alloc Amt'!L75/'Alloc Amt'!$E75</f>
        <v>6.6096332031513449E-3</v>
      </c>
      <c r="M75" s="20">
        <f>'Alloc Amt'!M75/'Alloc Amt'!$E75</f>
        <v>2.51144891663596E-2</v>
      </c>
      <c r="N75" s="20">
        <f>'Alloc Amt'!N75/'Alloc Amt'!$E75</f>
        <v>2.0021697869760911E-2</v>
      </c>
      <c r="O75" s="20">
        <f>'Alloc Amt'!O75/'Alloc Amt'!$E75</f>
        <v>1.1539512391937961E-2</v>
      </c>
      <c r="P75" s="20">
        <f>'Alloc Amt'!P75/'Alloc Amt'!$E75</f>
        <v>1.1152919973460275E-2</v>
      </c>
      <c r="Q75" s="20">
        <f>'Alloc Amt'!Q75/'Alloc Amt'!$E75</f>
        <v>3.2884031273967086E-4</v>
      </c>
    </row>
    <row r="76" spans="2:17">
      <c r="B76" s="12" t="str">
        <f>'Alloc Amt'!B76</f>
        <v>Total General Plant</v>
      </c>
      <c r="C76" s="12" t="str">
        <f>'Alloc Amt'!C76</f>
        <v>GP.T</v>
      </c>
      <c r="D76" s="12">
        <f>'Alloc Amt'!D76</f>
        <v>70</v>
      </c>
      <c r="E76" s="20">
        <f t="shared" si="1"/>
        <v>1.0000000000000002</v>
      </c>
      <c r="F76" s="20">
        <f>'Alloc Amt'!F76/'Alloc Amt'!$E76</f>
        <v>0.59413847398503383</v>
      </c>
      <c r="G76" s="20">
        <f>'Alloc Amt'!G76/'Alloc Amt'!$E76</f>
        <v>0.12428726928819775</v>
      </c>
      <c r="H76" s="20">
        <f>'Alloc Amt'!H76/'Alloc Amt'!$E76</f>
        <v>0.10635172815616996</v>
      </c>
      <c r="I76" s="20">
        <f>'Alloc Amt'!I76/'Alloc Amt'!$E76</f>
        <v>6.3125296455472699E-2</v>
      </c>
      <c r="J76" s="20">
        <f>'Alloc Amt'!J76/'Alloc Amt'!$E76</f>
        <v>4.303432458524644E-2</v>
      </c>
      <c r="K76" s="20">
        <f>'Alloc Amt'!K76/'Alloc Amt'!$E76</f>
        <v>2.5723337520107978E-4</v>
      </c>
      <c r="L76" s="20">
        <f>'Alloc Amt'!L76/'Alloc Amt'!$E76</f>
        <v>5.9259717687797147E-3</v>
      </c>
      <c r="M76" s="20">
        <f>'Alloc Amt'!M76/'Alloc Amt'!$E76</f>
        <v>2.2209563022672831E-2</v>
      </c>
      <c r="N76" s="20">
        <f>'Alloc Amt'!N76/'Alloc Amt'!$E76</f>
        <v>1.7573455955602207E-2</v>
      </c>
      <c r="O76" s="20">
        <f>'Alloc Amt'!O76/'Alloc Amt'!$E76</f>
        <v>1.0597762300444959E-2</v>
      </c>
      <c r="P76" s="20">
        <f>'Alloc Amt'!P76/'Alloc Amt'!$E76</f>
        <v>1.2205960319467205E-2</v>
      </c>
      <c r="Q76" s="20">
        <f>'Alloc Amt'!Q76/'Alloc Amt'!$E76</f>
        <v>2.9296078771143231E-4</v>
      </c>
    </row>
    <row r="77" spans="2:17">
      <c r="B77" s="12" t="str">
        <f>'Alloc Amt'!B77</f>
        <v>Total Distribution OH &amp; UG Lines</v>
      </c>
      <c r="C77" s="12" t="str">
        <f>'Alloc Amt'!C77</f>
        <v>LINE.T</v>
      </c>
      <c r="D77" s="12">
        <f>'Alloc Amt'!D77</f>
        <v>71</v>
      </c>
      <c r="E77" s="20">
        <f t="shared" si="1"/>
        <v>0.99999999999999956</v>
      </c>
      <c r="F77" s="20">
        <f>'Alloc Amt'!F77/'Alloc Amt'!$E77</f>
        <v>0.66063118743606641</v>
      </c>
      <c r="G77" s="20">
        <f>'Alloc Amt'!G77/'Alloc Amt'!$E77</f>
        <v>0.12372956336703736</v>
      </c>
      <c r="H77" s="20">
        <f>'Alloc Amt'!H77/'Alloc Amt'!$E77</f>
        <v>0.1078156481752735</v>
      </c>
      <c r="I77" s="20">
        <f>'Alloc Amt'!I77/'Alloc Amt'!$E77</f>
        <v>4.5879988652518307E-2</v>
      </c>
      <c r="J77" s="20">
        <f>'Alloc Amt'!J77/'Alloc Amt'!$E77</f>
        <v>3.356525876739691E-2</v>
      </c>
      <c r="K77" s="20">
        <f>'Alloc Amt'!K77/'Alloc Amt'!$E77</f>
        <v>5.0460368374883268E-4</v>
      </c>
      <c r="L77" s="20">
        <f>'Alloc Amt'!L77/'Alloc Amt'!$E77</f>
        <v>1.0749500013775518E-2</v>
      </c>
      <c r="M77" s="20">
        <f>'Alloc Amt'!M77/'Alloc Amt'!$E77</f>
        <v>1.319053078679305E-2</v>
      </c>
      <c r="N77" s="20">
        <f>'Alloc Amt'!N77/'Alloc Amt'!$E77</f>
        <v>2.9939747360556344E-3</v>
      </c>
      <c r="O77" s="20">
        <f>'Alloc Amt'!O77/'Alloc Amt'!$E77</f>
        <v>0</v>
      </c>
      <c r="P77" s="20">
        <f>'Alloc Amt'!P77/'Alloc Amt'!$E77</f>
        <v>5.350446657978842E-4</v>
      </c>
      <c r="Q77" s="20">
        <f>'Alloc Amt'!Q77/'Alloc Amt'!$E77</f>
        <v>4.04699715536185E-4</v>
      </c>
    </row>
    <row r="78" spans="2:17">
      <c r="B78" s="12" t="str">
        <f>'Alloc Amt'!B78</f>
        <v>Sales of Electricity - Non Firm</v>
      </c>
      <c r="C78" s="12" t="str">
        <f>'Alloc Amt'!C78</f>
        <v>POWER.T</v>
      </c>
      <c r="D78" s="12">
        <f>'Alloc Amt'!D78</f>
        <v>72</v>
      </c>
      <c r="E78" s="20" t="e">
        <f t="shared" si="1"/>
        <v>#DIV/0!</v>
      </c>
      <c r="F78" s="20" t="e">
        <f>'Alloc Amt'!F78/'Alloc Amt'!$E78</f>
        <v>#DIV/0!</v>
      </c>
      <c r="G78" s="20" t="e">
        <f>'Alloc Amt'!G78/'Alloc Amt'!$E78</f>
        <v>#DIV/0!</v>
      </c>
      <c r="H78" s="20" t="e">
        <f>'Alloc Amt'!H78/'Alloc Amt'!$E78</f>
        <v>#DIV/0!</v>
      </c>
      <c r="I78" s="20" t="e">
        <f>'Alloc Amt'!I78/'Alloc Amt'!$E78</f>
        <v>#DIV/0!</v>
      </c>
      <c r="J78" s="20" t="e">
        <f>'Alloc Amt'!J78/'Alloc Amt'!$E78</f>
        <v>#DIV/0!</v>
      </c>
      <c r="K78" s="20" t="e">
        <f>'Alloc Amt'!K78/'Alloc Amt'!$E78</f>
        <v>#DIV/0!</v>
      </c>
      <c r="L78" s="20" t="e">
        <f>'Alloc Amt'!L78/'Alloc Amt'!$E78</f>
        <v>#DIV/0!</v>
      </c>
      <c r="M78" s="20" t="e">
        <f>'Alloc Amt'!M78/'Alloc Amt'!$E78</f>
        <v>#DIV/0!</v>
      </c>
      <c r="N78" s="20" t="e">
        <f>'Alloc Amt'!N78/'Alloc Amt'!$E78</f>
        <v>#DIV/0!</v>
      </c>
      <c r="O78" s="20" t="e">
        <f>'Alloc Amt'!O78/'Alloc Amt'!$E78</f>
        <v>#DIV/0!</v>
      </c>
      <c r="P78" s="20" t="e">
        <f>'Alloc Amt'!P78/'Alloc Amt'!$E78</f>
        <v>#DIV/0!</v>
      </c>
      <c r="Q78" s="20" t="e">
        <f>'Alloc Amt'!Q78/'Alloc Amt'!$E78</f>
        <v>#DIV/0!</v>
      </c>
    </row>
    <row r="79" spans="2:17">
      <c r="B79" s="12" t="str">
        <f>'Alloc Amt'!B79</f>
        <v>Total Production Plant</v>
      </c>
      <c r="C79" s="12" t="str">
        <f>'Alloc Amt'!C79</f>
        <v>PP.T</v>
      </c>
      <c r="D79" s="12">
        <f>'Alloc Amt'!D79</f>
        <v>73</v>
      </c>
      <c r="E79" s="20">
        <f t="shared" si="1"/>
        <v>1</v>
      </c>
      <c r="F79" s="20">
        <f>'Alloc Amt'!F79/'Alloc Amt'!$E79</f>
        <v>0.50261499999999992</v>
      </c>
      <c r="G79" s="20">
        <f>'Alloc Amt'!G79/'Alloc Amt'!$E79</f>
        <v>0.13264199999999998</v>
      </c>
      <c r="H79" s="20">
        <f>'Alloc Amt'!H79/'Alloc Amt'!$E79</f>
        <v>0.13791500000000001</v>
      </c>
      <c r="I79" s="20">
        <f>'Alloc Amt'!I79/'Alloc Amt'!$E79</f>
        <v>9.3181999999999987E-2</v>
      </c>
      <c r="J79" s="20">
        <f>'Alloc Amt'!J79/'Alloc Amt'!$E79</f>
        <v>6.0828999999999994E-2</v>
      </c>
      <c r="K79" s="20">
        <f>'Alloc Amt'!K79/'Alloc Amt'!$E79</f>
        <v>2.5499999999999996E-4</v>
      </c>
      <c r="L79" s="20">
        <f>'Alloc Amt'!L79/'Alloc Amt'!$E79</f>
        <v>5.3680000000000004E-3</v>
      </c>
      <c r="M79" s="20">
        <f>'Alloc Amt'!M79/'Alloc Amt'!$E79</f>
        <v>3.2869999999999996E-2</v>
      </c>
      <c r="N79" s="20">
        <f>'Alloc Amt'!N79/'Alloc Amt'!$E79</f>
        <v>2.9871999999999996E-2</v>
      </c>
      <c r="O79" s="20">
        <f>'Alloc Amt'!O79/'Alloc Amt'!$E79</f>
        <v>0</v>
      </c>
      <c r="P79" s="20">
        <f>'Alloc Amt'!P79/'Alloc Amt'!$E79</f>
        <v>4.1299999999999991E-3</v>
      </c>
      <c r="Q79" s="20">
        <f>'Alloc Amt'!Q79/'Alloc Amt'!$E79</f>
        <v>3.2200000000000002E-4</v>
      </c>
    </row>
    <row r="80" spans="2:17">
      <c r="B80" s="12" t="str">
        <f>'Alloc Amt'!B80</f>
        <v>Total Prod, Trans, Dist &amp; Gen Plant</v>
      </c>
      <c r="C80" s="12" t="str">
        <f>'Alloc Amt'!C80</f>
        <v>PTDGP.T</v>
      </c>
      <c r="D80" s="12">
        <f>'Alloc Amt'!D80</f>
        <v>74</v>
      </c>
      <c r="E80" s="20">
        <f t="shared" si="1"/>
        <v>0.99999999999999978</v>
      </c>
      <c r="F80" s="20">
        <f>'Alloc Amt'!F80/'Alloc Amt'!$E80</f>
        <v>0.55863851895338279</v>
      </c>
      <c r="G80" s="20">
        <f>'Alloc Amt'!G80/'Alloc Amt'!$E80</f>
        <v>0.12660513807077434</v>
      </c>
      <c r="H80" s="20">
        <f>'Alloc Amt'!H80/'Alloc Amt'!$E80</f>
        <v>0.11947175946606266</v>
      </c>
      <c r="I80" s="20">
        <f>'Alloc Amt'!I80/'Alloc Amt'!$E80</f>
        <v>7.1473375789586638E-2</v>
      </c>
      <c r="J80" s="20">
        <f>'Alloc Amt'!J80/'Alloc Amt'!$E80</f>
        <v>4.873044648566914E-2</v>
      </c>
      <c r="K80" s="20">
        <f>'Alloc Amt'!K80/'Alloc Amt'!$E80</f>
        <v>2.8931182178241669E-4</v>
      </c>
      <c r="L80" s="20">
        <f>'Alloc Amt'!L80/'Alloc Amt'!$E80</f>
        <v>6.6350294545608991E-3</v>
      </c>
      <c r="M80" s="20">
        <f>'Alloc Amt'!M80/'Alloc Amt'!$E80</f>
        <v>2.5101445477354545E-2</v>
      </c>
      <c r="N80" s="20">
        <f>'Alloc Amt'!N80/'Alloc Amt'!$E80</f>
        <v>1.9979898041230459E-2</v>
      </c>
      <c r="O80" s="20">
        <f>'Alloc Amt'!O80/'Alloc Amt'!$E80</f>
        <v>1.1546403091395889E-2</v>
      </c>
      <c r="P80" s="20">
        <f>'Alloc Amt'!P80/'Alloc Amt'!$E80</f>
        <v>1.1199042108505728E-2</v>
      </c>
      <c r="Q80" s="20">
        <f>'Alloc Amt'!Q80/'Alloc Amt'!$E80</f>
        <v>3.2963123969429825E-4</v>
      </c>
    </row>
    <row r="81" spans="2:17">
      <c r="B81" s="12" t="str">
        <f>'Alloc Amt'!B81</f>
        <v>Prod Trans Dist Allocation Factor</v>
      </c>
      <c r="C81" s="12" t="str">
        <f>'Alloc Amt'!C81</f>
        <v>PTDP.T</v>
      </c>
      <c r="D81" s="12">
        <f>'Alloc Amt'!D81</f>
        <v>75</v>
      </c>
      <c r="E81" s="20">
        <f t="shared" si="1"/>
        <v>0.99999999999999989</v>
      </c>
      <c r="F81" s="20">
        <f>'Alloc Amt'!F81/'Alloc Amt'!$E81</f>
        <v>0.55680545451343377</v>
      </c>
      <c r="G81" s="20">
        <f>'Alloc Amt'!G81/'Alloc Amt'!$E81</f>
        <v>0.12672482280947392</v>
      </c>
      <c r="H81" s="20">
        <f>'Alloc Amt'!H81/'Alloc Amt'!$E81</f>
        <v>0.12014922124942944</v>
      </c>
      <c r="I81" s="20">
        <f>'Alloc Amt'!I81/'Alloc Amt'!$E81</f>
        <v>7.1904434571368053E-2</v>
      </c>
      <c r="J81" s="20">
        <f>'Alloc Amt'!J81/'Alloc Amt'!$E81</f>
        <v>4.902456963292301E-2</v>
      </c>
      <c r="K81" s="20">
        <f>'Alloc Amt'!K81/'Alloc Amt'!$E81</f>
        <v>2.9096821429515731E-4</v>
      </c>
      <c r="L81" s="20">
        <f>'Alloc Amt'!L81/'Alloc Amt'!$E81</f>
        <v>6.6716421327606109E-3</v>
      </c>
      <c r="M81" s="20">
        <f>'Alloc Amt'!M81/'Alloc Amt'!$E81</f>
        <v>2.5250769804313927E-2</v>
      </c>
      <c r="N81" s="20">
        <f>'Alloc Amt'!N81/'Alloc Amt'!$E81</f>
        <v>2.0104156322967127E-2</v>
      </c>
      <c r="O81" s="20">
        <f>'Alloc Amt'!O81/'Alloc Amt'!$E81</f>
        <v>1.1595386806970372E-2</v>
      </c>
      <c r="P81" s="20">
        <f>'Alloc Amt'!P81/'Alloc Amt'!$E81</f>
        <v>1.114704919852021E-2</v>
      </c>
      <c r="Q81" s="20">
        <f>'Alloc Amt'!Q81/'Alloc Amt'!$E81</f>
        <v>3.3152474354428119E-4</v>
      </c>
    </row>
    <row r="82" spans="2:17">
      <c r="B82" s="12" t="str">
        <f>'Alloc Amt'!B82</f>
        <v>Total Ratebase</v>
      </c>
      <c r="C82" s="12" t="str">
        <f>'Alloc Amt'!C82</f>
        <v>RB.T</v>
      </c>
      <c r="D82" s="12">
        <f>'Alloc Amt'!D82</f>
        <v>76</v>
      </c>
      <c r="E82" s="20">
        <f t="shared" si="1"/>
        <v>1</v>
      </c>
      <c r="F82" s="20">
        <f>'Alloc Amt'!F82/'Alloc Amt'!$E82</f>
        <v>0.55436924864557791</v>
      </c>
      <c r="G82" s="20">
        <f>'Alloc Amt'!G82/'Alloc Amt'!$E82</f>
        <v>0.12307284038621322</v>
      </c>
      <c r="H82" s="20">
        <f>'Alloc Amt'!H82/'Alloc Amt'!$E82</f>
        <v>0.12202677894855751</v>
      </c>
      <c r="I82" s="20">
        <f>'Alloc Amt'!I82/'Alloc Amt'!$E82</f>
        <v>7.360227165533624E-2</v>
      </c>
      <c r="J82" s="20">
        <f>'Alloc Amt'!J82/'Alloc Amt'!$E82</f>
        <v>5.0394605234433364E-2</v>
      </c>
      <c r="K82" s="20">
        <f>'Alloc Amt'!K82/'Alloc Amt'!$E82</f>
        <v>2.8930345994553314E-4</v>
      </c>
      <c r="L82" s="20">
        <f>'Alloc Amt'!L82/'Alloc Amt'!$E82</f>
        <v>6.7666618720163474E-3</v>
      </c>
      <c r="M82" s="20">
        <f>'Alloc Amt'!M82/'Alloc Amt'!$E82</f>
        <v>2.5000151078018742E-2</v>
      </c>
      <c r="N82" s="20">
        <f>'Alloc Amt'!N82/'Alloc Amt'!$E82</f>
        <v>2.1145619520867395E-2</v>
      </c>
      <c r="O82" s="20">
        <f>'Alloc Amt'!O82/'Alloc Amt'!$E82</f>
        <v>1.1937805098791323E-2</v>
      </c>
      <c r="P82" s="20">
        <f>'Alloc Amt'!P82/'Alloc Amt'!$E82</f>
        <v>1.1053222000015288E-2</v>
      </c>
      <c r="Q82" s="20">
        <f>'Alloc Amt'!Q82/'Alloc Amt'!$E82</f>
        <v>3.414921002272037E-4</v>
      </c>
    </row>
    <row r="83" spans="2:17">
      <c r="B83" s="12" t="str">
        <f>'Alloc Amt'!B83</f>
        <v>REVFAC1 = (OME.T+DAE.T+RRB.T)</v>
      </c>
      <c r="C83" s="12" t="str">
        <f>'Alloc Amt'!C83</f>
        <v>REVFAC1.T</v>
      </c>
      <c r="D83" s="12">
        <f>'Alloc Amt'!D83</f>
        <v>77</v>
      </c>
      <c r="E83" s="20">
        <f t="shared" si="1"/>
        <v>1</v>
      </c>
      <c r="F83" s="20">
        <f>'Alloc Amt'!F83/'Alloc Amt'!$E83</f>
        <v>0.54557036579483309</v>
      </c>
      <c r="G83" s="20">
        <f>'Alloc Amt'!G83/'Alloc Amt'!$E83</f>
        <v>0.12863502597542073</v>
      </c>
      <c r="H83" s="20">
        <f>'Alloc Amt'!H83/'Alloc Amt'!$E83</f>
        <v>0.12390543802364083</v>
      </c>
      <c r="I83" s="20">
        <f>'Alloc Amt'!I83/'Alloc Amt'!$E83</f>
        <v>7.8218364408931346E-2</v>
      </c>
      <c r="J83" s="20">
        <f>'Alloc Amt'!J83/'Alloc Amt'!$E83</f>
        <v>5.2139812886529545E-2</v>
      </c>
      <c r="K83" s="20">
        <f>'Alloc Amt'!K83/'Alloc Amt'!$E83</f>
        <v>2.7106101525433492E-4</v>
      </c>
      <c r="L83" s="20">
        <f>'Alloc Amt'!L83/'Alloc Amt'!$E83</f>
        <v>5.9738119860745457E-3</v>
      </c>
      <c r="M83" s="20">
        <f>'Alloc Amt'!M83/'Alloc Amt'!$E83</f>
        <v>2.7001144026422282E-2</v>
      </c>
      <c r="N83" s="20">
        <f>'Alloc Amt'!N83/'Alloc Amt'!$E83</f>
        <v>2.3388318907369834E-2</v>
      </c>
      <c r="O83" s="20">
        <f>'Alloc Amt'!O83/'Alloc Amt'!$E83</f>
        <v>5.4898656032613359E-3</v>
      </c>
      <c r="P83" s="20">
        <f>'Alloc Amt'!P83/'Alloc Amt'!$E83</f>
        <v>9.0798418187756011E-3</v>
      </c>
      <c r="Q83" s="20">
        <f>'Alloc Amt'!Q83/'Alloc Amt'!$E83</f>
        <v>3.2694955348644498E-4</v>
      </c>
    </row>
    <row r="84" spans="2:17">
      <c r="B84" s="12" t="str">
        <f>'Alloc Amt'!B84</f>
        <v>Salary &amp; Wages - Total</v>
      </c>
      <c r="C84" s="12" t="str">
        <f>'Alloc Amt'!C84</f>
        <v>SW.T</v>
      </c>
      <c r="D84" s="12">
        <f>'Alloc Amt'!D84</f>
        <v>78</v>
      </c>
      <c r="E84" s="20">
        <f t="shared" si="1"/>
        <v>1.0000000000000002</v>
      </c>
      <c r="F84" s="20">
        <f>'Alloc Amt'!F84/'Alloc Amt'!$E84</f>
        <v>0.59684601721277974</v>
      </c>
      <c r="G84" s="20">
        <f>'Alloc Amt'!G84/'Alloc Amt'!$E84</f>
        <v>0.12411054778577979</v>
      </c>
      <c r="H84" s="20">
        <f>'Alloc Amt'!H84/'Alloc Amt'!$E84</f>
        <v>0.10533276323516987</v>
      </c>
      <c r="I84" s="20">
        <f>'Alloc Amt'!I84/'Alloc Amt'!$E84</f>
        <v>6.250331943593404E-2</v>
      </c>
      <c r="J84" s="20">
        <f>'Alloc Amt'!J84/'Alloc Amt'!$E84</f>
        <v>4.2602804300131539E-2</v>
      </c>
      <c r="K84" s="20">
        <f>'Alloc Amt'!K84/'Alloc Amt'!$E84</f>
        <v>2.5453349799321045E-4</v>
      </c>
      <c r="L84" s="20">
        <f>'Alloc Amt'!L84/'Alloc Amt'!$E84</f>
        <v>5.864948706835728E-3</v>
      </c>
      <c r="M84" s="20">
        <f>'Alloc Amt'!M84/'Alloc Amt'!$E84</f>
        <v>2.1994741787816248E-2</v>
      </c>
      <c r="N84" s="20">
        <f>'Alloc Amt'!N84/'Alloc Amt'!$E84</f>
        <v>1.7403734837711786E-2</v>
      </c>
      <c r="O84" s="20">
        <f>'Alloc Amt'!O84/'Alloc Amt'!$E84</f>
        <v>1.0528095691645431E-2</v>
      </c>
      <c r="P84" s="20">
        <f>'Alloc Amt'!P84/'Alloc Amt'!$E84</f>
        <v>1.2268536041311754E-2</v>
      </c>
      <c r="Q84" s="20">
        <f>'Alloc Amt'!Q84/'Alloc Amt'!$E84</f>
        <v>2.8995746689121799E-4</v>
      </c>
    </row>
    <row r="85" spans="2:17">
      <c r="B85" s="12" t="str">
        <f>'Alloc Amt'!B85</f>
        <v>Salary &amp; Wages - PTD Subtotal</v>
      </c>
      <c r="C85" s="12" t="str">
        <f>'Alloc Amt'!C85</f>
        <v>SWPTD.T</v>
      </c>
      <c r="D85" s="12">
        <f>'Alloc Amt'!D85</f>
        <v>79</v>
      </c>
      <c r="E85" s="20">
        <f t="shared" si="1"/>
        <v>1</v>
      </c>
      <c r="F85" s="20">
        <f>'Alloc Amt'!F85/'Alloc Amt'!$E85</f>
        <v>0.55898514777580377</v>
      </c>
      <c r="G85" s="20">
        <f>'Alloc Amt'!G85/'Alloc Amt'!$E85</f>
        <v>0.12658170811931102</v>
      </c>
      <c r="H85" s="20">
        <f>'Alloc Amt'!H85/'Alloc Amt'!$E85</f>
        <v>0.119587799966555</v>
      </c>
      <c r="I85" s="20">
        <f>'Alloc Amt'!I85/'Alloc Amt'!$E85</f>
        <v>7.1195605442045784E-2</v>
      </c>
      <c r="J85" s="20">
        <f>'Alloc Amt'!J85/'Alloc Amt'!$E85</f>
        <v>4.8635944921200727E-2</v>
      </c>
      <c r="K85" s="20">
        <f>'Alloc Amt'!K85/'Alloc Amt'!$E85</f>
        <v>2.923751821658964E-4</v>
      </c>
      <c r="L85" s="20">
        <f>'Alloc Amt'!L85/'Alloc Amt'!$E85</f>
        <v>6.7206762011938264E-3</v>
      </c>
      <c r="M85" s="20">
        <f>'Alloc Amt'!M85/'Alloc Amt'!$E85</f>
        <v>2.4996695304995955E-2</v>
      </c>
      <c r="N85" s="20">
        <f>'Alloc Amt'!N85/'Alloc Amt'!$E85</f>
        <v>1.9772225618788313E-2</v>
      </c>
      <c r="O85" s="20">
        <f>'Alloc Amt'!O85/'Alloc Amt'!$E85</f>
        <v>1.1501344090046673E-2</v>
      </c>
      <c r="P85" s="20">
        <f>'Alloc Amt'!P85/'Alloc Amt'!$E85</f>
        <v>1.1398451286260684E-2</v>
      </c>
      <c r="Q85" s="20">
        <f>'Alloc Amt'!Q85/'Alloc Amt'!$E85</f>
        <v>3.320260916324974E-4</v>
      </c>
    </row>
    <row r="86" spans="2:17">
      <c r="B86" s="12" t="str">
        <f>'Alloc Amt'!B86</f>
        <v>Total Transmission &amp; Distribution Plant</v>
      </c>
      <c r="C86" s="12" t="str">
        <f>'Alloc Amt'!C86</f>
        <v>TDP.T</v>
      </c>
      <c r="D86" s="12">
        <f>'Alloc Amt'!D86</f>
        <v>80</v>
      </c>
      <c r="E86" s="20">
        <f t="shared" si="1"/>
        <v>0.99999999999999989</v>
      </c>
      <c r="F86" s="20">
        <f>'Alloc Amt'!F86/'Alloc Amt'!$E86</f>
        <v>0.59966042550425047</v>
      </c>
      <c r="G86" s="20">
        <f>'Alloc Amt'!G86/'Alloc Amt'!$E86</f>
        <v>0.12204539247207655</v>
      </c>
      <c r="H86" s="20">
        <f>'Alloc Amt'!H86/'Alloc Amt'!$E86</f>
        <v>0.10609966326323048</v>
      </c>
      <c r="I86" s="20">
        <f>'Alloc Amt'!I86/'Alloc Amt'!$E86</f>
        <v>5.5077680535319556E-2</v>
      </c>
      <c r="J86" s="20">
        <f>'Alloc Amt'!J86/'Alloc Amt'!$E86</f>
        <v>3.9689373508690631E-2</v>
      </c>
      <c r="K86" s="20">
        <f>'Alloc Amt'!K86/'Alloc Amt'!$E86</f>
        <v>3.1941264780379909E-4</v>
      </c>
      <c r="L86" s="20">
        <f>'Alloc Amt'!L86/'Alloc Amt'!$E86</f>
        <v>7.7025902265436706E-3</v>
      </c>
      <c r="M86" s="20">
        <f>'Alloc Amt'!M86/'Alloc Amt'!$E86</f>
        <v>1.9225319530086462E-2</v>
      </c>
      <c r="N86" s="20">
        <f>'Alloc Amt'!N86/'Alloc Amt'!$E86</f>
        <v>1.2379536531887432E-2</v>
      </c>
      <c r="O86" s="20">
        <f>'Alloc Amt'!O86/'Alloc Amt'!$E86</f>
        <v>2.0765266810778543E-2</v>
      </c>
      <c r="P86" s="20">
        <f>'Alloc Amt'!P86/'Alloc Amt'!$E86</f>
        <v>1.6696281854783855E-2</v>
      </c>
      <c r="Q86" s="20">
        <f>'Alloc Amt'!Q86/'Alloc Amt'!$E86</f>
        <v>3.3905711454855009E-4</v>
      </c>
    </row>
    <row r="87" spans="2:17">
      <c r="B87" s="12" t="str">
        <f>'Alloc Amt'!B87</f>
        <v>Total Expenses Before FIT</v>
      </c>
      <c r="C87" s="12" t="str">
        <f>'Alloc Amt'!C87</f>
        <v>EBFIT.T</v>
      </c>
      <c r="D87" s="12">
        <f>'Alloc Amt'!D87</f>
        <v>81</v>
      </c>
      <c r="E87" s="20" t="e">
        <f t="shared" si="1"/>
        <v>#DIV/0!</v>
      </c>
      <c r="F87" s="20" t="e">
        <f>'Alloc Amt'!F87/'Alloc Amt'!$E87</f>
        <v>#DIV/0!</v>
      </c>
      <c r="G87" s="20" t="e">
        <f>'Alloc Amt'!G87/'Alloc Amt'!$E87</f>
        <v>#DIV/0!</v>
      </c>
      <c r="H87" s="20" t="e">
        <f>'Alloc Amt'!H87/'Alloc Amt'!$E87</f>
        <v>#DIV/0!</v>
      </c>
      <c r="I87" s="20" t="e">
        <f>'Alloc Amt'!I87/'Alloc Amt'!$E87</f>
        <v>#DIV/0!</v>
      </c>
      <c r="J87" s="20" t="e">
        <f>'Alloc Amt'!J87/'Alloc Amt'!$E87</f>
        <v>#DIV/0!</v>
      </c>
      <c r="K87" s="20" t="e">
        <f>'Alloc Amt'!K87/'Alloc Amt'!$E87</f>
        <v>#DIV/0!</v>
      </c>
      <c r="L87" s="20" t="e">
        <f>'Alloc Amt'!L87/'Alloc Amt'!$E87</f>
        <v>#DIV/0!</v>
      </c>
      <c r="M87" s="20" t="e">
        <f>'Alloc Amt'!M87/'Alloc Amt'!$E87</f>
        <v>#DIV/0!</v>
      </c>
      <c r="N87" s="20" t="e">
        <f>'Alloc Amt'!N87/'Alloc Amt'!$E87</f>
        <v>#DIV/0!</v>
      </c>
      <c r="O87" s="20" t="e">
        <f>'Alloc Amt'!O87/'Alloc Amt'!$E87</f>
        <v>#DIV/0!</v>
      </c>
      <c r="P87" s="20" t="e">
        <f>'Alloc Amt'!P87/'Alloc Amt'!$E87</f>
        <v>#DIV/0!</v>
      </c>
      <c r="Q87" s="20" t="e">
        <f>'Alloc Amt'!Q87/'Alloc Amt'!$E87</f>
        <v>#DIV/0!</v>
      </c>
    </row>
    <row r="88" spans="2:17">
      <c r="B88" s="12" t="str">
        <f>'Alloc Amt'!B88</f>
        <v>Total Transmission Plant</v>
      </c>
      <c r="C88" s="12" t="str">
        <f>'Alloc Amt'!C88</f>
        <v>TP.T</v>
      </c>
      <c r="D88" s="12">
        <f>'Alloc Amt'!D88</f>
        <v>82</v>
      </c>
      <c r="E88" s="20">
        <f t="shared" si="1"/>
        <v>1.0000000000000002</v>
      </c>
      <c r="F88" s="20">
        <f>'Alloc Amt'!F88/'Alloc Amt'!$E88</f>
        <v>0.46833840549386807</v>
      </c>
      <c r="G88" s="20">
        <f>'Alloc Amt'!G88/'Alloc Amt'!$E88</f>
        <v>0.1235962770341467</v>
      </c>
      <c r="H88" s="20">
        <f>'Alloc Amt'!H88/'Alloc Amt'!$E88</f>
        <v>0.12850967677782563</v>
      </c>
      <c r="I88" s="20">
        <f>'Alloc Amt'!I88/'Alloc Amt'!$E88</f>
        <v>8.6827311760949474E-2</v>
      </c>
      <c r="J88" s="20">
        <f>'Alloc Amt'!J88/'Alloc Amt'!$E88</f>
        <v>5.6680673811538657E-2</v>
      </c>
      <c r="K88" s="20">
        <f>'Alloc Amt'!K88/'Alloc Amt'!$E88</f>
        <v>2.376098870923796E-4</v>
      </c>
      <c r="L88" s="20">
        <f>'Alloc Amt'!L88/'Alloc Amt'!$E88</f>
        <v>5.0019210741642879E-3</v>
      </c>
      <c r="M88" s="20">
        <f>'Alloc Amt'!M88/'Alloc Amt'!$E88</f>
        <v>3.062838034794713E-2</v>
      </c>
      <c r="N88" s="20">
        <f>'Alloc Amt'!N88/'Alloc Amt'!$E88</f>
        <v>2.7834833518523776E-2</v>
      </c>
      <c r="O88" s="20">
        <f>'Alloc Amt'!O88/'Alloc Amt'!$E88</f>
        <v>6.8196521206354832E-2</v>
      </c>
      <c r="P88" s="20">
        <f>'Alloc Amt'!P88/'Alloc Amt'!$E88</f>
        <v>3.8483483674177556E-3</v>
      </c>
      <c r="Q88" s="20">
        <f>'Alloc Amt'!Q88/'Alloc Amt'!$E88</f>
        <v>3.0004072017155386E-4</v>
      </c>
    </row>
    <row r="89" spans="2:17">
      <c r="B89" s="12" t="str">
        <f>'Alloc Amt'!B89</f>
        <v>Prod Trans Dist Exp Allocation Factor</v>
      </c>
      <c r="C89" s="12" t="str">
        <f>'Alloc Amt'!C89</f>
        <v>PTDE.T</v>
      </c>
      <c r="D89" s="12">
        <f>'Alloc Amt'!D89</f>
        <v>83</v>
      </c>
      <c r="E89" s="20">
        <f t="shared" si="1"/>
        <v>1</v>
      </c>
      <c r="F89" s="20">
        <f>'Alloc Amt'!F89/'Alloc Amt'!$E89</f>
        <v>0.51525650147240631</v>
      </c>
      <c r="G89" s="20">
        <f>'Alloc Amt'!G89/'Alloc Amt'!$E89</f>
        <v>0.13375269607850102</v>
      </c>
      <c r="H89" s="20">
        <f>'Alloc Amt'!H89/'Alloc Amt'!$E89</f>
        <v>0.13576034403050888</v>
      </c>
      <c r="I89" s="20">
        <f>'Alloc Amt'!I89/'Alloc Amt'!$E89</f>
        <v>8.9156198715698451E-2</v>
      </c>
      <c r="J89" s="20">
        <f>'Alloc Amt'!J89/'Alloc Amt'!$E89</f>
        <v>5.8324624669802316E-2</v>
      </c>
      <c r="K89" s="20">
        <f>'Alloc Amt'!K89/'Alloc Amt'!$E89</f>
        <v>0</v>
      </c>
      <c r="L89" s="20">
        <f>'Alloc Amt'!L89/'Alloc Amt'!$E89</f>
        <v>0</v>
      </c>
      <c r="M89" s="20">
        <f>'Alloc Amt'!M89/'Alloc Amt'!$E89</f>
        <v>3.0797996396278636E-2</v>
      </c>
      <c r="N89" s="20">
        <f>'Alloc Amt'!N89/'Alloc Amt'!$E89</f>
        <v>2.7710191947026782E-2</v>
      </c>
      <c r="O89" s="20">
        <f>'Alloc Amt'!O89/'Alloc Amt'!$E89</f>
        <v>1.4979654616983356E-3</v>
      </c>
      <c r="P89" s="20">
        <f>'Alloc Amt'!P89/'Alloc Amt'!$E89</f>
        <v>7.4009950803178891E-3</v>
      </c>
      <c r="Q89" s="20">
        <f>'Alloc Amt'!Q89/'Alloc Amt'!$E89</f>
        <v>3.4248614776143907E-4</v>
      </c>
    </row>
    <row r="90" spans="2:17">
      <c r="B90" s="12" t="str">
        <f>'Alloc Amt'!B90</f>
        <v>Firm Sales Revenue</v>
      </c>
      <c r="C90" s="12">
        <f>'Alloc Amt'!C90</f>
        <v>0</v>
      </c>
      <c r="D90" s="12">
        <f>'Alloc Amt'!D90</f>
        <v>84</v>
      </c>
      <c r="E90" s="20">
        <f t="shared" si="1"/>
        <v>0.99999999999999978</v>
      </c>
      <c r="F90" s="20">
        <f>'Alloc Amt'!F90/'Alloc Amt'!$E90</f>
        <v>0.54617130014314774</v>
      </c>
      <c r="G90" s="20">
        <f>'Alloc Amt'!G90/'Alloc Amt'!$E90</f>
        <v>0.13668999331591813</v>
      </c>
      <c r="H90" s="20">
        <f>'Alloc Amt'!H90/'Alloc Amt'!$E90</f>
        <v>0.12951024738509248</v>
      </c>
      <c r="I90" s="20">
        <f>'Alloc Amt'!I90/'Alloc Amt'!$E90</f>
        <v>7.7747646857250594E-2</v>
      </c>
      <c r="J90" s="20">
        <f>'Alloc Amt'!J90/'Alloc Amt'!$E90</f>
        <v>5.1919591291845674E-2</v>
      </c>
      <c r="K90" s="20">
        <f>'Alloc Amt'!K90/'Alloc Amt'!$E90</f>
        <v>0</v>
      </c>
      <c r="L90" s="20">
        <f>'Alloc Amt'!L90/'Alloc Amt'!$E90</f>
        <v>0</v>
      </c>
      <c r="M90" s="20">
        <f>'Alloc Amt'!M90/'Alloc Amt'!$E90</f>
        <v>2.4494953635607719E-2</v>
      </c>
      <c r="N90" s="20">
        <f>'Alloc Amt'!N90/'Alloc Amt'!$E90</f>
        <v>2.0666563418062046E-2</v>
      </c>
      <c r="O90" s="20">
        <f>'Alloc Amt'!O90/'Alloc Amt'!$E90</f>
        <v>3.8472077053514592E-3</v>
      </c>
      <c r="P90" s="20">
        <f>'Alloc Amt'!P90/'Alloc Amt'!$E90</f>
        <v>8.7904878624786749E-3</v>
      </c>
      <c r="Q90" s="20">
        <f>'Alloc Amt'!Q90/'Alloc Amt'!$E90</f>
        <v>1.6200838524543584E-4</v>
      </c>
    </row>
    <row r="91" spans="2:17">
      <c r="B91" s="12">
        <f>'Alloc Amt'!B91</f>
        <v>0</v>
      </c>
      <c r="C91" s="12">
        <f>'Alloc Amt'!C91</f>
        <v>0</v>
      </c>
      <c r="D91" s="12">
        <f>'Alloc Amt'!D91</f>
        <v>85</v>
      </c>
      <c r="E91" s="20" t="e">
        <f t="shared" si="1"/>
        <v>#DIV/0!</v>
      </c>
      <c r="F91" s="20" t="e">
        <f>'Alloc Amt'!F91/'Alloc Amt'!$E91</f>
        <v>#DIV/0!</v>
      </c>
      <c r="G91" s="20" t="e">
        <f>'Alloc Amt'!G91/'Alloc Amt'!$E91</f>
        <v>#DIV/0!</v>
      </c>
      <c r="H91" s="20" t="e">
        <f>'Alloc Amt'!H91/'Alloc Amt'!$E91</f>
        <v>#DIV/0!</v>
      </c>
      <c r="I91" s="20" t="e">
        <f>'Alloc Amt'!I91/'Alloc Amt'!$E91</f>
        <v>#DIV/0!</v>
      </c>
      <c r="J91" s="20" t="e">
        <f>'Alloc Amt'!J91/'Alloc Amt'!$E91</f>
        <v>#DIV/0!</v>
      </c>
      <c r="K91" s="20" t="e">
        <f>'Alloc Amt'!K91/'Alloc Amt'!$E91</f>
        <v>#DIV/0!</v>
      </c>
      <c r="L91" s="20" t="e">
        <f>'Alloc Amt'!L91/'Alloc Amt'!$E91</f>
        <v>#DIV/0!</v>
      </c>
      <c r="M91" s="20" t="e">
        <f>'Alloc Amt'!M91/'Alloc Amt'!$E91</f>
        <v>#DIV/0!</v>
      </c>
      <c r="N91" s="20" t="e">
        <f>'Alloc Amt'!N91/'Alloc Amt'!$E91</f>
        <v>#DIV/0!</v>
      </c>
      <c r="O91" s="20" t="e">
        <f>'Alloc Amt'!O91/'Alloc Amt'!$E91</f>
        <v>#DIV/0!</v>
      </c>
      <c r="P91" s="20" t="e">
        <f>'Alloc Amt'!P91/'Alloc Amt'!$E91</f>
        <v>#DIV/0!</v>
      </c>
      <c r="Q91" s="20" t="e">
        <f>'Alloc Amt'!Q91/'Alloc Amt'!$E91</f>
        <v>#DIV/0!</v>
      </c>
    </row>
    <row r="92" spans="2:17">
      <c r="B92" s="12">
        <f>'Alloc Amt'!B92</f>
        <v>0</v>
      </c>
      <c r="C92" s="12">
        <f>'Alloc Amt'!C92</f>
        <v>0</v>
      </c>
      <c r="D92" s="12">
        <f>'Alloc Amt'!D92</f>
        <v>86</v>
      </c>
      <c r="E92" s="20" t="e">
        <f t="shared" si="1"/>
        <v>#DIV/0!</v>
      </c>
      <c r="F92" s="20" t="e">
        <f>'Alloc Amt'!F92/'Alloc Amt'!$E92</f>
        <v>#DIV/0!</v>
      </c>
      <c r="G92" s="20" t="e">
        <f>'Alloc Amt'!G92/'Alloc Amt'!$E92</f>
        <v>#DIV/0!</v>
      </c>
      <c r="H92" s="20" t="e">
        <f>'Alloc Amt'!H92/'Alloc Amt'!$E92</f>
        <v>#DIV/0!</v>
      </c>
      <c r="I92" s="20" t="e">
        <f>'Alloc Amt'!I92/'Alloc Amt'!$E92</f>
        <v>#DIV/0!</v>
      </c>
      <c r="J92" s="20" t="e">
        <f>'Alloc Amt'!J92/'Alloc Amt'!$E92</f>
        <v>#DIV/0!</v>
      </c>
      <c r="K92" s="20" t="e">
        <f>'Alloc Amt'!K92/'Alloc Amt'!$E92</f>
        <v>#DIV/0!</v>
      </c>
      <c r="L92" s="20" t="e">
        <f>'Alloc Amt'!L92/'Alloc Amt'!$E92</f>
        <v>#DIV/0!</v>
      </c>
      <c r="M92" s="20" t="e">
        <f>'Alloc Amt'!M92/'Alloc Amt'!$E92</f>
        <v>#DIV/0!</v>
      </c>
      <c r="N92" s="20" t="e">
        <f>'Alloc Amt'!N92/'Alloc Amt'!$E92</f>
        <v>#DIV/0!</v>
      </c>
      <c r="O92" s="20" t="e">
        <f>'Alloc Amt'!O92/'Alloc Amt'!$E92</f>
        <v>#DIV/0!</v>
      </c>
      <c r="P92" s="20" t="e">
        <f>'Alloc Amt'!P92/'Alloc Amt'!$E92</f>
        <v>#DIV/0!</v>
      </c>
      <c r="Q92" s="20" t="e">
        <f>'Alloc Amt'!Q92/'Alloc Amt'!$E92</f>
        <v>#DIV/0!</v>
      </c>
    </row>
    <row r="93" spans="2:17">
      <c r="B93" s="12" t="str">
        <f>'Alloc Amt'!B93</f>
        <v>Bulk Transmission Plt</v>
      </c>
      <c r="C93" s="12">
        <f>'Alloc Amt'!C93</f>
        <v>0</v>
      </c>
      <c r="D93" s="12">
        <f>'Alloc Amt'!D93</f>
        <v>87</v>
      </c>
      <c r="E93" s="20">
        <f t="shared" si="1"/>
        <v>0.99999999999999989</v>
      </c>
      <c r="F93" s="20">
        <f>'Alloc Amt'!F93/'Alloc Amt'!$E93</f>
        <v>0.46356712350556772</v>
      </c>
      <c r="G93" s="20">
        <f>'Alloc Amt'!G93/'Alloc Amt'!$E93</f>
        <v>0.12233711766665444</v>
      </c>
      <c r="H93" s="20">
        <f>'Alloc Amt'!H93/'Alloc Amt'!$E93</f>
        <v>0.12720046126412937</v>
      </c>
      <c r="I93" s="20">
        <f>'Alloc Amt'!I93/'Alloc Amt'!$E93</f>
        <v>8.5942742859834692E-2</v>
      </c>
      <c r="J93" s="20">
        <f>'Alloc Amt'!J93/'Alloc Amt'!$E93</f>
        <v>5.6103229222606132E-2</v>
      </c>
      <c r="K93" s="20">
        <f>'Alloc Amt'!K93/'Alloc Amt'!$E93</f>
        <v>2.3518919350580422E-4</v>
      </c>
      <c r="L93" s="20">
        <f>'Alloc Amt'!L93/'Alloc Amt'!$E93</f>
        <v>4.9509631009378701E-3</v>
      </c>
      <c r="M93" s="20">
        <f>'Alloc Amt'!M93/'Alloc Amt'!$E93</f>
        <v>3.0316348198179549E-2</v>
      </c>
      <c r="N93" s="20">
        <f>'Alloc Amt'!N93/'Alloc Amt'!$E93</f>
        <v>2.7551261131001502E-2</v>
      </c>
      <c r="O93" s="20">
        <f>'Alloc Amt'!O93/'Alloc Amt'!$E93</f>
        <v>7.7689437232140265E-2</v>
      </c>
      <c r="P93" s="20">
        <f>'Alloc Amt'!P93/'Alloc Amt'!$E93</f>
        <v>3.8091426242312602E-3</v>
      </c>
      <c r="Q93" s="20">
        <f>'Alloc Amt'!Q93/'Alloc Amt'!$E93</f>
        <v>2.969840012112508E-4</v>
      </c>
    </row>
    <row r="94" spans="2:17">
      <c r="B94" s="12" t="str">
        <f>'Alloc Amt'!B94</f>
        <v>Prob of Dispatch-- Generation Gross Plant-- 3-Year Average Loads</v>
      </c>
      <c r="C94" s="12">
        <f>'Alloc Amt'!C94</f>
        <v>0</v>
      </c>
      <c r="D94" s="12">
        <f>'Alloc Amt'!D94</f>
        <v>88</v>
      </c>
      <c r="E94" s="20">
        <f t="shared" si="1"/>
        <v>1</v>
      </c>
      <c r="F94" s="20">
        <f>'Alloc Amt'!F94/'Alloc Amt'!$E94</f>
        <v>0.50261500000000003</v>
      </c>
      <c r="G94" s="20">
        <f>'Alloc Amt'!G94/'Alloc Amt'!$E94</f>
        <v>0.13264200000000001</v>
      </c>
      <c r="H94" s="20">
        <f>'Alloc Amt'!H94/'Alloc Amt'!$E94</f>
        <v>0.13791500000000001</v>
      </c>
      <c r="I94" s="20">
        <f>'Alloc Amt'!I94/'Alloc Amt'!$E94</f>
        <v>9.3182000000000001E-2</v>
      </c>
      <c r="J94" s="20">
        <f>'Alloc Amt'!J94/'Alloc Amt'!$E94</f>
        <v>6.0829000000000001E-2</v>
      </c>
      <c r="K94" s="20">
        <f>'Alloc Amt'!K94/'Alloc Amt'!$E94</f>
        <v>2.5500000000000002E-4</v>
      </c>
      <c r="L94" s="20">
        <f>'Alloc Amt'!L94/'Alloc Amt'!$E94</f>
        <v>5.3680000000000004E-3</v>
      </c>
      <c r="M94" s="20">
        <f>'Alloc Amt'!M94/'Alloc Amt'!$E94</f>
        <v>3.2870000000000003E-2</v>
      </c>
      <c r="N94" s="20">
        <f>'Alloc Amt'!N94/'Alloc Amt'!$E94</f>
        <v>2.9871999999999999E-2</v>
      </c>
      <c r="O94" s="20">
        <f>'Alloc Amt'!O94/'Alloc Amt'!$E94</f>
        <v>0</v>
      </c>
      <c r="P94" s="20">
        <f>'Alloc Amt'!P94/'Alloc Amt'!$E94</f>
        <v>4.13E-3</v>
      </c>
      <c r="Q94" s="20">
        <f>'Alloc Amt'!Q94/'Alloc Amt'!$E94</f>
        <v>3.2200000000000002E-4</v>
      </c>
    </row>
    <row r="95" spans="2:17">
      <c r="B95" s="12" t="str">
        <f>'Alloc Amt'!B95</f>
        <v>Prob of Dispatch-- Generation Accum Depreciation-- 3-Year Average Loads</v>
      </c>
      <c r="C95" s="12">
        <f>'Alloc Amt'!C95</f>
        <v>0</v>
      </c>
      <c r="D95" s="12">
        <f>'Alloc Amt'!D95</f>
        <v>89</v>
      </c>
      <c r="E95" s="20">
        <f t="shared" si="1"/>
        <v>0.99999999999999989</v>
      </c>
      <c r="F95" s="20">
        <f>'Alloc Amt'!F95/'Alloc Amt'!$E95</f>
        <v>0.50065399999999993</v>
      </c>
      <c r="G95" s="20">
        <f>'Alloc Amt'!G95/'Alloc Amt'!$E95</f>
        <v>0.13309499999999996</v>
      </c>
      <c r="H95" s="20">
        <f>'Alloc Amt'!H95/'Alloc Amt'!$E95</f>
        <v>0.13891699999999998</v>
      </c>
      <c r="I95" s="20">
        <f>'Alloc Amt'!I95/'Alloc Amt'!$E95</f>
        <v>9.3733999999999984E-2</v>
      </c>
      <c r="J95" s="20">
        <f>'Alloc Amt'!J95/'Alloc Amt'!$E95</f>
        <v>6.0989999999999989E-2</v>
      </c>
      <c r="K95" s="20">
        <f>'Alloc Amt'!K95/'Alloc Amt'!$E95</f>
        <v>2.6799999999999995E-4</v>
      </c>
      <c r="L95" s="20">
        <f>'Alloc Amt'!L95/'Alloc Amt'!$E95</f>
        <v>5.3409999999999994E-3</v>
      </c>
      <c r="M95" s="20">
        <f>'Alloc Amt'!M95/'Alloc Amt'!$E95</f>
        <v>3.2864999999999991E-2</v>
      </c>
      <c r="N95" s="20">
        <f>'Alloc Amt'!N95/'Alloc Amt'!$E95</f>
        <v>2.9817999999999994E-2</v>
      </c>
      <c r="O95" s="20">
        <f>'Alloc Amt'!O95/'Alloc Amt'!$E95</f>
        <v>0</v>
      </c>
      <c r="P95" s="20">
        <f>'Alloc Amt'!P95/'Alloc Amt'!$E95</f>
        <v>4.0069999999999993E-3</v>
      </c>
      <c r="Q95" s="20">
        <f>'Alloc Amt'!Q95/'Alloc Amt'!$E95</f>
        <v>3.1099999999999997E-4</v>
      </c>
    </row>
    <row r="96" spans="2:17">
      <c r="B96" s="12" t="str">
        <f>'Alloc Amt'!B96</f>
        <v>Time Differentiated  Fuel Cost-- 3-Year Average Loads-- Adjusted kwh</v>
      </c>
      <c r="C96" s="12">
        <f>'Alloc Amt'!C96</f>
        <v>0</v>
      </c>
      <c r="D96" s="12">
        <f>'Alloc Amt'!D96</f>
        <v>90</v>
      </c>
      <c r="E96" s="20">
        <f t="shared" si="1"/>
        <v>1</v>
      </c>
      <c r="F96" s="20">
        <f>'Alloc Amt'!F96/'Alloc Amt'!$E96</f>
        <v>0.50022700226777272</v>
      </c>
      <c r="G96" s="20">
        <f>'Alloc Amt'!G96/'Alloc Amt'!$E96</f>
        <v>0.13738581468421118</v>
      </c>
      <c r="H96" s="20">
        <f>'Alloc Amt'!H96/'Alloc Amt'!$E96</f>
        <v>0.14127517743793652</v>
      </c>
      <c r="I96" s="20">
        <f>'Alloc Amt'!I96/'Alloc Amt'!$E96</f>
        <v>9.3116851712093426E-2</v>
      </c>
      <c r="J96" s="20">
        <f>'Alloc Amt'!J96/'Alloc Amt'!$E96</f>
        <v>5.6715464841309848E-2</v>
      </c>
      <c r="K96" s="20">
        <f>'Alloc Amt'!K96/'Alloc Amt'!$E96</f>
        <v>2.1981824941664702E-4</v>
      </c>
      <c r="L96" s="20">
        <f>'Alloc Amt'!L96/'Alloc Amt'!$E96</f>
        <v>5.1282369928246745E-3</v>
      </c>
      <c r="M96" s="20">
        <f>'Alloc Amt'!M96/'Alloc Amt'!$E96</f>
        <v>3.2096131096065482E-2</v>
      </c>
      <c r="N96" s="20">
        <f>'Alloc Amt'!N96/'Alloc Amt'!$E96</f>
        <v>2.9592531770040193E-2</v>
      </c>
      <c r="O96" s="20">
        <f>'Alloc Amt'!O96/'Alloc Amt'!$E96</f>
        <v>0</v>
      </c>
      <c r="P96" s="20">
        <f>'Alloc Amt'!P96/'Alloc Amt'!$E96</f>
        <v>3.944564526984576E-3</v>
      </c>
      <c r="Q96" s="20">
        <f>'Alloc Amt'!Q96/'Alloc Amt'!$E96</f>
        <v>2.984064213448417E-4</v>
      </c>
    </row>
    <row r="97" spans="2:17">
      <c r="B97" s="12" t="str">
        <f>'Alloc Amt'!B97</f>
        <v>Bulk Transmission -- load factor-- Prob Dispatch</v>
      </c>
      <c r="C97" s="12">
        <f>'Alloc Amt'!C97</f>
        <v>0</v>
      </c>
      <c r="D97" s="12">
        <f>'Alloc Amt'!D97</f>
        <v>91</v>
      </c>
      <c r="E97" s="20">
        <f t="shared" si="1"/>
        <v>0.99999999999999989</v>
      </c>
      <c r="F97" s="20">
        <f>'Alloc Amt'!F97/'Alloc Amt'!$E97</f>
        <v>0.46356712350556772</v>
      </c>
      <c r="G97" s="20">
        <f>'Alloc Amt'!G97/'Alloc Amt'!$E97</f>
        <v>0.12233711766665444</v>
      </c>
      <c r="H97" s="20">
        <f>'Alloc Amt'!H97/'Alloc Amt'!$E97</f>
        <v>0.12720046126412937</v>
      </c>
      <c r="I97" s="20">
        <f>'Alloc Amt'!I97/'Alloc Amt'!$E97</f>
        <v>8.5942742859834692E-2</v>
      </c>
      <c r="J97" s="20">
        <f>'Alloc Amt'!J97/'Alloc Amt'!$E97</f>
        <v>5.6103229222606132E-2</v>
      </c>
      <c r="K97" s="20">
        <f>'Alloc Amt'!K97/'Alloc Amt'!$E97</f>
        <v>2.3518919350580422E-4</v>
      </c>
      <c r="L97" s="20">
        <f>'Alloc Amt'!L97/'Alloc Amt'!$E97</f>
        <v>4.9509631009378701E-3</v>
      </c>
      <c r="M97" s="20">
        <f>'Alloc Amt'!M97/'Alloc Amt'!$E97</f>
        <v>3.0316348198179549E-2</v>
      </c>
      <c r="N97" s="20">
        <f>'Alloc Amt'!N97/'Alloc Amt'!$E97</f>
        <v>2.7551261131001502E-2</v>
      </c>
      <c r="O97" s="20">
        <f>'Alloc Amt'!O97/'Alloc Amt'!$E97</f>
        <v>7.7689437232140265E-2</v>
      </c>
      <c r="P97" s="20">
        <f>'Alloc Amt'!P97/'Alloc Amt'!$E97</f>
        <v>3.8091426242312602E-3</v>
      </c>
      <c r="Q97" s="20">
        <f>'Alloc Amt'!Q97/'Alloc Amt'!$E97</f>
        <v>2.969840012112508E-4</v>
      </c>
    </row>
    <row r="98" spans="2:17">
      <c r="B98" s="12">
        <f>'Alloc Amt'!B98</f>
        <v>0</v>
      </c>
      <c r="C98" s="12">
        <f>'Alloc Amt'!C98</f>
        <v>0</v>
      </c>
      <c r="D98" s="12">
        <f>'Alloc Amt'!D98</f>
        <v>92</v>
      </c>
      <c r="E98" s="20" t="e">
        <f t="shared" si="1"/>
        <v>#DIV/0!</v>
      </c>
      <c r="F98" s="20" t="e">
        <f>'Alloc Amt'!F98/'Alloc Amt'!$E98</f>
        <v>#DIV/0!</v>
      </c>
      <c r="G98" s="20" t="e">
        <f>'Alloc Amt'!G98/'Alloc Amt'!$E98</f>
        <v>#DIV/0!</v>
      </c>
      <c r="H98" s="20" t="e">
        <f>'Alloc Amt'!H98/'Alloc Amt'!$E98</f>
        <v>#DIV/0!</v>
      </c>
      <c r="I98" s="20" t="e">
        <f>'Alloc Amt'!I98/'Alloc Amt'!$E98</f>
        <v>#DIV/0!</v>
      </c>
      <c r="J98" s="20" t="e">
        <f>'Alloc Amt'!J98/'Alloc Amt'!$E98</f>
        <v>#DIV/0!</v>
      </c>
      <c r="K98" s="20" t="e">
        <f>'Alloc Amt'!K98/'Alloc Amt'!$E98</f>
        <v>#DIV/0!</v>
      </c>
      <c r="L98" s="20" t="e">
        <f>'Alloc Amt'!L98/'Alloc Amt'!$E98</f>
        <v>#DIV/0!</v>
      </c>
      <c r="M98" s="20" t="e">
        <f>'Alloc Amt'!M98/'Alloc Amt'!$E98</f>
        <v>#DIV/0!</v>
      </c>
      <c r="N98" s="20" t="e">
        <f>'Alloc Amt'!N98/'Alloc Amt'!$E98</f>
        <v>#DIV/0!</v>
      </c>
      <c r="O98" s="20" t="e">
        <f>'Alloc Amt'!O98/'Alloc Amt'!$E98</f>
        <v>#DIV/0!</v>
      </c>
      <c r="P98" s="20" t="e">
        <f>'Alloc Amt'!P98/'Alloc Amt'!$E98</f>
        <v>#DIV/0!</v>
      </c>
      <c r="Q98" s="20" t="e">
        <f>'Alloc Amt'!Q98/'Alloc Amt'!$E98</f>
        <v>#DIV/0!</v>
      </c>
    </row>
    <row r="99" spans="2:17">
      <c r="B99" s="12">
        <f>'Alloc Amt'!B99</f>
        <v>0</v>
      </c>
      <c r="C99" s="12">
        <f>'Alloc Amt'!C99</f>
        <v>0</v>
      </c>
      <c r="D99" s="12">
        <f>'Alloc Amt'!D99</f>
        <v>93</v>
      </c>
      <c r="E99" s="20" t="e">
        <f t="shared" si="1"/>
        <v>#DIV/0!</v>
      </c>
      <c r="F99" s="20" t="e">
        <f>'Alloc Amt'!F99/'Alloc Amt'!$E99</f>
        <v>#DIV/0!</v>
      </c>
      <c r="G99" s="20" t="e">
        <f>'Alloc Amt'!G99/'Alloc Amt'!$E99</f>
        <v>#DIV/0!</v>
      </c>
      <c r="H99" s="20" t="e">
        <f>'Alloc Amt'!H99/'Alloc Amt'!$E99</f>
        <v>#DIV/0!</v>
      </c>
      <c r="I99" s="20" t="e">
        <f>'Alloc Amt'!I99/'Alloc Amt'!$E99</f>
        <v>#DIV/0!</v>
      </c>
      <c r="J99" s="20" t="e">
        <f>'Alloc Amt'!J99/'Alloc Amt'!$E99</f>
        <v>#DIV/0!</v>
      </c>
      <c r="K99" s="20" t="e">
        <f>'Alloc Amt'!K99/'Alloc Amt'!$E99</f>
        <v>#DIV/0!</v>
      </c>
      <c r="L99" s="20" t="e">
        <f>'Alloc Amt'!L99/'Alloc Amt'!$E99</f>
        <v>#DIV/0!</v>
      </c>
      <c r="M99" s="20" t="e">
        <f>'Alloc Amt'!M99/'Alloc Amt'!$E99</f>
        <v>#DIV/0!</v>
      </c>
      <c r="N99" s="20" t="e">
        <f>'Alloc Amt'!N99/'Alloc Amt'!$E99</f>
        <v>#DIV/0!</v>
      </c>
      <c r="O99" s="20" t="e">
        <f>'Alloc Amt'!O99/'Alloc Amt'!$E99</f>
        <v>#DIV/0!</v>
      </c>
      <c r="P99" s="20" t="e">
        <f>'Alloc Amt'!P99/'Alloc Amt'!$E99</f>
        <v>#DIV/0!</v>
      </c>
      <c r="Q99" s="20" t="e">
        <f>'Alloc Amt'!Q99/'Alloc Amt'!$E99</f>
        <v>#DIV/0!</v>
      </c>
    </row>
    <row r="100" spans="2:17">
      <c r="B100" s="12">
        <f>'Alloc Amt'!B100</f>
        <v>0</v>
      </c>
      <c r="C100" s="12">
        <f>'Alloc Amt'!C100</f>
        <v>0</v>
      </c>
      <c r="D100" s="12">
        <f>'Alloc Amt'!D100</f>
        <v>94</v>
      </c>
      <c r="E100" s="20" t="e">
        <f t="shared" si="1"/>
        <v>#DIV/0!</v>
      </c>
      <c r="F100" s="20" t="e">
        <f>'Alloc Amt'!F100/'Alloc Amt'!$E100</f>
        <v>#DIV/0!</v>
      </c>
      <c r="G100" s="20" t="e">
        <f>'Alloc Amt'!G100/'Alloc Amt'!$E100</f>
        <v>#DIV/0!</v>
      </c>
      <c r="H100" s="20" t="e">
        <f>'Alloc Amt'!H100/'Alloc Amt'!$E100</f>
        <v>#DIV/0!</v>
      </c>
      <c r="I100" s="20" t="e">
        <f>'Alloc Amt'!I100/'Alloc Amt'!$E100</f>
        <v>#DIV/0!</v>
      </c>
      <c r="J100" s="20" t="e">
        <f>'Alloc Amt'!J100/'Alloc Amt'!$E100</f>
        <v>#DIV/0!</v>
      </c>
      <c r="K100" s="20" t="e">
        <f>'Alloc Amt'!K100/'Alloc Amt'!$E100</f>
        <v>#DIV/0!</v>
      </c>
      <c r="L100" s="20" t="e">
        <f>'Alloc Amt'!L100/'Alloc Amt'!$E100</f>
        <v>#DIV/0!</v>
      </c>
      <c r="M100" s="20" t="e">
        <f>'Alloc Amt'!M100/'Alloc Amt'!$E100</f>
        <v>#DIV/0!</v>
      </c>
      <c r="N100" s="20" t="e">
        <f>'Alloc Amt'!N100/'Alloc Amt'!$E100</f>
        <v>#DIV/0!</v>
      </c>
      <c r="O100" s="20" t="e">
        <f>'Alloc Amt'!O100/'Alloc Amt'!$E100</f>
        <v>#DIV/0!</v>
      </c>
      <c r="P100" s="20" t="e">
        <f>'Alloc Amt'!P100/'Alloc Amt'!$E100</f>
        <v>#DIV/0!</v>
      </c>
      <c r="Q100" s="20" t="e">
        <f>'Alloc Amt'!Q100/'Alloc Amt'!$E100</f>
        <v>#DIV/0!</v>
      </c>
    </row>
    <row r="101" spans="2:17">
      <c r="B101" s="12">
        <f>'Alloc Amt'!B101</f>
        <v>0</v>
      </c>
      <c r="C101" s="12">
        <f>'Alloc Amt'!C101</f>
        <v>0</v>
      </c>
      <c r="D101" s="12">
        <f>'Alloc Amt'!D101</f>
        <v>95</v>
      </c>
      <c r="E101" s="20" t="e">
        <f t="shared" si="1"/>
        <v>#DIV/0!</v>
      </c>
      <c r="F101" s="20" t="e">
        <f>'Alloc Amt'!F101/'Alloc Amt'!$E101</f>
        <v>#DIV/0!</v>
      </c>
      <c r="G101" s="20" t="e">
        <f>'Alloc Amt'!G101/'Alloc Amt'!$E101</f>
        <v>#DIV/0!</v>
      </c>
      <c r="H101" s="20" t="e">
        <f>'Alloc Amt'!H101/'Alloc Amt'!$E101</f>
        <v>#DIV/0!</v>
      </c>
      <c r="I101" s="20" t="e">
        <f>'Alloc Amt'!I101/'Alloc Amt'!$E101</f>
        <v>#DIV/0!</v>
      </c>
      <c r="J101" s="20" t="e">
        <f>'Alloc Amt'!J101/'Alloc Amt'!$E101</f>
        <v>#DIV/0!</v>
      </c>
      <c r="K101" s="20" t="e">
        <f>'Alloc Amt'!K101/'Alloc Amt'!$E101</f>
        <v>#DIV/0!</v>
      </c>
      <c r="L101" s="20" t="e">
        <f>'Alloc Amt'!L101/'Alloc Amt'!$E101</f>
        <v>#DIV/0!</v>
      </c>
      <c r="M101" s="20" t="e">
        <f>'Alloc Amt'!M101/'Alloc Amt'!$E101</f>
        <v>#DIV/0!</v>
      </c>
      <c r="N101" s="20" t="e">
        <f>'Alloc Amt'!N101/'Alloc Amt'!$E101</f>
        <v>#DIV/0!</v>
      </c>
      <c r="O101" s="20" t="e">
        <f>'Alloc Amt'!O101/'Alloc Amt'!$E101</f>
        <v>#DIV/0!</v>
      </c>
      <c r="P101" s="20" t="e">
        <f>'Alloc Amt'!P101/'Alloc Amt'!$E101</f>
        <v>#DIV/0!</v>
      </c>
      <c r="Q101" s="20" t="e">
        <f>'Alloc Amt'!Q101/'Alloc Amt'!$E101</f>
        <v>#DIV/0!</v>
      </c>
    </row>
    <row r="102" spans="2:17">
      <c r="B102" s="12">
        <f>'Alloc Amt'!B102</f>
        <v>0</v>
      </c>
      <c r="C102" s="12">
        <f>'Alloc Amt'!C102</f>
        <v>0</v>
      </c>
      <c r="D102" s="12">
        <f>'Alloc Amt'!D102</f>
        <v>96</v>
      </c>
      <c r="E102" s="20" t="e">
        <f t="shared" si="1"/>
        <v>#DIV/0!</v>
      </c>
      <c r="F102" s="20" t="e">
        <f>'Alloc Amt'!F102/'Alloc Amt'!$E102</f>
        <v>#DIV/0!</v>
      </c>
      <c r="G102" s="20" t="e">
        <f>'Alloc Amt'!G102/'Alloc Amt'!$E102</f>
        <v>#DIV/0!</v>
      </c>
      <c r="H102" s="20" t="e">
        <f>'Alloc Amt'!H102/'Alloc Amt'!$E102</f>
        <v>#DIV/0!</v>
      </c>
      <c r="I102" s="20" t="e">
        <f>'Alloc Amt'!I102/'Alloc Amt'!$E102</f>
        <v>#DIV/0!</v>
      </c>
      <c r="J102" s="20" t="e">
        <f>'Alloc Amt'!J102/'Alloc Amt'!$E102</f>
        <v>#DIV/0!</v>
      </c>
      <c r="K102" s="20" t="e">
        <f>'Alloc Amt'!K102/'Alloc Amt'!$E102</f>
        <v>#DIV/0!</v>
      </c>
      <c r="L102" s="20" t="e">
        <f>'Alloc Amt'!L102/'Alloc Amt'!$E102</f>
        <v>#DIV/0!</v>
      </c>
      <c r="M102" s="20" t="e">
        <f>'Alloc Amt'!M102/'Alloc Amt'!$E102</f>
        <v>#DIV/0!</v>
      </c>
      <c r="N102" s="20" t="e">
        <f>'Alloc Amt'!N102/'Alloc Amt'!$E102</f>
        <v>#DIV/0!</v>
      </c>
      <c r="O102" s="20" t="e">
        <f>'Alloc Amt'!O102/'Alloc Amt'!$E102</f>
        <v>#DIV/0!</v>
      </c>
      <c r="P102" s="20" t="e">
        <f>'Alloc Amt'!P102/'Alloc Amt'!$E102</f>
        <v>#DIV/0!</v>
      </c>
      <c r="Q102" s="20" t="e">
        <f>'Alloc Amt'!Q102/'Alloc Amt'!$E102</f>
        <v>#DIV/0!</v>
      </c>
    </row>
    <row r="103" spans="2:17">
      <c r="B103" s="12">
        <f>'Alloc Amt'!B103</f>
        <v>0</v>
      </c>
      <c r="C103" s="12">
        <f>'Alloc Amt'!C103</f>
        <v>0</v>
      </c>
      <c r="D103" s="12">
        <f>'Alloc Amt'!D103</f>
        <v>97</v>
      </c>
      <c r="E103" s="20" t="e">
        <f t="shared" si="1"/>
        <v>#DIV/0!</v>
      </c>
      <c r="F103" s="20" t="e">
        <f>'Alloc Amt'!F103/'Alloc Amt'!$E103</f>
        <v>#DIV/0!</v>
      </c>
      <c r="G103" s="20" t="e">
        <f>'Alloc Amt'!G103/'Alloc Amt'!$E103</f>
        <v>#DIV/0!</v>
      </c>
      <c r="H103" s="20" t="e">
        <f>'Alloc Amt'!H103/'Alloc Amt'!$E103</f>
        <v>#DIV/0!</v>
      </c>
      <c r="I103" s="20" t="e">
        <f>'Alloc Amt'!I103/'Alloc Amt'!$E103</f>
        <v>#DIV/0!</v>
      </c>
      <c r="J103" s="20" t="e">
        <f>'Alloc Amt'!J103/'Alloc Amt'!$E103</f>
        <v>#DIV/0!</v>
      </c>
      <c r="K103" s="20" t="e">
        <f>'Alloc Amt'!K103/'Alloc Amt'!$E103</f>
        <v>#DIV/0!</v>
      </c>
      <c r="L103" s="20" t="e">
        <f>'Alloc Amt'!L103/'Alloc Amt'!$E103</f>
        <v>#DIV/0!</v>
      </c>
      <c r="M103" s="20" t="e">
        <f>'Alloc Amt'!M103/'Alloc Amt'!$E103</f>
        <v>#DIV/0!</v>
      </c>
      <c r="N103" s="20" t="e">
        <f>'Alloc Amt'!N103/'Alloc Amt'!$E103</f>
        <v>#DIV/0!</v>
      </c>
      <c r="O103" s="20" t="e">
        <f>'Alloc Amt'!O103/'Alloc Amt'!$E103</f>
        <v>#DIV/0!</v>
      </c>
      <c r="P103" s="20" t="e">
        <f>'Alloc Amt'!P103/'Alloc Amt'!$E103</f>
        <v>#DIV/0!</v>
      </c>
      <c r="Q103" s="20" t="e">
        <f>'Alloc Amt'!Q103/'Alloc Amt'!$E103</f>
        <v>#DIV/0!</v>
      </c>
    </row>
    <row r="104" spans="2:17">
      <c r="B104" s="12">
        <f>'Alloc Amt'!B104</f>
        <v>0</v>
      </c>
      <c r="C104" s="12">
        <f>'Alloc Amt'!C104</f>
        <v>0</v>
      </c>
      <c r="D104" s="12">
        <f>'Alloc Amt'!D104</f>
        <v>98</v>
      </c>
      <c r="E104" s="20" t="e">
        <f t="shared" si="1"/>
        <v>#DIV/0!</v>
      </c>
      <c r="F104" s="20" t="e">
        <f>'Alloc Amt'!F104/'Alloc Amt'!$E104</f>
        <v>#DIV/0!</v>
      </c>
      <c r="G104" s="20" t="e">
        <f>'Alloc Amt'!G104/'Alloc Amt'!$E104</f>
        <v>#DIV/0!</v>
      </c>
      <c r="H104" s="20" t="e">
        <f>'Alloc Amt'!H104/'Alloc Amt'!$E104</f>
        <v>#DIV/0!</v>
      </c>
      <c r="I104" s="20" t="e">
        <f>'Alloc Amt'!I104/'Alloc Amt'!$E104</f>
        <v>#DIV/0!</v>
      </c>
      <c r="J104" s="20" t="e">
        <f>'Alloc Amt'!J104/'Alloc Amt'!$E104</f>
        <v>#DIV/0!</v>
      </c>
      <c r="K104" s="20" t="e">
        <f>'Alloc Amt'!K104/'Alloc Amt'!$E104</f>
        <v>#DIV/0!</v>
      </c>
      <c r="L104" s="20" t="e">
        <f>'Alloc Amt'!L104/'Alloc Amt'!$E104</f>
        <v>#DIV/0!</v>
      </c>
      <c r="M104" s="20" t="e">
        <f>'Alloc Amt'!M104/'Alloc Amt'!$E104</f>
        <v>#DIV/0!</v>
      </c>
      <c r="N104" s="20" t="e">
        <f>'Alloc Amt'!N104/'Alloc Amt'!$E104</f>
        <v>#DIV/0!</v>
      </c>
      <c r="O104" s="20" t="e">
        <f>'Alloc Amt'!O104/'Alloc Amt'!$E104</f>
        <v>#DIV/0!</v>
      </c>
      <c r="P104" s="20" t="e">
        <f>'Alloc Amt'!P104/'Alloc Amt'!$E104</f>
        <v>#DIV/0!</v>
      </c>
      <c r="Q104" s="20" t="e">
        <f>'Alloc Amt'!Q104/'Alloc Amt'!$E104</f>
        <v>#DIV/0!</v>
      </c>
    </row>
    <row r="105" spans="2:17">
      <c r="B105" s="12">
        <f>'Alloc Amt'!B105</f>
        <v>0</v>
      </c>
      <c r="C105" s="12">
        <f>'Alloc Amt'!C105</f>
        <v>0</v>
      </c>
      <c r="D105" s="12">
        <f>'Alloc Amt'!D105</f>
        <v>99</v>
      </c>
      <c r="E105" s="20" t="e">
        <f t="shared" si="1"/>
        <v>#DIV/0!</v>
      </c>
      <c r="F105" s="20" t="e">
        <f>'Alloc Amt'!F105/'Alloc Amt'!$E105</f>
        <v>#DIV/0!</v>
      </c>
      <c r="G105" s="20" t="e">
        <f>'Alloc Amt'!G105/'Alloc Amt'!$E105</f>
        <v>#DIV/0!</v>
      </c>
      <c r="H105" s="20" t="e">
        <f>'Alloc Amt'!H105/'Alloc Amt'!$E105</f>
        <v>#DIV/0!</v>
      </c>
      <c r="I105" s="20" t="e">
        <f>'Alloc Amt'!I105/'Alloc Amt'!$E105</f>
        <v>#DIV/0!</v>
      </c>
      <c r="J105" s="20" t="e">
        <f>'Alloc Amt'!J105/'Alloc Amt'!$E105</f>
        <v>#DIV/0!</v>
      </c>
      <c r="K105" s="20" t="e">
        <f>'Alloc Amt'!K105/'Alloc Amt'!$E105</f>
        <v>#DIV/0!</v>
      </c>
      <c r="L105" s="20" t="e">
        <f>'Alloc Amt'!L105/'Alloc Amt'!$E105</f>
        <v>#DIV/0!</v>
      </c>
      <c r="M105" s="20" t="e">
        <f>'Alloc Amt'!M105/'Alloc Amt'!$E105</f>
        <v>#DIV/0!</v>
      </c>
      <c r="N105" s="20" t="e">
        <f>'Alloc Amt'!N105/'Alloc Amt'!$E105</f>
        <v>#DIV/0!</v>
      </c>
      <c r="O105" s="20" t="e">
        <f>'Alloc Amt'!O105/'Alloc Amt'!$E105</f>
        <v>#DIV/0!</v>
      </c>
      <c r="P105" s="20" t="e">
        <f>'Alloc Amt'!P105/'Alloc Amt'!$E105</f>
        <v>#DIV/0!</v>
      </c>
      <c r="Q105" s="20" t="e">
        <f>'Alloc Amt'!Q105/'Alloc Amt'!$E105</f>
        <v>#DIV/0!</v>
      </c>
    </row>
    <row r="106" spans="2:17">
      <c r="B106" s="12" t="str">
        <f>'Alloc Amt'!B106</f>
        <v>Memo: Calculation of Time Differentiated Fuel costs</v>
      </c>
      <c r="C106" s="12">
        <f>'Alloc Amt'!C106</f>
        <v>0</v>
      </c>
      <c r="D106" s="12">
        <f>'Alloc Amt'!D106</f>
        <v>100</v>
      </c>
      <c r="E106" s="20" t="e">
        <f t="shared" si="1"/>
        <v>#DIV/0!</v>
      </c>
      <c r="F106" s="20" t="e">
        <f>'Alloc Amt'!F106/'Alloc Amt'!$E106</f>
        <v>#DIV/0!</v>
      </c>
      <c r="G106" s="20" t="e">
        <f>'Alloc Amt'!G106/'Alloc Amt'!$E106</f>
        <v>#DIV/0!</v>
      </c>
      <c r="H106" s="20" t="e">
        <f>'Alloc Amt'!H106/'Alloc Amt'!$E106</f>
        <v>#DIV/0!</v>
      </c>
      <c r="I106" s="20" t="e">
        <f>'Alloc Amt'!I106/'Alloc Amt'!$E106</f>
        <v>#DIV/0!</v>
      </c>
      <c r="J106" s="20" t="e">
        <f>'Alloc Amt'!J106/'Alloc Amt'!$E106</f>
        <v>#DIV/0!</v>
      </c>
      <c r="K106" s="20" t="e">
        <f>'Alloc Amt'!K106/'Alloc Amt'!$E106</f>
        <v>#DIV/0!</v>
      </c>
      <c r="L106" s="20" t="e">
        <f>'Alloc Amt'!L106/'Alloc Amt'!$E106</f>
        <v>#DIV/0!</v>
      </c>
      <c r="M106" s="20" t="e">
        <f>'Alloc Amt'!M106/'Alloc Amt'!$E106</f>
        <v>#DIV/0!</v>
      </c>
      <c r="N106" s="20" t="e">
        <f>'Alloc Amt'!N106/'Alloc Amt'!$E106</f>
        <v>#DIV/0!</v>
      </c>
      <c r="O106" s="20" t="e">
        <f>'Alloc Amt'!O106/'Alloc Amt'!$E106</f>
        <v>#DIV/0!</v>
      </c>
      <c r="P106" s="20" t="e">
        <f>'Alloc Amt'!P106/'Alloc Amt'!$E106</f>
        <v>#DIV/0!</v>
      </c>
      <c r="Q106" s="20" t="e">
        <f>'Alloc Amt'!Q106/'Alloc Amt'!$E106</f>
        <v>#DIV/0!</v>
      </c>
    </row>
    <row r="107" spans="2:17">
      <c r="B107" s="12" t="str">
        <f>'Alloc Amt'!B107</f>
        <v>Adjusted Test Year KWH @ Meter ( PER JAP-39)</v>
      </c>
      <c r="C107" s="12">
        <f>'Alloc Amt'!C107</f>
        <v>0</v>
      </c>
      <c r="D107" s="12">
        <f>'Alloc Amt'!D107</f>
        <v>101</v>
      </c>
      <c r="E107" s="20">
        <f t="shared" si="1"/>
        <v>1</v>
      </c>
      <c r="F107" s="20">
        <f>'Alloc Amt'!F107/'Alloc Amt'!$E107</f>
        <v>0.50390013567097602</v>
      </c>
      <c r="G107" s="20">
        <f>'Alloc Amt'!G107/'Alloc Amt'!$E107</f>
        <v>0.13450906602328647</v>
      </c>
      <c r="H107" s="20">
        <f>'Alloc Amt'!H107/'Alloc Amt'!$E107</f>
        <v>0.13729661741577948</v>
      </c>
      <c r="I107" s="20">
        <f>'Alloc Amt'!I107/'Alloc Amt'!$E107</f>
        <v>9.0125150342481711E-2</v>
      </c>
      <c r="J107" s="20">
        <f>'Alloc Amt'!J107/'Alloc Amt'!$E107</f>
        <v>6.1020211454619146E-2</v>
      </c>
      <c r="K107" s="20">
        <f>'Alloc Amt'!K107/'Alloc Amt'!$E107</f>
        <v>2.1486058355487392E-4</v>
      </c>
      <c r="L107" s="20">
        <f>'Alloc Amt'!L107/'Alloc Amt'!$E107</f>
        <v>5.7742226086489289E-3</v>
      </c>
      <c r="M107" s="20">
        <f>'Alloc Amt'!M107/'Alloc Amt'!$E107</f>
        <v>3.2553072161984498E-2</v>
      </c>
      <c r="N107" s="20">
        <f>'Alloc Amt'!N107/'Alloc Amt'!$E107</f>
        <v>3.050971066294323E-2</v>
      </c>
      <c r="O107" s="20">
        <f>'Alloc Amt'!O107/'Alloc Amt'!$E107</f>
        <v>0</v>
      </c>
      <c r="P107" s="20">
        <f>'Alloc Amt'!P107/'Alloc Amt'!$E107</f>
        <v>3.7625453489962338E-3</v>
      </c>
      <c r="Q107" s="20">
        <f>'Alloc Amt'!Q107/'Alloc Amt'!$E107</f>
        <v>3.3440772672938874E-4</v>
      </c>
    </row>
    <row r="108" spans="2:17">
      <c r="B108" s="12" t="str">
        <f>'Alloc Amt'!B108</f>
        <v>Fuel cost per kwh @ meter</v>
      </c>
      <c r="C108" s="12">
        <f>'Alloc Amt'!C108</f>
        <v>0</v>
      </c>
      <c r="D108" s="12">
        <f>'Alloc Amt'!D108</f>
        <v>102</v>
      </c>
      <c r="E108" s="20" t="e">
        <f t="shared" si="1"/>
        <v>#DIV/0!</v>
      </c>
      <c r="F108" s="20" t="e">
        <f>'Alloc Amt'!F108/'Alloc Amt'!$E108</f>
        <v>#DIV/0!</v>
      </c>
      <c r="G108" s="20" t="e">
        <f>'Alloc Amt'!G108/'Alloc Amt'!$E108</f>
        <v>#DIV/0!</v>
      </c>
      <c r="H108" s="20" t="e">
        <f>'Alloc Amt'!H108/'Alloc Amt'!$E108</f>
        <v>#DIV/0!</v>
      </c>
      <c r="I108" s="20" t="e">
        <f>'Alloc Amt'!I108/'Alloc Amt'!$E108</f>
        <v>#DIV/0!</v>
      </c>
      <c r="J108" s="20" t="e">
        <f>'Alloc Amt'!J108/'Alloc Amt'!$E108</f>
        <v>#DIV/0!</v>
      </c>
      <c r="K108" s="20" t="e">
        <f>'Alloc Amt'!K108/'Alloc Amt'!$E108</f>
        <v>#DIV/0!</v>
      </c>
      <c r="L108" s="20" t="e">
        <f>'Alloc Amt'!L108/'Alloc Amt'!$E108</f>
        <v>#DIV/0!</v>
      </c>
      <c r="M108" s="20" t="e">
        <f>'Alloc Amt'!M108/'Alloc Amt'!$E108</f>
        <v>#DIV/0!</v>
      </c>
      <c r="N108" s="20" t="e">
        <f>'Alloc Amt'!N108/'Alloc Amt'!$E108</f>
        <v>#DIV/0!</v>
      </c>
      <c r="O108" s="20" t="e">
        <f>'Alloc Amt'!O108/'Alloc Amt'!$E108</f>
        <v>#DIV/0!</v>
      </c>
      <c r="P108" s="20" t="e">
        <f>'Alloc Amt'!P108/'Alloc Amt'!$E108</f>
        <v>#DIV/0!</v>
      </c>
      <c r="Q108" s="20" t="e">
        <f>'Alloc Amt'!Q108/'Alloc Amt'!$E108</f>
        <v>#DIV/0!</v>
      </c>
    </row>
    <row r="109" spans="2:17">
      <c r="B109" s="12" t="str">
        <f>'Alloc Amt'!B109</f>
        <v>Total fuel cost</v>
      </c>
      <c r="C109" s="12">
        <f>'Alloc Amt'!C109</f>
        <v>0</v>
      </c>
      <c r="D109" s="12">
        <f>'Alloc Amt'!D109</f>
        <v>103</v>
      </c>
      <c r="E109" s="20">
        <f t="shared" si="1"/>
        <v>1</v>
      </c>
      <c r="F109" s="20">
        <f>'Alloc Amt'!F109/'Alloc Amt'!$E109</f>
        <v>0.50022700226777272</v>
      </c>
      <c r="G109" s="20">
        <f>'Alloc Amt'!G109/'Alloc Amt'!$E109</f>
        <v>0.13738581468421118</v>
      </c>
      <c r="H109" s="20">
        <f>'Alloc Amt'!H109/'Alloc Amt'!$E109</f>
        <v>0.14127517743793652</v>
      </c>
      <c r="I109" s="20">
        <f>'Alloc Amt'!I109/'Alloc Amt'!$E109</f>
        <v>9.3116851712093426E-2</v>
      </c>
      <c r="J109" s="20">
        <f>'Alloc Amt'!J109/'Alloc Amt'!$E109</f>
        <v>5.6715464841309848E-2</v>
      </c>
      <c r="K109" s="20">
        <f>'Alloc Amt'!K109/'Alloc Amt'!$E109</f>
        <v>2.1981824941664702E-4</v>
      </c>
      <c r="L109" s="20">
        <f>'Alloc Amt'!L109/'Alloc Amt'!$E109</f>
        <v>5.1282369928246745E-3</v>
      </c>
      <c r="M109" s="20">
        <f>'Alloc Amt'!M109/'Alloc Amt'!$E109</f>
        <v>3.2096131096065482E-2</v>
      </c>
      <c r="N109" s="20">
        <f>'Alloc Amt'!N109/'Alloc Amt'!$E109</f>
        <v>2.9592531770040193E-2</v>
      </c>
      <c r="O109" s="20">
        <f>'Alloc Amt'!O109/'Alloc Amt'!$E109</f>
        <v>0</v>
      </c>
      <c r="P109" s="20">
        <f>'Alloc Amt'!P109/'Alloc Amt'!$E109</f>
        <v>3.944564526984576E-3</v>
      </c>
      <c r="Q109" s="20">
        <f>'Alloc Amt'!Q109/'Alloc Amt'!$E109</f>
        <v>2.984064213448417E-4</v>
      </c>
    </row>
    <row r="110" spans="2:17">
      <c r="B110" s="12" t="str">
        <f>'Alloc Amt'!B110</f>
        <v>Allocation Pct</v>
      </c>
      <c r="C110" s="12">
        <f>'Alloc Amt'!C110</f>
        <v>0</v>
      </c>
      <c r="D110" s="12">
        <f>'Alloc Amt'!D110</f>
        <v>104</v>
      </c>
      <c r="E110" s="20">
        <f t="shared" si="1"/>
        <v>1</v>
      </c>
      <c r="F110" s="20">
        <f>'Alloc Amt'!F110/'Alloc Amt'!$E110</f>
        <v>0.50022700226777272</v>
      </c>
      <c r="G110" s="20">
        <f>'Alloc Amt'!G110/'Alloc Amt'!$E110</f>
        <v>0.13738581468421118</v>
      </c>
      <c r="H110" s="20">
        <f>'Alloc Amt'!H110/'Alloc Amt'!$E110</f>
        <v>0.14127517743793652</v>
      </c>
      <c r="I110" s="20">
        <f>'Alloc Amt'!I110/'Alloc Amt'!$E110</f>
        <v>9.3116851712093426E-2</v>
      </c>
      <c r="J110" s="20">
        <f>'Alloc Amt'!J110/'Alloc Amt'!$E110</f>
        <v>5.6715464841309848E-2</v>
      </c>
      <c r="K110" s="20">
        <f>'Alloc Amt'!K110/'Alloc Amt'!$E110</f>
        <v>2.1981824941664702E-4</v>
      </c>
      <c r="L110" s="20">
        <f>'Alloc Amt'!L110/'Alloc Amt'!$E110</f>
        <v>5.1282369928246745E-3</v>
      </c>
      <c r="M110" s="20">
        <f>'Alloc Amt'!M110/'Alloc Amt'!$E110</f>
        <v>3.2096131096065482E-2</v>
      </c>
      <c r="N110" s="20">
        <f>'Alloc Amt'!N110/'Alloc Amt'!$E110</f>
        <v>2.9592531770040193E-2</v>
      </c>
      <c r="O110" s="20">
        <f>'Alloc Amt'!O110/'Alloc Amt'!$E110</f>
        <v>0</v>
      </c>
      <c r="P110" s="20">
        <f>'Alloc Amt'!P110/'Alloc Amt'!$E110</f>
        <v>3.944564526984576E-3</v>
      </c>
      <c r="Q110" s="20">
        <f>'Alloc Amt'!Q110/'Alloc Amt'!$E110</f>
        <v>2.984064213448417E-4</v>
      </c>
    </row>
    <row r="111" spans="2:17">
      <c r="B111" s="12">
        <f>'Alloc Amt'!B111</f>
        <v>0</v>
      </c>
      <c r="C111" s="12">
        <f>'Alloc Amt'!C111</f>
        <v>0</v>
      </c>
      <c r="D111" s="12">
        <f>'Alloc Amt'!D111</f>
        <v>105</v>
      </c>
      <c r="E111" s="20" t="e">
        <f t="shared" si="1"/>
        <v>#DIV/0!</v>
      </c>
      <c r="F111" s="20" t="e">
        <f>'Alloc Amt'!F111/'Alloc Amt'!$E111</f>
        <v>#DIV/0!</v>
      </c>
      <c r="G111" s="20" t="e">
        <f>'Alloc Amt'!G111/'Alloc Amt'!$E111</f>
        <v>#DIV/0!</v>
      </c>
      <c r="H111" s="20" t="e">
        <f>'Alloc Amt'!H111/'Alloc Amt'!$E111</f>
        <v>#DIV/0!</v>
      </c>
      <c r="I111" s="20" t="e">
        <f>'Alloc Amt'!I111/'Alloc Amt'!$E111</f>
        <v>#DIV/0!</v>
      </c>
      <c r="J111" s="20" t="e">
        <f>'Alloc Amt'!J111/'Alloc Amt'!$E111</f>
        <v>#DIV/0!</v>
      </c>
      <c r="K111" s="20" t="e">
        <f>'Alloc Amt'!K111/'Alloc Amt'!$E111</f>
        <v>#DIV/0!</v>
      </c>
      <c r="L111" s="20" t="e">
        <f>'Alloc Amt'!L111/'Alloc Amt'!$E111</f>
        <v>#DIV/0!</v>
      </c>
      <c r="M111" s="20" t="e">
        <f>'Alloc Amt'!M111/'Alloc Amt'!$E111</f>
        <v>#DIV/0!</v>
      </c>
      <c r="N111" s="20" t="e">
        <f>'Alloc Amt'!N111/'Alloc Amt'!$E111</f>
        <v>#DIV/0!</v>
      </c>
      <c r="O111" s="20" t="e">
        <f>'Alloc Amt'!O111/'Alloc Amt'!$E111</f>
        <v>#DIV/0!</v>
      </c>
      <c r="P111" s="20" t="e">
        <f>'Alloc Amt'!P111/'Alloc Amt'!$E111</f>
        <v>#DIV/0!</v>
      </c>
      <c r="Q111" s="20" t="e">
        <f>'Alloc Amt'!Q111/'Alloc Amt'!$E111</f>
        <v>#DIV/0!</v>
      </c>
    </row>
    <row r="112" spans="2:17">
      <c r="B112" s="12" t="str">
        <f>'Alloc Amt'!B112</f>
        <v>Memo: Bulk Transmission</v>
      </c>
      <c r="C112" s="12">
        <f>'Alloc Amt'!C112</f>
        <v>0</v>
      </c>
      <c r="D112" s="12">
        <f>'Alloc Amt'!D112</f>
        <v>106</v>
      </c>
      <c r="E112" s="20" t="e">
        <f t="shared" si="1"/>
        <v>#DIV/0!</v>
      </c>
      <c r="F112" s="20" t="e">
        <f>'Alloc Amt'!F112/'Alloc Amt'!$E112</f>
        <v>#DIV/0!</v>
      </c>
      <c r="G112" s="20" t="e">
        <f>'Alloc Amt'!G112/'Alloc Amt'!$E112</f>
        <v>#DIV/0!</v>
      </c>
      <c r="H112" s="20" t="e">
        <f>'Alloc Amt'!H112/'Alloc Amt'!$E112</f>
        <v>#DIV/0!</v>
      </c>
      <c r="I112" s="20" t="e">
        <f>'Alloc Amt'!I112/'Alloc Amt'!$E112</f>
        <v>#DIV/0!</v>
      </c>
      <c r="J112" s="20" t="e">
        <f>'Alloc Amt'!J112/'Alloc Amt'!$E112</f>
        <v>#DIV/0!</v>
      </c>
      <c r="K112" s="20" t="e">
        <f>'Alloc Amt'!K112/'Alloc Amt'!$E112</f>
        <v>#DIV/0!</v>
      </c>
      <c r="L112" s="20" t="e">
        <f>'Alloc Amt'!L112/'Alloc Amt'!$E112</f>
        <v>#DIV/0!</v>
      </c>
      <c r="M112" s="20" t="e">
        <f>'Alloc Amt'!M112/'Alloc Amt'!$E112</f>
        <v>#DIV/0!</v>
      </c>
      <c r="N112" s="20" t="e">
        <f>'Alloc Amt'!N112/'Alloc Amt'!$E112</f>
        <v>#DIV/0!</v>
      </c>
      <c r="O112" s="20" t="e">
        <f>'Alloc Amt'!O112/'Alloc Amt'!$E112</f>
        <v>#DIV/0!</v>
      </c>
      <c r="P112" s="20" t="e">
        <f>'Alloc Amt'!P112/'Alloc Amt'!$E112</f>
        <v>#DIV/0!</v>
      </c>
      <c r="Q112" s="20" t="e">
        <f>'Alloc Amt'!Q112/'Alloc Amt'!$E112</f>
        <v>#DIV/0!</v>
      </c>
    </row>
    <row r="113" spans="2:17">
      <c r="B113" s="12" t="str">
        <f>'Alloc Amt'!B113</f>
        <v>System Load Factor:</v>
      </c>
      <c r="C113" s="12">
        <f>'Alloc Amt'!C113</f>
        <v>0</v>
      </c>
      <c r="D113" s="12">
        <f>'Alloc Amt'!D113</f>
        <v>107</v>
      </c>
      <c r="E113" s="20">
        <f t="shared" si="1"/>
        <v>0</v>
      </c>
      <c r="F113" s="20">
        <f>'Alloc Amt'!F113/'Alloc Amt'!$E113</f>
        <v>0</v>
      </c>
      <c r="G113" s="20">
        <f>'Alloc Amt'!G113/'Alloc Amt'!$E113</f>
        <v>0</v>
      </c>
      <c r="H113" s="20">
        <f>'Alloc Amt'!H113/'Alloc Amt'!$E113</f>
        <v>0</v>
      </c>
      <c r="I113" s="20">
        <f>'Alloc Amt'!I113/'Alloc Amt'!$E113</f>
        <v>0</v>
      </c>
      <c r="J113" s="20">
        <f>'Alloc Amt'!J113/'Alloc Amt'!$E113</f>
        <v>0</v>
      </c>
      <c r="K113" s="20">
        <f>'Alloc Amt'!K113/'Alloc Amt'!$E113</f>
        <v>0</v>
      </c>
      <c r="L113" s="20">
        <f>'Alloc Amt'!L113/'Alloc Amt'!$E113</f>
        <v>0</v>
      </c>
      <c r="M113" s="20">
        <f>'Alloc Amt'!M113/'Alloc Amt'!$E113</f>
        <v>0</v>
      </c>
      <c r="N113" s="20">
        <f>'Alloc Amt'!N113/'Alloc Amt'!$E113</f>
        <v>0</v>
      </c>
      <c r="O113" s="20">
        <f>'Alloc Amt'!O113/'Alloc Amt'!$E113</f>
        <v>0</v>
      </c>
      <c r="P113" s="20">
        <f>'Alloc Amt'!P113/'Alloc Amt'!$E113</f>
        <v>0</v>
      </c>
      <c r="Q113" s="20">
        <f>'Alloc Amt'!Q113/'Alloc Amt'!$E113</f>
        <v>0</v>
      </c>
    </row>
    <row r="114" spans="2:17">
      <c r="B114" s="12" t="str">
        <f>'Alloc Amt'!B114</f>
        <v>Calculate assignment to Transport</v>
      </c>
      <c r="C114" s="12">
        <f>'Alloc Amt'!C114</f>
        <v>0</v>
      </c>
      <c r="D114" s="12">
        <f>'Alloc Amt'!D114</f>
        <v>108</v>
      </c>
      <c r="E114" s="20" t="e">
        <f t="shared" si="1"/>
        <v>#DIV/0!</v>
      </c>
      <c r="F114" s="20" t="e">
        <f>'Alloc Amt'!F114/'Alloc Amt'!$E114</f>
        <v>#DIV/0!</v>
      </c>
      <c r="G114" s="20" t="e">
        <f>'Alloc Amt'!G114/'Alloc Amt'!$E114</f>
        <v>#DIV/0!</v>
      </c>
      <c r="H114" s="20" t="e">
        <f>'Alloc Amt'!H114/'Alloc Amt'!$E114</f>
        <v>#DIV/0!</v>
      </c>
      <c r="I114" s="20" t="e">
        <f>'Alloc Amt'!I114/'Alloc Amt'!$E114</f>
        <v>#DIV/0!</v>
      </c>
      <c r="J114" s="20" t="e">
        <f>'Alloc Amt'!J114/'Alloc Amt'!$E114</f>
        <v>#DIV/0!</v>
      </c>
      <c r="K114" s="20" t="e">
        <f>'Alloc Amt'!K114/'Alloc Amt'!$E114</f>
        <v>#DIV/0!</v>
      </c>
      <c r="L114" s="20" t="e">
        <f>'Alloc Amt'!L114/'Alloc Amt'!$E114</f>
        <v>#DIV/0!</v>
      </c>
      <c r="M114" s="20" t="e">
        <f>'Alloc Amt'!M114/'Alloc Amt'!$E114</f>
        <v>#DIV/0!</v>
      </c>
      <c r="N114" s="20" t="e">
        <f>'Alloc Amt'!N114/'Alloc Amt'!$E114</f>
        <v>#DIV/0!</v>
      </c>
      <c r="O114" s="20" t="e">
        <f>'Alloc Amt'!O114/'Alloc Amt'!$E114</f>
        <v>#DIV/0!</v>
      </c>
      <c r="P114" s="20" t="e">
        <f>'Alloc Amt'!P114/'Alloc Amt'!$E114</f>
        <v>#DIV/0!</v>
      </c>
      <c r="Q114" s="20" t="e">
        <f>'Alloc Amt'!Q114/'Alloc Amt'!$E114</f>
        <v>#DIV/0!</v>
      </c>
    </row>
    <row r="115" spans="2:17">
      <c r="B115" s="12" t="str">
        <f>'Alloc Amt'!B115</f>
        <v xml:space="preserve">     Energy Pct</v>
      </c>
      <c r="C115" s="12">
        <f>'Alloc Amt'!C115</f>
        <v>0</v>
      </c>
      <c r="D115" s="12">
        <f>'Alloc Amt'!D115</f>
        <v>109</v>
      </c>
      <c r="E115" s="20">
        <f t="shared" si="1"/>
        <v>0</v>
      </c>
      <c r="F115" s="20">
        <f>'Alloc Amt'!F115/'Alloc Amt'!$E115</f>
        <v>0</v>
      </c>
      <c r="G115" s="20">
        <f>'Alloc Amt'!G115/'Alloc Amt'!$E115</f>
        <v>0</v>
      </c>
      <c r="H115" s="20">
        <f>'Alloc Amt'!H115/'Alloc Amt'!$E115</f>
        <v>0</v>
      </c>
      <c r="I115" s="20">
        <f>'Alloc Amt'!I115/'Alloc Amt'!$E115</f>
        <v>0</v>
      </c>
      <c r="J115" s="20">
        <f>'Alloc Amt'!J115/'Alloc Amt'!$E115</f>
        <v>0</v>
      </c>
      <c r="K115" s="20">
        <f>'Alloc Amt'!K115/'Alloc Amt'!$E115</f>
        <v>0</v>
      </c>
      <c r="L115" s="20">
        <f>'Alloc Amt'!L115/'Alloc Amt'!$E115</f>
        <v>0</v>
      </c>
      <c r="M115" s="20">
        <f>'Alloc Amt'!M115/'Alloc Amt'!$E115</f>
        <v>0</v>
      </c>
      <c r="N115" s="20">
        <f>'Alloc Amt'!N115/'Alloc Amt'!$E115</f>
        <v>0</v>
      </c>
      <c r="O115" s="20">
        <f>'Alloc Amt'!O115/'Alloc Amt'!$E115</f>
        <v>0</v>
      </c>
      <c r="P115" s="20">
        <f>'Alloc Amt'!P115/'Alloc Amt'!$E115</f>
        <v>0</v>
      </c>
      <c r="Q115" s="20">
        <f>'Alloc Amt'!Q115/'Alloc Amt'!$E115</f>
        <v>0</v>
      </c>
    </row>
    <row r="116" spans="2:17">
      <c r="B116" s="12" t="str">
        <f>'Alloc Amt'!B116</f>
        <v xml:space="preserve">    Demand Pct</v>
      </c>
      <c r="C116" s="12">
        <f>'Alloc Amt'!C116</f>
        <v>0</v>
      </c>
      <c r="D116" s="12">
        <f>'Alloc Amt'!D116</f>
        <v>110</v>
      </c>
      <c r="E116" s="20">
        <f t="shared" si="1"/>
        <v>0</v>
      </c>
      <c r="F116" s="20">
        <f>'Alloc Amt'!F116/'Alloc Amt'!$E116</f>
        <v>0</v>
      </c>
      <c r="G116" s="20">
        <f>'Alloc Amt'!G116/'Alloc Amt'!$E116</f>
        <v>0</v>
      </c>
      <c r="H116" s="20">
        <f>'Alloc Amt'!H116/'Alloc Amt'!$E116</f>
        <v>0</v>
      </c>
      <c r="I116" s="20">
        <f>'Alloc Amt'!I116/'Alloc Amt'!$E116</f>
        <v>0</v>
      </c>
      <c r="J116" s="20">
        <f>'Alloc Amt'!J116/'Alloc Amt'!$E116</f>
        <v>0</v>
      </c>
      <c r="K116" s="20">
        <f>'Alloc Amt'!K116/'Alloc Amt'!$E116</f>
        <v>0</v>
      </c>
      <c r="L116" s="20">
        <f>'Alloc Amt'!L116/'Alloc Amt'!$E116</f>
        <v>0</v>
      </c>
      <c r="M116" s="20">
        <f>'Alloc Amt'!M116/'Alloc Amt'!$E116</f>
        <v>0</v>
      </c>
      <c r="N116" s="20">
        <f>'Alloc Amt'!N116/'Alloc Amt'!$E116</f>
        <v>0</v>
      </c>
      <c r="O116" s="20">
        <f>'Alloc Amt'!O116/'Alloc Amt'!$E116</f>
        <v>0</v>
      </c>
      <c r="P116" s="20">
        <f>'Alloc Amt'!P116/'Alloc Amt'!$E116</f>
        <v>0</v>
      </c>
      <c r="Q116" s="20">
        <f>'Alloc Amt'!Q116/'Alloc Amt'!$E116</f>
        <v>0</v>
      </c>
    </row>
    <row r="117" spans="2:17">
      <c r="B117" s="12" t="str">
        <f>'Alloc Amt'!B117</f>
        <v>Bulk Total Investment</v>
      </c>
      <c r="C117" s="12">
        <f>'Alloc Amt'!C117</f>
        <v>0</v>
      </c>
      <c r="D117" s="12">
        <f>'Alloc Amt'!D117</f>
        <v>111</v>
      </c>
      <c r="E117" s="20">
        <f t="shared" si="1"/>
        <v>0</v>
      </c>
      <c r="F117" s="20">
        <f>'Alloc Amt'!F117/'Alloc Amt'!$E117</f>
        <v>0</v>
      </c>
      <c r="G117" s="20">
        <f>'Alloc Amt'!G117/'Alloc Amt'!$E117</f>
        <v>0</v>
      </c>
      <c r="H117" s="20">
        <f>'Alloc Amt'!H117/'Alloc Amt'!$E117</f>
        <v>0</v>
      </c>
      <c r="I117" s="20">
        <f>'Alloc Amt'!I117/'Alloc Amt'!$E117</f>
        <v>0</v>
      </c>
      <c r="J117" s="20">
        <f>'Alloc Amt'!J117/'Alloc Amt'!$E117</f>
        <v>0</v>
      </c>
      <c r="K117" s="20">
        <f>'Alloc Amt'!K117/'Alloc Amt'!$E117</f>
        <v>0</v>
      </c>
      <c r="L117" s="20">
        <f>'Alloc Amt'!L117/'Alloc Amt'!$E117</f>
        <v>0</v>
      </c>
      <c r="M117" s="20">
        <f>'Alloc Amt'!M117/'Alloc Amt'!$E117</f>
        <v>0</v>
      </c>
      <c r="N117" s="20">
        <f>'Alloc Amt'!N117/'Alloc Amt'!$E117</f>
        <v>0</v>
      </c>
      <c r="O117" s="20">
        <f>'Alloc Amt'!O117/'Alloc Amt'!$E117</f>
        <v>0</v>
      </c>
      <c r="P117" s="20">
        <f>'Alloc Amt'!P117/'Alloc Amt'!$E117</f>
        <v>0</v>
      </c>
      <c r="Q117" s="20">
        <f>'Alloc Amt'!Q117/'Alloc Amt'!$E117</f>
        <v>0</v>
      </c>
    </row>
    <row r="118" spans="2:17">
      <c r="B118" s="12" t="str">
        <f>'Alloc Amt'!B118</f>
        <v>Transport Demand Allocation</v>
      </c>
      <c r="C118" s="12">
        <f>'Alloc Amt'!C118</f>
        <v>0</v>
      </c>
      <c r="D118" s="12">
        <f>'Alloc Amt'!D118</f>
        <v>112</v>
      </c>
      <c r="E118" s="20">
        <f t="shared" si="1"/>
        <v>1</v>
      </c>
      <c r="F118" s="20">
        <f>'Alloc Amt'!F118/'Alloc Amt'!$E118</f>
        <v>0</v>
      </c>
      <c r="G118" s="20">
        <f>'Alloc Amt'!G118/'Alloc Amt'!$E118</f>
        <v>0</v>
      </c>
      <c r="H118" s="20">
        <f>'Alloc Amt'!H118/'Alloc Amt'!$E118</f>
        <v>0</v>
      </c>
      <c r="I118" s="20">
        <f>'Alloc Amt'!I118/'Alloc Amt'!$E118</f>
        <v>0</v>
      </c>
      <c r="J118" s="20">
        <f>'Alloc Amt'!J118/'Alloc Amt'!$E118</f>
        <v>0</v>
      </c>
      <c r="K118" s="20">
        <f>'Alloc Amt'!K118/'Alloc Amt'!$E118</f>
        <v>0</v>
      </c>
      <c r="L118" s="20">
        <f>'Alloc Amt'!L118/'Alloc Amt'!$E118</f>
        <v>0</v>
      </c>
      <c r="M118" s="20">
        <f>'Alloc Amt'!M118/'Alloc Amt'!$E118</f>
        <v>0</v>
      </c>
      <c r="N118" s="20">
        <f>'Alloc Amt'!N118/'Alloc Amt'!$E118</f>
        <v>0</v>
      </c>
      <c r="O118" s="20">
        <f>'Alloc Amt'!O118/'Alloc Amt'!$E118</f>
        <v>1</v>
      </c>
      <c r="P118" s="20">
        <f>'Alloc Amt'!P118/'Alloc Amt'!$E118</f>
        <v>0</v>
      </c>
      <c r="Q118" s="20">
        <f>'Alloc Amt'!Q118/'Alloc Amt'!$E118</f>
        <v>0</v>
      </c>
    </row>
    <row r="119" spans="2:17">
      <c r="B119" s="12" t="str">
        <f>'Alloc Amt'!B119</f>
        <v>Transport Energy Allocation</v>
      </c>
      <c r="C119" s="12">
        <f>'Alloc Amt'!C119</f>
        <v>0</v>
      </c>
      <c r="D119" s="12">
        <f>'Alloc Amt'!D119</f>
        <v>113</v>
      </c>
      <c r="E119" s="20">
        <f t="shared" si="1"/>
        <v>1</v>
      </c>
      <c r="F119" s="20">
        <f>'Alloc Amt'!F119/'Alloc Amt'!$E119</f>
        <v>0</v>
      </c>
      <c r="G119" s="20">
        <f>'Alloc Amt'!G119/'Alloc Amt'!$E119</f>
        <v>0</v>
      </c>
      <c r="H119" s="20">
        <f>'Alloc Amt'!H119/'Alloc Amt'!$E119</f>
        <v>0</v>
      </c>
      <c r="I119" s="20">
        <f>'Alloc Amt'!I119/'Alloc Amt'!$E119</f>
        <v>0</v>
      </c>
      <c r="J119" s="20">
        <f>'Alloc Amt'!J119/'Alloc Amt'!$E119</f>
        <v>0</v>
      </c>
      <c r="K119" s="20">
        <f>'Alloc Amt'!K119/'Alloc Amt'!$E119</f>
        <v>0</v>
      </c>
      <c r="L119" s="20">
        <f>'Alloc Amt'!L119/'Alloc Amt'!$E119</f>
        <v>0</v>
      </c>
      <c r="M119" s="20">
        <f>'Alloc Amt'!M119/'Alloc Amt'!$E119</f>
        <v>0</v>
      </c>
      <c r="N119" s="20">
        <f>'Alloc Amt'!N119/'Alloc Amt'!$E119</f>
        <v>0</v>
      </c>
      <c r="O119" s="20">
        <f>'Alloc Amt'!O119/'Alloc Amt'!$E119</f>
        <v>1</v>
      </c>
      <c r="P119" s="20">
        <f>'Alloc Amt'!P119/'Alloc Amt'!$E119</f>
        <v>0</v>
      </c>
      <c r="Q119" s="20">
        <f>'Alloc Amt'!Q119/'Alloc Amt'!$E119</f>
        <v>0</v>
      </c>
    </row>
    <row r="120" spans="2:17">
      <c r="B120" s="12" t="str">
        <f>'Alloc Amt'!B120</f>
        <v>Total Transport Allocation</v>
      </c>
      <c r="C120" s="12">
        <f>'Alloc Amt'!C120</f>
        <v>0</v>
      </c>
      <c r="D120" s="12">
        <f>'Alloc Amt'!D120</f>
        <v>114</v>
      </c>
      <c r="E120" s="20">
        <f t="shared" si="1"/>
        <v>1</v>
      </c>
      <c r="F120" s="20">
        <f>'Alloc Amt'!F120/'Alloc Amt'!$E120</f>
        <v>0</v>
      </c>
      <c r="G120" s="20">
        <f>'Alloc Amt'!G120/'Alloc Amt'!$E120</f>
        <v>0</v>
      </c>
      <c r="H120" s="20">
        <f>'Alloc Amt'!H120/'Alloc Amt'!$E120</f>
        <v>0</v>
      </c>
      <c r="I120" s="20">
        <f>'Alloc Amt'!I120/'Alloc Amt'!$E120</f>
        <v>0</v>
      </c>
      <c r="J120" s="20">
        <f>'Alloc Amt'!J120/'Alloc Amt'!$E120</f>
        <v>0</v>
      </c>
      <c r="K120" s="20">
        <f>'Alloc Amt'!K120/'Alloc Amt'!$E120</f>
        <v>0</v>
      </c>
      <c r="L120" s="20">
        <f>'Alloc Amt'!L120/'Alloc Amt'!$E120</f>
        <v>0</v>
      </c>
      <c r="M120" s="20">
        <f>'Alloc Amt'!M120/'Alloc Amt'!$E120</f>
        <v>0</v>
      </c>
      <c r="N120" s="20">
        <f>'Alloc Amt'!N120/'Alloc Amt'!$E120</f>
        <v>0</v>
      </c>
      <c r="O120" s="20">
        <f>'Alloc Amt'!O120/'Alloc Amt'!$E120</f>
        <v>1</v>
      </c>
      <c r="P120" s="20">
        <f>'Alloc Amt'!P120/'Alloc Amt'!$E120</f>
        <v>0</v>
      </c>
      <c r="Q120" s="20">
        <f>'Alloc Amt'!Q120/'Alloc Amt'!$E120</f>
        <v>0</v>
      </c>
    </row>
    <row r="121" spans="2:17">
      <c r="B121" s="12" t="str">
        <f>'Alloc Amt'!B121</f>
        <v>Generation Classes Allocation</v>
      </c>
      <c r="C121" s="12">
        <f>'Alloc Amt'!C121</f>
        <v>0</v>
      </c>
      <c r="D121" s="12">
        <f>'Alloc Amt'!D121</f>
        <v>115</v>
      </c>
      <c r="E121" s="20">
        <f t="shared" si="1"/>
        <v>0</v>
      </c>
      <c r="F121" s="20">
        <f>'Alloc Amt'!F121/'Alloc Amt'!$E121</f>
        <v>0</v>
      </c>
      <c r="G121" s="20">
        <f>'Alloc Amt'!G121/'Alloc Amt'!$E121</f>
        <v>0</v>
      </c>
      <c r="H121" s="20">
        <f>'Alloc Amt'!H121/'Alloc Amt'!$E121</f>
        <v>0</v>
      </c>
      <c r="I121" s="20">
        <f>'Alloc Amt'!I121/'Alloc Amt'!$E121</f>
        <v>0</v>
      </c>
      <c r="J121" s="20">
        <f>'Alloc Amt'!J121/'Alloc Amt'!$E121</f>
        <v>0</v>
      </c>
      <c r="K121" s="20">
        <f>'Alloc Amt'!K121/'Alloc Amt'!$E121</f>
        <v>0</v>
      </c>
      <c r="L121" s="20">
        <f>'Alloc Amt'!L121/'Alloc Amt'!$E121</f>
        <v>0</v>
      </c>
      <c r="M121" s="20">
        <f>'Alloc Amt'!M121/'Alloc Amt'!$E121</f>
        <v>0</v>
      </c>
      <c r="N121" s="20">
        <f>'Alloc Amt'!N121/'Alloc Amt'!$E121</f>
        <v>0</v>
      </c>
      <c r="O121" s="20">
        <f>'Alloc Amt'!O121/'Alloc Amt'!$E121</f>
        <v>0</v>
      </c>
      <c r="P121" s="20">
        <f>'Alloc Amt'!P121/'Alloc Amt'!$E121</f>
        <v>0</v>
      </c>
      <c r="Q121" s="20">
        <f>'Alloc Amt'!Q121/'Alloc Amt'!$E121</f>
        <v>0</v>
      </c>
    </row>
    <row r="122" spans="2:17">
      <c r="B122" s="12" t="str">
        <f>'Alloc Amt'!B122</f>
        <v>Prob Dispatch to Generation Classes</v>
      </c>
      <c r="C122" s="12">
        <f>'Alloc Amt'!C122</f>
        <v>0</v>
      </c>
      <c r="D122" s="12">
        <f>'Alloc Amt'!D122</f>
        <v>116</v>
      </c>
      <c r="E122" s="20">
        <f t="shared" si="1"/>
        <v>1</v>
      </c>
      <c r="F122" s="20">
        <f>'Alloc Amt'!F122/'Alloc Amt'!$E122</f>
        <v>0.50261499999999992</v>
      </c>
      <c r="G122" s="20">
        <f>'Alloc Amt'!G122/'Alloc Amt'!$E122</f>
        <v>0.13264199999999998</v>
      </c>
      <c r="H122" s="20">
        <f>'Alloc Amt'!H122/'Alloc Amt'!$E122</f>
        <v>0.13791499999999998</v>
      </c>
      <c r="I122" s="20">
        <f>'Alloc Amt'!I122/'Alloc Amt'!$E122</f>
        <v>9.3181999999999987E-2</v>
      </c>
      <c r="J122" s="20">
        <f>'Alloc Amt'!J122/'Alloc Amt'!$E122</f>
        <v>6.0828999999999987E-2</v>
      </c>
      <c r="K122" s="20">
        <f>'Alloc Amt'!K122/'Alloc Amt'!$E122</f>
        <v>2.5499999999999996E-4</v>
      </c>
      <c r="L122" s="20">
        <f>'Alloc Amt'!L122/'Alloc Amt'!$E122</f>
        <v>5.3679999999999995E-3</v>
      </c>
      <c r="M122" s="20">
        <f>'Alloc Amt'!M122/'Alloc Amt'!$E122</f>
        <v>3.2869999999999996E-2</v>
      </c>
      <c r="N122" s="20">
        <f>'Alloc Amt'!N122/'Alloc Amt'!$E122</f>
        <v>2.9871999999999992E-2</v>
      </c>
      <c r="O122" s="20">
        <f>'Alloc Amt'!O122/'Alloc Amt'!$E122</f>
        <v>0</v>
      </c>
      <c r="P122" s="20">
        <f>'Alloc Amt'!P122/'Alloc Amt'!$E122</f>
        <v>4.1299999999999991E-3</v>
      </c>
      <c r="Q122" s="20">
        <f>'Alloc Amt'!Q122/'Alloc Amt'!$E122</f>
        <v>3.2199999999999991E-4</v>
      </c>
    </row>
    <row r="123" spans="2:17">
      <c r="B123" s="12" t="str">
        <f>'Alloc Amt'!B123</f>
        <v>Total Class Allocation</v>
      </c>
      <c r="C123" s="12">
        <f>'Alloc Amt'!C123</f>
        <v>0</v>
      </c>
      <c r="D123" s="12">
        <f>'Alloc Amt'!D123</f>
        <v>117</v>
      </c>
      <c r="E123" s="20">
        <f t="shared" si="1"/>
        <v>0.99999999999999989</v>
      </c>
      <c r="F123" s="20">
        <f>'Alloc Amt'!F123/'Alloc Amt'!$E123</f>
        <v>0.46356712350556772</v>
      </c>
      <c r="G123" s="20">
        <f>'Alloc Amt'!G123/'Alloc Amt'!$E123</f>
        <v>0.12233711766665444</v>
      </c>
      <c r="H123" s="20">
        <f>'Alloc Amt'!H123/'Alloc Amt'!$E123</f>
        <v>0.12720046126412937</v>
      </c>
      <c r="I123" s="20">
        <f>'Alloc Amt'!I123/'Alloc Amt'!$E123</f>
        <v>8.5942742859834692E-2</v>
      </c>
      <c r="J123" s="20">
        <f>'Alloc Amt'!J123/'Alloc Amt'!$E123</f>
        <v>5.6103229222606132E-2</v>
      </c>
      <c r="K123" s="20">
        <f>'Alloc Amt'!K123/'Alloc Amt'!$E123</f>
        <v>2.3518919350580422E-4</v>
      </c>
      <c r="L123" s="20">
        <f>'Alloc Amt'!L123/'Alloc Amt'!$E123</f>
        <v>4.9509631009378701E-3</v>
      </c>
      <c r="M123" s="20">
        <f>'Alloc Amt'!M123/'Alloc Amt'!$E123</f>
        <v>3.0316348198179549E-2</v>
      </c>
      <c r="N123" s="20">
        <f>'Alloc Amt'!N123/'Alloc Amt'!$E123</f>
        <v>2.7551261131001502E-2</v>
      </c>
      <c r="O123" s="20">
        <f>'Alloc Amt'!O123/'Alloc Amt'!$E123</f>
        <v>7.7689437232140265E-2</v>
      </c>
      <c r="P123" s="20">
        <f>'Alloc Amt'!P123/'Alloc Amt'!$E123</f>
        <v>3.8091426242312602E-3</v>
      </c>
      <c r="Q123" s="20">
        <f>'Alloc Amt'!Q123/'Alloc Amt'!$E123</f>
        <v>2.969840012112508E-4</v>
      </c>
    </row>
    <row r="124" spans="2:17">
      <c r="B124" s="12">
        <f>'Alloc Amt'!B124</f>
        <v>0</v>
      </c>
      <c r="C124" s="12">
        <f>'Alloc Amt'!C124</f>
        <v>0</v>
      </c>
      <c r="D124" s="12">
        <f>'Alloc Amt'!D124</f>
        <v>118</v>
      </c>
      <c r="E124" s="20" t="e">
        <f t="shared" si="1"/>
        <v>#DIV/0!</v>
      </c>
      <c r="F124" s="20" t="e">
        <f>'Alloc Amt'!F124/'Alloc Amt'!$E124</f>
        <v>#DIV/0!</v>
      </c>
      <c r="G124" s="20" t="e">
        <f>'Alloc Amt'!G124/'Alloc Amt'!$E124</f>
        <v>#DIV/0!</v>
      </c>
      <c r="H124" s="20" t="e">
        <f>'Alloc Amt'!H124/'Alloc Amt'!$E124</f>
        <v>#DIV/0!</v>
      </c>
      <c r="I124" s="20" t="e">
        <f>'Alloc Amt'!I124/'Alloc Amt'!$E124</f>
        <v>#DIV/0!</v>
      </c>
      <c r="J124" s="20" t="e">
        <f>'Alloc Amt'!J124/'Alloc Amt'!$E124</f>
        <v>#DIV/0!</v>
      </c>
      <c r="K124" s="20" t="e">
        <f>'Alloc Amt'!K124/'Alloc Amt'!$E124</f>
        <v>#DIV/0!</v>
      </c>
      <c r="L124" s="20" t="e">
        <f>'Alloc Amt'!L124/'Alloc Amt'!$E124</f>
        <v>#DIV/0!</v>
      </c>
      <c r="M124" s="20" t="e">
        <f>'Alloc Amt'!M124/'Alloc Amt'!$E124</f>
        <v>#DIV/0!</v>
      </c>
      <c r="N124" s="20" t="e">
        <f>'Alloc Amt'!N124/'Alloc Amt'!$E124</f>
        <v>#DIV/0!</v>
      </c>
      <c r="O124" s="20" t="e">
        <f>'Alloc Amt'!O124/'Alloc Amt'!$E124</f>
        <v>#DIV/0!</v>
      </c>
      <c r="P124" s="20" t="e">
        <f>'Alloc Amt'!P124/'Alloc Amt'!$E124</f>
        <v>#DIV/0!</v>
      </c>
      <c r="Q124" s="20" t="e">
        <f>'Alloc Amt'!Q124/'Alloc Amt'!$E124</f>
        <v>#DIV/0!</v>
      </c>
    </row>
    <row r="125" spans="2:17">
      <c r="B125" s="12">
        <f>'Alloc Amt'!B125</f>
        <v>0</v>
      </c>
      <c r="C125" s="12">
        <f>'Alloc Amt'!C125</f>
        <v>0</v>
      </c>
      <c r="D125" s="12">
        <f>'Alloc Amt'!D125</f>
        <v>119</v>
      </c>
      <c r="E125" s="20" t="e">
        <f t="shared" si="1"/>
        <v>#DIV/0!</v>
      </c>
      <c r="F125" s="20" t="e">
        <f>'Alloc Amt'!F125/'Alloc Amt'!$E125</f>
        <v>#DIV/0!</v>
      </c>
      <c r="G125" s="20" t="e">
        <f>'Alloc Amt'!G125/'Alloc Amt'!$E125</f>
        <v>#DIV/0!</v>
      </c>
      <c r="H125" s="20" t="e">
        <f>'Alloc Amt'!H125/'Alloc Amt'!$E125</f>
        <v>#DIV/0!</v>
      </c>
      <c r="I125" s="20" t="e">
        <f>'Alloc Amt'!I125/'Alloc Amt'!$E125</f>
        <v>#DIV/0!</v>
      </c>
      <c r="J125" s="20" t="e">
        <f>'Alloc Amt'!J125/'Alloc Amt'!$E125</f>
        <v>#DIV/0!</v>
      </c>
      <c r="K125" s="20" t="e">
        <f>'Alloc Amt'!K125/'Alloc Amt'!$E125</f>
        <v>#DIV/0!</v>
      </c>
      <c r="L125" s="20" t="e">
        <f>'Alloc Amt'!L125/'Alloc Amt'!$E125</f>
        <v>#DIV/0!</v>
      </c>
      <c r="M125" s="20" t="e">
        <f>'Alloc Amt'!M125/'Alloc Amt'!$E125</f>
        <v>#DIV/0!</v>
      </c>
      <c r="N125" s="20" t="e">
        <f>'Alloc Amt'!N125/'Alloc Amt'!$E125</f>
        <v>#DIV/0!</v>
      </c>
      <c r="O125" s="20" t="e">
        <f>'Alloc Amt'!O125/'Alloc Amt'!$E125</f>
        <v>#DIV/0!</v>
      </c>
      <c r="P125" s="20" t="e">
        <f>'Alloc Amt'!P125/'Alloc Amt'!$E125</f>
        <v>#DIV/0!</v>
      </c>
      <c r="Q125" s="20" t="e">
        <f>'Alloc Amt'!Q125/'Alloc Amt'!$E125</f>
        <v>#DIV/0!</v>
      </c>
    </row>
  </sheetData>
  <mergeCells count="2">
    <mergeCell ref="S2:U2"/>
    <mergeCell ref="W2:X2"/>
  </mergeCells>
  <pageMargins left="0.7" right="0.7" top="0.75" bottom="0.75" header="0.3" footer="0.3"/>
  <pageSetup scale="58" fitToHeight="0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Date1 xmlns="dc463f71-b30c-4ab2-9473-d307f9d35888">2017-07-05T07:00:00+00:00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170033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B267DC39-CB08-41DD-988A-8D4233C083FF}"/>
</file>

<file path=customXml/itemProps2.xml><?xml version="1.0" encoding="utf-8"?>
<ds:datastoreItem xmlns:ds="http://schemas.openxmlformats.org/officeDocument/2006/customXml" ds:itemID="{D3D876B6-927F-4343-A5DF-0420621C9D55}"/>
</file>

<file path=customXml/itemProps3.xml><?xml version="1.0" encoding="utf-8"?>
<ds:datastoreItem xmlns:ds="http://schemas.openxmlformats.org/officeDocument/2006/customXml" ds:itemID="{D3A623F4-A323-45D7-99E1-353154920394}"/>
</file>

<file path=customXml/itemProps4.xml><?xml version="1.0" encoding="utf-8"?>
<ds:datastoreItem xmlns:ds="http://schemas.openxmlformats.org/officeDocument/2006/customXml" ds:itemID="{9AE8F607-2DEC-43BF-8CB7-5B4F19ADBC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Summary</vt:lpstr>
      <vt:lpstr>Rate Base</vt:lpstr>
      <vt:lpstr>Expenses</vt:lpstr>
      <vt:lpstr>Labor</vt:lpstr>
      <vt:lpstr>Revenue</vt:lpstr>
      <vt:lpstr>Alloc Amt</vt:lpstr>
      <vt:lpstr>Alloc Pct</vt:lpstr>
      <vt:lpstr>Alloc</vt:lpstr>
      <vt:lpstr>'Alloc Amt'!Print_Area</vt:lpstr>
      <vt:lpstr>'Alloc Pct'!Print_Area</vt:lpstr>
      <vt:lpstr>'Rate Base'!Print_Area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JRD</dc:creator>
  <cp:lastModifiedBy>Jenny Dolen</cp:lastModifiedBy>
  <cp:lastPrinted>2017-05-16T17:04:43Z</cp:lastPrinted>
  <dcterms:created xsi:type="dcterms:W3CDTF">2017-04-24T16:57:50Z</dcterms:created>
  <dcterms:modified xsi:type="dcterms:W3CDTF">2017-06-08T19:43:05Z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0x0101006E56B4D1795A2E4DB2F0B01679ED314A00718D2FBB09848246B6FD4A5A815592E3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