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31DA64E3-AEB9-4573-9819-EE32557F3647}" xr6:coauthVersionLast="46" xr6:coauthVersionMax="46" xr10:uidLastSave="{00000000-0000-0000-0000-000000000000}"/>
  <bookViews>
    <workbookView xWindow="28680" yWindow="-120" windowWidth="29040" windowHeight="17640" tabRatio="692" activeTab="3" xr2:uid="{00000000-000D-0000-FFFF-FFFF00000000}"/>
  </bookViews>
  <sheets>
    <sheet name="Lead Sheet Ele" sheetId="4" r:id="rId1"/>
    <sheet name="Lead Sheet Gas" sheetId="3" r:id="rId2"/>
    <sheet name="Medical" sheetId="11" r:id="rId3"/>
    <sheet name="5-Y historical data " sheetId="9" r:id="rId4"/>
    <sheet name="UE-190034" sheetId="10" r:id="rId5"/>
    <sheet name="UE-170485 Pension and Medical" sheetId="5" r:id="rId6"/>
    <sheet name="Sheet1" sheetId="12" r:id="rId7"/>
    <sheet name="UE-160228 Retirement" sheetId="8" r:id="rId8"/>
    <sheet name="UE-150204 Pension &amp; Medical" sheetId="7" r:id="rId9"/>
    <sheet name="UE-140188 Pension &amp; Medical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'5-Y historical data '!$B$1:$L$25</definedName>
    <definedName name="_xlnm.Print_Area" localSheetId="0">'Lead Sheet Ele'!$A$1:$F$82</definedName>
    <definedName name="_xlnm.Print_Area" localSheetId="1">'Lead Sheet Gas'!$A$1:$H$81</definedName>
    <definedName name="_xlnm.Print_Area" localSheetId="2">Medical!$B$6:$P$44</definedName>
    <definedName name="_xlnm.Print_Area" localSheetId="9">'UE-140188 Pension &amp; Medical'!$A$1:$I$45</definedName>
    <definedName name="_xlnm.Print_Area" localSheetId="8">'UE-150204 Pension &amp; Medical'!$A$1:$J$61</definedName>
    <definedName name="_xlnm.Print_Titles" localSheetId="9">'UE-140188 Pension &amp; Medical'!$1:$11</definedName>
    <definedName name="_xlnm.Print_Titles" localSheetId="8">'UE-150204 Pension &amp; Medical'!$1:$15</definedName>
    <definedName name="_xlnm.Print_Titles" localSheetId="7">'UE-160228 Retirement'!$1:$11</definedName>
    <definedName name="Recover" localSheetId="9">[1]Macro1!$A$69</definedName>
    <definedName name="Recover" localSheetId="8">[1]Macro1!$A$69</definedName>
    <definedName name="Recover" localSheetId="7">[1]Macro1!$A$69</definedName>
    <definedName name="Recover">[2]Macro1!$A$69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4" l="1"/>
  <c r="F67" i="4"/>
  <c r="F75" i="4" s="1"/>
  <c r="F78" i="4" s="1"/>
  <c r="F82" i="4" s="1"/>
  <c r="F47" i="4"/>
  <c r="F36" i="4"/>
  <c r="F29" i="4"/>
  <c r="F18" i="4"/>
  <c r="F20" i="4" s="1"/>
  <c r="E74" i="4"/>
  <c r="E67" i="4"/>
  <c r="E75" i="4" s="1"/>
  <c r="E78" i="4" s="1"/>
  <c r="E82" i="4" s="1"/>
  <c r="E47" i="4"/>
  <c r="E36" i="4"/>
  <c r="E29" i="4"/>
  <c r="E20" i="4"/>
  <c r="E18" i="4"/>
  <c r="F72" i="3"/>
  <c r="F66" i="3"/>
  <c r="F48" i="3"/>
  <c r="F37" i="3"/>
  <c r="F31" i="3"/>
  <c r="F25" i="3"/>
  <c r="F18" i="3"/>
  <c r="E72" i="3"/>
  <c r="E66" i="3"/>
  <c r="E48" i="3"/>
  <c r="E37" i="3"/>
  <c r="E31" i="3"/>
  <c r="E25" i="3"/>
  <c r="E18" i="3"/>
  <c r="N41" i="11"/>
  <c r="O41" i="11" s="1"/>
  <c r="G43" i="6"/>
  <c r="D29" i="6"/>
  <c r="D26" i="6"/>
  <c r="D25" i="6"/>
  <c r="E27" i="6" s="1"/>
  <c r="D21" i="6"/>
  <c r="D18" i="6"/>
  <c r="D17" i="6"/>
  <c r="E19" i="6" s="1"/>
  <c r="E15" i="6"/>
  <c r="D14" i="6"/>
  <c r="D30" i="6" s="1"/>
  <c r="E31" i="6" s="1"/>
  <c r="D13" i="6"/>
  <c r="G9" i="6"/>
  <c r="G10" i="6" s="1"/>
  <c r="I8" i="6"/>
  <c r="H8" i="6"/>
  <c r="G8" i="6"/>
  <c r="I7" i="6"/>
  <c r="H7" i="6"/>
  <c r="I6" i="6"/>
  <c r="H6" i="6"/>
  <c r="C2" i="6"/>
  <c r="C1" i="6"/>
  <c r="I61" i="7"/>
  <c r="H61" i="7"/>
  <c r="G61" i="7"/>
  <c r="I55" i="7"/>
  <c r="H55" i="7"/>
  <c r="G55" i="7"/>
  <c r="I53" i="7"/>
  <c r="H51" i="7"/>
  <c r="G51" i="7"/>
  <c r="I48" i="7"/>
  <c r="H48" i="7"/>
  <c r="G48" i="7"/>
  <c r="I47" i="7"/>
  <c r="G47" i="7"/>
  <c r="I46" i="7"/>
  <c r="H46" i="7"/>
  <c r="G46" i="7"/>
  <c r="I44" i="7"/>
  <c r="G44" i="7"/>
  <c r="I37" i="7"/>
  <c r="H37" i="7"/>
  <c r="I35" i="7"/>
  <c r="H35" i="7"/>
  <c r="I31" i="7"/>
  <c r="H31" i="7"/>
  <c r="I27" i="7"/>
  <c r="H27" i="7"/>
  <c r="I23" i="7"/>
  <c r="H23" i="7"/>
  <c r="I17" i="7"/>
  <c r="D17" i="7"/>
  <c r="D18" i="7" s="1"/>
  <c r="E19" i="7" s="1"/>
  <c r="G13" i="7"/>
  <c r="G14" i="7" s="1"/>
  <c r="I12" i="7"/>
  <c r="G12" i="7"/>
  <c r="I10" i="7"/>
  <c r="G10" i="7"/>
  <c r="I9" i="7"/>
  <c r="G9" i="7"/>
  <c r="I8" i="7"/>
  <c r="G8" i="7"/>
  <c r="I7" i="7"/>
  <c r="G7" i="7"/>
  <c r="G6" i="7"/>
  <c r="C2" i="7"/>
  <c r="C1" i="7"/>
  <c r="G55" i="8"/>
  <c r="I33" i="8"/>
  <c r="H33" i="8"/>
  <c r="I31" i="8"/>
  <c r="H31" i="8"/>
  <c r="I27" i="8"/>
  <c r="H27" i="8"/>
  <c r="I23" i="8"/>
  <c r="H23" i="8"/>
  <c r="E19" i="8"/>
  <c r="D18" i="8"/>
  <c r="A18" i="8"/>
  <c r="I17" i="8"/>
  <c r="I15" i="8"/>
  <c r="E15" i="8"/>
  <c r="I14" i="8"/>
  <c r="D14" i="8"/>
  <c r="I13" i="8"/>
  <c r="I12" i="8"/>
  <c r="I9" i="8"/>
  <c r="G9" i="8"/>
  <c r="G8" i="8"/>
  <c r="G10" i="8" s="1"/>
  <c r="I7" i="8"/>
  <c r="G7" i="8"/>
  <c r="G6" i="8"/>
  <c r="C2" i="8"/>
  <c r="C1" i="8"/>
  <c r="I17" i="5"/>
  <c r="I15" i="5"/>
  <c r="I14" i="5"/>
  <c r="I13" i="5"/>
  <c r="I12" i="5"/>
  <c r="I10" i="5"/>
  <c r="I9" i="5"/>
  <c r="I8" i="5"/>
  <c r="I7" i="5"/>
  <c r="I17" i="10"/>
  <c r="I15" i="10"/>
  <c r="I14" i="10"/>
  <c r="I13" i="10"/>
  <c r="I12" i="10"/>
  <c r="I10" i="10"/>
  <c r="I9" i="10"/>
  <c r="I8" i="10"/>
  <c r="I7" i="10"/>
  <c r="P37" i="11"/>
  <c r="O37" i="11"/>
  <c r="N37" i="11"/>
  <c r="P32" i="11"/>
  <c r="O32" i="11"/>
  <c r="N32" i="11"/>
  <c r="O27" i="11"/>
  <c r="N27" i="11"/>
  <c r="P22" i="11"/>
  <c r="E22" i="11"/>
  <c r="O22" i="11" s="1"/>
  <c r="O17" i="11"/>
  <c r="N17" i="11"/>
  <c r="K25" i="9"/>
  <c r="K24" i="9"/>
  <c r="L23" i="9"/>
  <c r="K23" i="9"/>
  <c r="J23" i="9"/>
  <c r="I23" i="9"/>
  <c r="H23" i="9"/>
  <c r="G23" i="9"/>
  <c r="F23" i="9"/>
  <c r="E23" i="9"/>
  <c r="E48" i="4" l="1"/>
  <c r="E50" i="4" s="1"/>
  <c r="F48" i="4"/>
  <c r="F50" i="4" s="1"/>
  <c r="F54" i="4"/>
  <c r="E54" i="4"/>
  <c r="E53" i="4"/>
  <c r="F49" i="3"/>
  <c r="F51" i="3" s="1"/>
  <c r="E73" i="3"/>
  <c r="E75" i="3" s="1"/>
  <c r="E81" i="3" s="1"/>
  <c r="E55" i="3" s="1"/>
  <c r="F73" i="3"/>
  <c r="F75" i="3" s="1"/>
  <c r="F81" i="3" s="1"/>
  <c r="F55" i="3" s="1"/>
  <c r="E49" i="3"/>
  <c r="E51" i="3" s="1"/>
  <c r="E54" i="3" s="1"/>
  <c r="G15" i="8"/>
  <c r="G19" i="8"/>
  <c r="G31" i="6"/>
  <c r="G27" i="6"/>
  <c r="G19" i="6"/>
  <c r="G15" i="6"/>
  <c r="I14" i="7"/>
  <c r="G19" i="7"/>
  <c r="I8" i="8"/>
  <c r="I10" i="8" s="1"/>
  <c r="I13" i="7"/>
  <c r="I15" i="7" s="1"/>
  <c r="H9" i="6"/>
  <c r="D22" i="6"/>
  <c r="E23" i="6" s="1"/>
  <c r="G23" i="6" s="1"/>
  <c r="P17" i="11"/>
  <c r="P44" i="11" s="1"/>
  <c r="N22" i="11"/>
  <c r="E58" i="4" l="1"/>
  <c r="F53" i="4"/>
  <c r="F58" i="4" s="1"/>
  <c r="F54" i="3"/>
  <c r="F59" i="3" s="1"/>
  <c r="E59" i="3"/>
  <c r="G33" i="6"/>
  <c r="G34" i="6" s="1"/>
  <c r="I9" i="6"/>
  <c r="H10" i="6"/>
  <c r="H19" i="6" l="1"/>
  <c r="I19" i="6" s="1"/>
  <c r="H31" i="6"/>
  <c r="I31" i="6" s="1"/>
  <c r="H23" i="6"/>
  <c r="I23" i="6" s="1"/>
  <c r="H15" i="6"/>
  <c r="H27" i="6"/>
  <c r="I27" i="6" s="1"/>
  <c r="I10" i="6"/>
  <c r="H33" i="6" l="1"/>
  <c r="H34" i="6" s="1"/>
  <c r="I15" i="6"/>
  <c r="I33" i="6" s="1"/>
  <c r="I3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Huang, Joanna (UTC)</author>
  </authors>
  <commentList>
    <comment ref="F17" authorId="0" shapeId="0" xr:uid="{AE9A9EB2-49A5-41A7-A312-DDBDB68EF6F7}">
      <text>
        <r>
          <rPr>
            <b/>
            <sz val="9"/>
            <color indexed="81"/>
            <rFont val="Tahoma"/>
            <family val="2"/>
          </rPr>
          <t>Huang, Joanna (UTC):</t>
        </r>
        <r>
          <rPr>
            <sz val="9"/>
            <color indexed="81"/>
            <rFont val="Tahoma"/>
            <family val="2"/>
          </rPr>
          <t xml:space="preserve">
2015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brandon</author>
  </authors>
  <commentList>
    <comment ref="D4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Based on September 22, 2014 Assets and a Discount rate of 4.4% 
</t>
        </r>
      </text>
    </comment>
    <comment ref="H4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2017</t>
        </r>
      </text>
    </comment>
    <comment ref="H4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2017</t>
        </r>
      </text>
    </comment>
  </commentList>
</comments>
</file>

<file path=xl/sharedStrings.xml><?xml version="1.0" encoding="utf-8"?>
<sst xmlns="http://schemas.openxmlformats.org/spreadsheetml/2006/main" count="432" uniqueCount="231">
  <si>
    <t>Actual</t>
  </si>
  <si>
    <t>Task Number</t>
  </si>
  <si>
    <t>Task Name</t>
  </si>
  <si>
    <t>926220</t>
  </si>
  <si>
    <t>Health Insurance</t>
  </si>
  <si>
    <t>926221</t>
  </si>
  <si>
    <t>Health Insure - HDHP</t>
  </si>
  <si>
    <t>926240</t>
  </si>
  <si>
    <t>FAS 106</t>
  </si>
  <si>
    <t>926251</t>
  </si>
  <si>
    <t>FAS 106 NS</t>
  </si>
  <si>
    <t>926225</t>
  </si>
  <si>
    <t>401 (k)</t>
  </si>
  <si>
    <t>926226</t>
  </si>
  <si>
    <t>401(K) Non-Elect Con</t>
  </si>
  <si>
    <t>926230</t>
  </si>
  <si>
    <t>Pension FAS 87</t>
  </si>
  <si>
    <t>926253</t>
  </si>
  <si>
    <t>Pension FAS 87 NS</t>
  </si>
  <si>
    <t>Grand Total</t>
  </si>
  <si>
    <t>5-Year Average</t>
  </si>
  <si>
    <t xml:space="preserve">AVISTA UTILITIES  </t>
  </si>
  <si>
    <t>TWELVE MONTHS ENDED DECEMBER 31, 2018</t>
  </si>
  <si>
    <t xml:space="preserve">(000'S OF DOLLARS)  </t>
  </si>
  <si>
    <t xml:space="preserve">Employee Benefits Analysis </t>
  </si>
  <si>
    <t xml:space="preserve">Pro-Forma </t>
  </si>
  <si>
    <t>Line</t>
  </si>
  <si>
    <t>No.</t>
  </si>
  <si>
    <t>DESCRIPTION</t>
  </si>
  <si>
    <t xml:space="preserve">Adjustment Number </t>
  </si>
  <si>
    <t>Workpaper Reference</t>
  </si>
  <si>
    <t>Depreciation/Amortization</t>
  </si>
  <si>
    <t>Debt Interest</t>
  </si>
  <si>
    <t>ACCUMULATED DEPRECIATION/AMORT</t>
  </si>
  <si>
    <t>Net Plant After DFIT</t>
  </si>
  <si>
    <t xml:space="preserve">WORKING CAPITAL 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</si>
  <si>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</si>
  <si>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</si>
  <si>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</si>
  <si>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</si>
  <si>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</si>
  <si>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</si>
  <si>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</si>
  <si>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</si>
  <si>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</si>
  <si>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</si>
  <si>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</si>
  <si>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</si>
  <si>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</si>
  <si>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</si>
  <si>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</si>
  <si>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</si>
  <si>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</si>
  <si>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</si>
  <si>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</si>
  <si>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</si>
  <si>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</si>
  <si>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</si>
  <si>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</si>
  <si>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</si>
  <si>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</si>
  <si>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</si>
  <si>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</si>
  <si>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</si>
  <si>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</si>
  <si>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</si>
  <si>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</si>
  <si>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</si>
  <si>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NET PLANT</t>
  </si>
  <si>
    <t>GAS INVENTORY</t>
  </si>
  <si>
    <t>GAIN ON SALE OF BUILDING</t>
  </si>
  <si>
    <t>OTHER</t>
  </si>
  <si>
    <t>TOTAL RATE BASE</t>
  </si>
  <si>
    <t xml:space="preserve">Pro Forma </t>
  </si>
  <si>
    <t xml:space="preserve">Employee </t>
  </si>
  <si>
    <t>Benefits</t>
  </si>
  <si>
    <t>E-PEB</t>
  </si>
  <si>
    <t>Pro Forma</t>
  </si>
  <si>
    <t>Employee</t>
  </si>
  <si>
    <t>G-PEB</t>
  </si>
  <si>
    <t xml:space="preserve">SYSTEM RESULTS </t>
  </si>
  <si>
    <t xml:space="preserve">(1)  2015 projected expense less 12ME 06/30/2013 actual expense </t>
  </si>
  <si>
    <t>Pension</t>
  </si>
  <si>
    <t>Medical</t>
  </si>
  <si>
    <t>TOTAL</t>
  </si>
  <si>
    <t>2015 projection (medical), 2015 projection (pension)</t>
  </si>
  <si>
    <t>**</t>
  </si>
  <si>
    <t>12 month ended June 2013 actual</t>
  </si>
  <si>
    <t>Difference</t>
  </si>
  <si>
    <t>Allocation to utility</t>
  </si>
  <si>
    <t xml:space="preserve">   Net increase to utility</t>
  </si>
  <si>
    <t>12 month period end 06/30/2013</t>
  </si>
  <si>
    <t>Washington Electric Labor</t>
  </si>
  <si>
    <t>Total Company Labor</t>
  </si>
  <si>
    <t>G_FLB-8</t>
  </si>
  <si>
    <t>% of total</t>
  </si>
  <si>
    <t xml:space="preserve"> Idaho Electric Labor</t>
  </si>
  <si>
    <t>Washington Gas Labor</t>
  </si>
  <si>
    <t>Idaho Gas Labor</t>
  </si>
  <si>
    <t>Oregon Gas Labor</t>
  </si>
  <si>
    <t>O&amp;M</t>
  </si>
  <si>
    <t>O &amp; M %</t>
  </si>
  <si>
    <t>Source</t>
  </si>
  <si>
    <t>TW</t>
  </si>
  <si>
    <t>Towers Watson Estimated 2014-2017 Pension Expense</t>
  </si>
  <si>
    <t>Medical:</t>
  </si>
  <si>
    <t>MC</t>
  </si>
  <si>
    <t>Mercer</t>
  </si>
  <si>
    <t>EBA Medical Health Insurance</t>
  </si>
  <si>
    <t>Group Health Medical Insurance</t>
  </si>
  <si>
    <t>(2014 Amount)</t>
  </si>
  <si>
    <t xml:space="preserve">(1)  2015 projected expense less 12ME 12/31/2013 actual expense </t>
  </si>
  <si>
    <t>2016 projection (medical), 2016 projection (pension)</t>
  </si>
  <si>
    <t>12 month ended September 2014 actual</t>
  </si>
  <si>
    <t>Incremental Increase for 6 months ending 06.30.2017</t>
  </si>
  <si>
    <t>12 month period end 09/30/2014</t>
  </si>
  <si>
    <t>Total OPER Labor</t>
  </si>
  <si>
    <t>2 ME 12.2016</t>
  </si>
  <si>
    <t>12 ME 2017</t>
  </si>
  <si>
    <t>difference @ 6 months</t>
  </si>
  <si>
    <t>Task</t>
  </si>
  <si>
    <t>Towers Watson Estimated 2014-2019 Pension Expense</t>
  </si>
  <si>
    <t>2016  /2017</t>
  </si>
  <si>
    <t>2016 estimate</t>
  </si>
  <si>
    <t>Admin</t>
  </si>
  <si>
    <t>Plus 401K</t>
  </si>
  <si>
    <t>Total</t>
  </si>
  <si>
    <t>2015 estimate</t>
  </si>
  <si>
    <t>Medical from Mercer</t>
  </si>
  <si>
    <t>Adjustment for IBNR</t>
  </si>
  <si>
    <t>Admin Fees</t>
  </si>
  <si>
    <t>Retirement</t>
  </si>
  <si>
    <t>Pro-Forma Adjustment</t>
  </si>
  <si>
    <t>12 Months Ending</t>
  </si>
  <si>
    <t>Total Adjustment</t>
  </si>
  <si>
    <t>O &amp; M Allocation Percent</t>
  </si>
  <si>
    <t xml:space="preserve">   Net O &amp; M increase to utility</t>
  </si>
  <si>
    <t>Year End</t>
  </si>
  <si>
    <t>Pro-Forma</t>
  </si>
  <si>
    <t>YE 12.31.2016</t>
  </si>
  <si>
    <t>YE 12.31.2017</t>
  </si>
  <si>
    <t>Adjustment</t>
  </si>
  <si>
    <t>Health Insurance (Premera and Group Health)</t>
  </si>
  <si>
    <t xml:space="preserve">FAS 106 (Post-Retirement Medical) </t>
  </si>
  <si>
    <t>Total Medical</t>
  </si>
  <si>
    <t>Total Retirement</t>
  </si>
  <si>
    <t>O &amp; M Percent</t>
  </si>
  <si>
    <t>Total O&amp;M</t>
  </si>
  <si>
    <t>YE 12.31.2018</t>
  </si>
  <si>
    <t>YE 12.31.2019</t>
  </si>
  <si>
    <t>Avista Proposed 2020</t>
  </si>
  <si>
    <t>2015-2019</t>
  </si>
  <si>
    <t>Health Insurance (High Deductible Plan)</t>
  </si>
  <si>
    <t xml:space="preserve">Avista Proposed </t>
  </si>
  <si>
    <t xml:space="preserve">Staff Proposed </t>
  </si>
  <si>
    <t>Source: UE-190334/UG-190335</t>
  </si>
  <si>
    <t>WASHINGTON NATURAL GAS</t>
  </si>
  <si>
    <t>Adjsutment Number</t>
  </si>
  <si>
    <t>Production Expenses</t>
  </si>
  <si>
    <t>RATE BASE</t>
  </si>
  <si>
    <t>PLANT IN SERVICE</t>
  </si>
  <si>
    <t>Total Accumulated Depreciation/Amortization</t>
  </si>
  <si>
    <t>DEFERRED TAXES</t>
  </si>
  <si>
    <t>Source: UE-200900/UG-200901</t>
  </si>
  <si>
    <t>Rate Period</t>
  </si>
  <si>
    <t xml:space="preserve">Test period actual </t>
  </si>
  <si>
    <t>Rate year pro forma</t>
  </si>
  <si>
    <t>Test year</t>
  </si>
  <si>
    <t>UE-140188</t>
  </si>
  <si>
    <t>UE-150205</t>
  </si>
  <si>
    <t>UE-160228</t>
  </si>
  <si>
    <t>UE-170485</t>
  </si>
  <si>
    <t>UE-190335</t>
  </si>
  <si>
    <t>This requested amount of $9,754,394 or 10.14% increase is ubsurd and outrageous.</t>
  </si>
  <si>
    <t>UE-140448</t>
  </si>
  <si>
    <t>Source:</t>
  </si>
  <si>
    <t>BEN-02</t>
  </si>
  <si>
    <t xml:space="preserve">FAS 106/FAS 106 NS (Post-Retirement Medical) </t>
  </si>
  <si>
    <t>Pension FAS 87/Pension FAS 81 NS</t>
  </si>
  <si>
    <t>BEN-03</t>
  </si>
  <si>
    <t>UE-200900</t>
  </si>
  <si>
    <t>Requested Increase Amount</t>
  </si>
  <si>
    <t>TWELVE MONTHS ENDED DECEMBER 31, 2019</t>
  </si>
  <si>
    <t>Requested Increase Percentage</t>
  </si>
  <si>
    <t xml:space="preserve">WASHINGTON ELECTRIC RESULTS </t>
  </si>
  <si>
    <t>Benefits Analysis</t>
  </si>
  <si>
    <t>Avista</t>
  </si>
  <si>
    <t>Staff</t>
  </si>
  <si>
    <t>as Filed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</si>
  <si>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</si>
  <si>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</si>
  <si>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</si>
  <si>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</si>
  <si>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</si>
  <si>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</si>
  <si>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</si>
  <si>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</si>
  <si>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</si>
  <si>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</si>
  <si>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</si>
  <si>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</si>
  <si>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</si>
  <si>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</si>
  <si>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</si>
  <si>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</si>
  <si>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</si>
  <si>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</si>
  <si>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</si>
  <si>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</si>
  <si>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</si>
  <si>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</si>
  <si>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</si>
  <si>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</si>
  <si>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</si>
  <si>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</si>
  <si>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</si>
  <si>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</si>
  <si>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</si>
  <si>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</si>
  <si>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</si>
  <si>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</si>
  <si>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</si>
  <si>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</si>
  <si>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</si>
  <si>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</si>
  <si>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</si>
  <si>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Total Accumulated Depreciation</t>
  </si>
  <si>
    <t xml:space="preserve">NET PLANT </t>
  </si>
  <si>
    <t xml:space="preserve">DEFERRED TAXES  </t>
  </si>
  <si>
    <t>DEFERRED DEBITS AND CREDITS &amp; OTHER</t>
  </si>
  <si>
    <t xml:space="preserve">TOTAL RATE BASE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</si>
</sst>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##,###,##0"/>
    <numFmt numFmtId="167" formatCode="0.000%"/>
    <numFmt numFmtId="168" formatCode="&quot;$&quot;#,##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Geneva"/>
    </font>
    <font>
      <u/>
      <sz val="7.5"/>
      <color theme="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sz val="10"/>
      <color indexed="56"/>
      <name val="Times New Roman"/>
      <family val="1"/>
    </font>
    <font>
      <b/>
      <u/>
      <sz val="10"/>
      <name val="Times New Roman"/>
      <family val="1"/>
    </font>
    <font>
      <i/>
      <sz val="10"/>
      <color indexed="12"/>
      <name val="Times New Roman"/>
      <family val="1"/>
    </font>
    <font>
      <i/>
      <sz val="8"/>
      <color indexed="10"/>
      <name val="Times New Roman"/>
      <family val="1"/>
    </font>
    <font>
      <sz val="9"/>
      <color rgb="FFFF000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3333FF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Tahoma"/>
      <family val="2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92D050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/>
      <diagonal/>
    </border>
    <border>
      <left/>
      <right style="thin">
        <color indexed="64"/>
      </right>
      <top style="thin">
        <color theme="3" tint="0.5999633777886288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352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0" borderId="1" xfId="0" applyFont="1" applyBorder="1"/>
    <xf numFmtId="165" fontId="1" fillId="0" borderId="1" xfId="2" applyNumberFormat="1" applyFont="1" applyBorder="1"/>
    <xf numFmtId="165" fontId="1" fillId="0" borderId="0" xfId="2" applyNumberFormat="1" applyFont="1" applyBorder="1"/>
    <xf numFmtId="0" fontId="1" fillId="0" borderId="2" xfId="0" applyFont="1" applyBorder="1"/>
    <xf numFmtId="165" fontId="1" fillId="0" borderId="2" xfId="2" applyNumberFormat="1" applyFont="1" applyBorder="1"/>
    <xf numFmtId="165" fontId="1" fillId="0" borderId="2" xfId="0" applyNumberFormat="1" applyFont="1" applyBorder="1"/>
    <xf numFmtId="165" fontId="1" fillId="0" borderId="0" xfId="0" applyNumberFormat="1" applyFont="1" applyBorder="1"/>
    <xf numFmtId="0" fontId="1" fillId="0" borderId="3" xfId="0" applyFont="1" applyBorder="1"/>
    <xf numFmtId="165" fontId="1" fillId="0" borderId="3" xfId="2" applyNumberFormat="1" applyFont="1" applyBorder="1"/>
    <xf numFmtId="0" fontId="1" fillId="2" borderId="0" xfId="0" applyFont="1" applyFill="1"/>
    <xf numFmtId="165" fontId="2" fillId="2" borderId="0" xfId="2" applyNumberFormat="1" applyFont="1" applyFill="1"/>
    <xf numFmtId="0" fontId="7" fillId="0" borderId="0" xfId="5" applyNumberFormat="1" applyFont="1" applyAlignment="1">
      <alignment horizontal="left"/>
    </xf>
    <xf numFmtId="0" fontId="8" fillId="0" borderId="0" xfId="5" applyFont="1"/>
    <xf numFmtId="0" fontId="10" fillId="0" borderId="0" xfId="5" applyFont="1" applyAlignment="1">
      <alignment horizontal="center"/>
    </xf>
    <xf numFmtId="0" fontId="10" fillId="0" borderId="11" xfId="5" applyFont="1" applyBorder="1" applyAlignment="1">
      <alignment horizontal="center"/>
    </xf>
    <xf numFmtId="2" fontId="10" fillId="0" borderId="0" xfId="5" applyNumberFormat="1" applyFont="1" applyAlignment="1">
      <alignment horizontal="center"/>
    </xf>
    <xf numFmtId="2" fontId="8" fillId="0" borderId="0" xfId="5" applyNumberFormat="1" applyFont="1" applyAlignment="1">
      <alignment horizontal="left"/>
    </xf>
    <xf numFmtId="37" fontId="8" fillId="0" borderId="0" xfId="5" applyNumberFormat="1" applyFont="1" applyAlignment="1">
      <alignment horizontal="center"/>
    </xf>
    <xf numFmtId="5" fontId="8" fillId="0" borderId="0" xfId="5" applyNumberFormat="1" applyFont="1"/>
    <xf numFmtId="37" fontId="8" fillId="0" borderId="0" xfId="5" applyNumberFormat="1" applyFont="1"/>
    <xf numFmtId="1" fontId="8" fillId="0" borderId="0" xfId="6" applyNumberFormat="1" applyFont="1" applyAlignment="1">
      <alignment horizontal="center"/>
    </xf>
    <xf numFmtId="3" fontId="8" fillId="0" borderId="0" xfId="6" applyNumberFormat="1" applyFont="1" applyAlignment="1">
      <alignment horizontal="center"/>
    </xf>
    <xf numFmtId="0" fontId="8" fillId="0" borderId="0" xfId="7" applyFont="1"/>
    <xf numFmtId="5" fontId="8" fillId="0" borderId="0" xfId="7" applyNumberFormat="1" applyFont="1"/>
    <xf numFmtId="37" fontId="8" fillId="0" borderId="0" xfId="7" applyNumberFormat="1" applyFont="1"/>
    <xf numFmtId="0" fontId="8" fillId="0" borderId="0" xfId="0" applyFont="1"/>
    <xf numFmtId="41" fontId="10" fillId="0" borderId="0" xfId="5" applyNumberFormat="1" applyFont="1" applyFill="1" applyBorder="1" applyAlignment="1">
      <alignment horizontal="center" wrapText="1"/>
    </xf>
    <xf numFmtId="5" fontId="8" fillId="0" borderId="0" xfId="9" applyNumberFormat="1" applyFont="1" applyFill="1" applyBorder="1"/>
    <xf numFmtId="41" fontId="8" fillId="0" borderId="0" xfId="5" applyNumberFormat="1" applyFont="1" applyFill="1" applyBorder="1"/>
    <xf numFmtId="41" fontId="8" fillId="0" borderId="0" xfId="5" applyNumberFormat="1" applyFont="1" applyBorder="1"/>
    <xf numFmtId="0" fontId="0" fillId="0" borderId="0" xfId="0" applyBorder="1"/>
    <xf numFmtId="4" fontId="10" fillId="0" borderId="0" xfId="7" applyNumberFormat="1" applyFont="1" applyFill="1" applyBorder="1" applyAlignment="1">
      <alignment horizontal="center"/>
    </xf>
    <xf numFmtId="41" fontId="8" fillId="0" borderId="0" xfId="7" applyNumberFormat="1" applyFont="1" applyFill="1" applyBorder="1"/>
    <xf numFmtId="41" fontId="8" fillId="0" borderId="0" xfId="9" applyNumberFormat="1" applyFont="1" applyFill="1" applyBorder="1"/>
    <xf numFmtId="3" fontId="10" fillId="0" borderId="0" xfId="7" applyNumberFormat="1" applyFont="1" applyFill="1" applyBorder="1"/>
    <xf numFmtId="0" fontId="13" fillId="0" borderId="0" xfId="5" applyNumberFormat="1" applyFont="1" applyAlignment="1">
      <alignment horizontal="left"/>
    </xf>
    <xf numFmtId="164" fontId="0" fillId="0" borderId="0" xfId="1" applyNumberFormat="1" applyFont="1" applyBorder="1"/>
    <xf numFmtId="0" fontId="9" fillId="0" borderId="0" xfId="11" applyFont="1"/>
    <xf numFmtId="0" fontId="16" fillId="0" borderId="0" xfId="11" applyFont="1" applyAlignment="1">
      <alignment horizontal="center"/>
    </xf>
    <xf numFmtId="0" fontId="9" fillId="0" borderId="0" xfId="11" applyFont="1" applyAlignment="1">
      <alignment horizontal="center"/>
    </xf>
    <xf numFmtId="0" fontId="17" fillId="0" borderId="0" xfId="11" applyFont="1"/>
    <xf numFmtId="0" fontId="18" fillId="0" borderId="0" xfId="11" applyFont="1"/>
    <xf numFmtId="168" fontId="9" fillId="0" borderId="0" xfId="11" applyNumberFormat="1" applyFont="1"/>
    <xf numFmtId="0" fontId="9" fillId="0" borderId="11" xfId="11" applyFont="1" applyFill="1" applyBorder="1" applyAlignment="1">
      <alignment horizontal="center"/>
    </xf>
    <xf numFmtId="0" fontId="9" fillId="0" borderId="0" xfId="11" applyFont="1" applyFill="1" applyBorder="1" applyAlignment="1">
      <alignment horizontal="center"/>
    </xf>
    <xf numFmtId="0" fontId="18" fillId="0" borderId="0" xfId="11" applyFont="1" applyFill="1"/>
    <xf numFmtId="168" fontId="19" fillId="0" borderId="0" xfId="11" applyNumberFormat="1" applyFont="1"/>
    <xf numFmtId="165" fontId="18" fillId="0" borderId="0" xfId="12" applyNumberFormat="1" applyFont="1" applyFill="1" applyBorder="1"/>
    <xf numFmtId="164" fontId="18" fillId="0" borderId="0" xfId="13" applyNumberFormat="1" applyFont="1" applyFill="1" applyBorder="1"/>
    <xf numFmtId="0" fontId="9" fillId="0" borderId="0" xfId="11" applyFont="1" applyFill="1"/>
    <xf numFmtId="165" fontId="18" fillId="0" borderId="11" xfId="12" applyNumberFormat="1" applyFont="1" applyFill="1" applyBorder="1"/>
    <xf numFmtId="3" fontId="20" fillId="0" borderId="0" xfId="11" applyNumberFormat="1" applyFont="1" applyFill="1" applyBorder="1" applyAlignment="1">
      <alignment horizontal="center"/>
    </xf>
    <xf numFmtId="168" fontId="9" fillId="0" borderId="0" xfId="11" applyNumberFormat="1" applyFont="1" applyFill="1"/>
    <xf numFmtId="0" fontId="9" fillId="0" borderId="0" xfId="11" applyFont="1" applyFill="1" applyBorder="1"/>
    <xf numFmtId="10" fontId="9" fillId="0" borderId="11" xfId="11" applyNumberFormat="1" applyFont="1" applyFill="1" applyBorder="1"/>
    <xf numFmtId="0" fontId="9" fillId="0" borderId="0" xfId="11" applyFont="1" applyBorder="1"/>
    <xf numFmtId="0" fontId="21" fillId="0" borderId="0" xfId="11" applyFont="1" applyBorder="1"/>
    <xf numFmtId="43" fontId="9" fillId="0" borderId="0" xfId="13" applyFont="1" applyBorder="1"/>
    <xf numFmtId="0" fontId="18" fillId="0" borderId="0" xfId="11" applyFont="1" applyFill="1" applyBorder="1"/>
    <xf numFmtId="0" fontId="22" fillId="0" borderId="0" xfId="11" applyFont="1" applyFill="1" applyBorder="1"/>
    <xf numFmtId="44" fontId="9" fillId="0" borderId="0" xfId="12" applyFont="1" applyFill="1" applyBorder="1"/>
    <xf numFmtId="0" fontId="23" fillId="0" borderId="0" xfId="11" applyFont="1" applyFill="1" applyBorder="1"/>
    <xf numFmtId="0" fontId="24" fillId="0" borderId="0" xfId="11" applyFont="1"/>
    <xf numFmtId="44" fontId="18" fillId="0" borderId="0" xfId="12" applyFont="1" applyFill="1"/>
    <xf numFmtId="44" fontId="9" fillId="0" borderId="0" xfId="11" applyNumberFormat="1" applyFont="1" applyFill="1" applyBorder="1"/>
    <xf numFmtId="167" fontId="9" fillId="0" borderId="11" xfId="14" applyNumberFormat="1" applyFont="1" applyFill="1" applyBorder="1"/>
    <xf numFmtId="168" fontId="9" fillId="0" borderId="15" xfId="11" applyNumberFormat="1" applyFont="1" applyFill="1" applyBorder="1"/>
    <xf numFmtId="0" fontId="25" fillId="0" borderId="0" xfId="11" applyFont="1"/>
    <xf numFmtId="44" fontId="9" fillId="0" borderId="0" xfId="12" applyFont="1" applyFill="1"/>
    <xf numFmtId="0" fontId="23" fillId="0" borderId="0" xfId="11" applyFont="1" applyFill="1"/>
    <xf numFmtId="168" fontId="9" fillId="4" borderId="17" xfId="11" applyNumberFormat="1" applyFont="1" applyFill="1" applyBorder="1"/>
    <xf numFmtId="168" fontId="9" fillId="4" borderId="18" xfId="11" applyNumberFormat="1" applyFont="1" applyFill="1" applyBorder="1"/>
    <xf numFmtId="0" fontId="9" fillId="0" borderId="0" xfId="11" applyFont="1" applyFill="1" applyAlignment="1">
      <alignment horizontal="right"/>
    </xf>
    <xf numFmtId="168" fontId="9" fillId="5" borderId="0" xfId="11" applyNumberFormat="1" applyFont="1" applyFill="1"/>
    <xf numFmtId="10" fontId="9" fillId="0" borderId="0" xfId="14" applyNumberFormat="1" applyFont="1"/>
    <xf numFmtId="0" fontId="9" fillId="0" borderId="11" xfId="11" applyFont="1" applyBorder="1"/>
    <xf numFmtId="0" fontId="9" fillId="0" borderId="0" xfId="11" applyFont="1" applyAlignment="1">
      <alignment vertical="top"/>
    </xf>
    <xf numFmtId="0" fontId="9" fillId="0" borderId="0" xfId="11" applyFont="1" applyAlignment="1">
      <alignment horizontal="left" wrapText="1"/>
    </xf>
    <xf numFmtId="165" fontId="9" fillId="0" borderId="0" xfId="12" applyNumberFormat="1" applyFont="1"/>
    <xf numFmtId="165" fontId="9" fillId="0" borderId="11" xfId="12" applyNumberFormat="1" applyFont="1" applyBorder="1"/>
    <xf numFmtId="0" fontId="9" fillId="0" borderId="0" xfId="11" applyNumberFormat="1" applyFont="1" applyAlignment="1">
      <alignment horizontal="center"/>
    </xf>
    <xf numFmtId="0" fontId="26" fillId="0" borderId="0" xfId="11" applyFont="1"/>
    <xf numFmtId="168" fontId="26" fillId="0" borderId="0" xfId="11" applyNumberFormat="1" applyFont="1"/>
    <xf numFmtId="0" fontId="26" fillId="0" borderId="0" xfId="11" applyNumberFormat="1" applyFont="1" applyAlignment="1">
      <alignment horizontal="center"/>
    </xf>
    <xf numFmtId="168" fontId="26" fillId="0" borderId="0" xfId="11" applyNumberFormat="1" applyFont="1" applyFill="1"/>
    <xf numFmtId="168" fontId="27" fillId="0" borderId="0" xfId="11" applyNumberFormat="1" applyFont="1" applyAlignment="1">
      <alignment horizontal="center"/>
    </xf>
    <xf numFmtId="10" fontId="26" fillId="0" borderId="11" xfId="11" applyNumberFormat="1" applyFont="1" applyFill="1" applyBorder="1"/>
    <xf numFmtId="0" fontId="26" fillId="0" borderId="0" xfId="11" applyFont="1" applyAlignment="1">
      <alignment horizontal="center"/>
    </xf>
    <xf numFmtId="168" fontId="9" fillId="0" borderId="19" xfId="11" applyNumberFormat="1" applyFont="1" applyFill="1" applyBorder="1"/>
    <xf numFmtId="168" fontId="9" fillId="0" borderId="20" xfId="11" applyNumberFormat="1" applyFont="1" applyFill="1" applyBorder="1"/>
    <xf numFmtId="44" fontId="9" fillId="0" borderId="0" xfId="12" applyFont="1"/>
    <xf numFmtId="0" fontId="9" fillId="0" borderId="0" xfId="11" applyFont="1" applyAlignment="1">
      <alignment horizontal="center" wrapText="1"/>
    </xf>
    <xf numFmtId="0" fontId="9" fillId="0" borderId="0" xfId="11" quotePrefix="1" applyFont="1" applyAlignment="1">
      <alignment horizontal="center"/>
    </xf>
    <xf numFmtId="0" fontId="9" fillId="0" borderId="0" xfId="11" applyFont="1" applyAlignment="1"/>
    <xf numFmtId="164" fontId="9" fillId="0" borderId="0" xfId="13" applyNumberFormat="1" applyFont="1" applyFill="1" applyAlignment="1">
      <alignment wrapText="1"/>
    </xf>
    <xf numFmtId="164" fontId="9" fillId="4" borderId="0" xfId="13" applyNumberFormat="1" applyFont="1" applyFill="1" applyAlignment="1">
      <alignment wrapText="1"/>
    </xf>
    <xf numFmtId="0" fontId="9" fillId="0" borderId="0" xfId="11" applyFont="1" applyAlignment="1">
      <alignment horizontal="left" vertical="center" wrapText="1"/>
    </xf>
    <xf numFmtId="0" fontId="9" fillId="0" borderId="0" xfId="11" applyFont="1" applyAlignment="1">
      <alignment horizontal="center" vertical="center" wrapText="1"/>
    </xf>
    <xf numFmtId="164" fontId="9" fillId="0" borderId="11" xfId="13" applyNumberFormat="1" applyFont="1" applyBorder="1" applyAlignment="1">
      <alignment wrapText="1"/>
    </xf>
    <xf numFmtId="164" fontId="9" fillId="0" borderId="0" xfId="13" applyNumberFormat="1" applyFont="1" applyAlignment="1">
      <alignment wrapText="1"/>
    </xf>
    <xf numFmtId="164" fontId="9" fillId="4" borderId="11" xfId="13" applyNumberFormat="1" applyFont="1" applyFill="1" applyBorder="1" applyAlignment="1">
      <alignment wrapText="1"/>
    </xf>
    <xf numFmtId="0" fontId="9" fillId="0" borderId="0" xfId="11" applyFont="1" applyAlignment="1">
      <alignment wrapText="1"/>
    </xf>
    <xf numFmtId="165" fontId="9" fillId="0" borderId="0" xfId="12" applyNumberFormat="1" applyFont="1" applyBorder="1"/>
    <xf numFmtId="168" fontId="9" fillId="0" borderId="0" xfId="11" applyNumberFormat="1" applyFont="1" applyAlignment="1">
      <alignment horizontal="center"/>
    </xf>
    <xf numFmtId="165" fontId="9" fillId="0" borderId="0" xfId="12" applyNumberFormat="1" applyFont="1" applyFill="1" applyBorder="1"/>
    <xf numFmtId="164" fontId="9" fillId="0" borderId="0" xfId="13" applyNumberFormat="1" applyFont="1" applyFill="1" applyBorder="1"/>
    <xf numFmtId="14" fontId="28" fillId="0" borderId="0" xfId="11" applyNumberFormat="1" applyFont="1"/>
    <xf numFmtId="165" fontId="9" fillId="0" borderId="11" xfId="12" applyNumberFormat="1" applyFont="1" applyFill="1" applyBorder="1"/>
    <xf numFmtId="3" fontId="9" fillId="0" borderId="0" xfId="11" applyNumberFormat="1" applyFont="1" applyFill="1" applyBorder="1" applyAlignment="1">
      <alignment horizontal="center"/>
    </xf>
    <xf numFmtId="0" fontId="9" fillId="0" borderId="0" xfId="11" applyFont="1" applyBorder="1" applyAlignment="1">
      <alignment horizontal="center"/>
    </xf>
    <xf numFmtId="44" fontId="28" fillId="0" borderId="0" xfId="12" applyFont="1" applyFill="1"/>
    <xf numFmtId="0" fontId="29" fillId="0" borderId="0" xfId="11" applyFont="1" applyFill="1"/>
    <xf numFmtId="0" fontId="8" fillId="0" borderId="0" xfId="11" applyFont="1"/>
    <xf numFmtId="0" fontId="30" fillId="0" borderId="0" xfId="4" applyFont="1" applyFill="1" applyBorder="1" applyAlignment="1">
      <alignment horizontal="right" vertical="top"/>
    </xf>
    <xf numFmtId="0" fontId="30" fillId="0" borderId="0" xfId="4" applyFont="1" applyFill="1" applyBorder="1" applyAlignment="1">
      <alignment horizontal="right" vertical="center"/>
    </xf>
    <xf numFmtId="0" fontId="31" fillId="0" borderId="0" xfId="4" applyFont="1" applyFill="1" applyBorder="1" applyAlignment="1">
      <alignment horizontal="center" vertical="top"/>
    </xf>
    <xf numFmtId="0" fontId="30" fillId="0" borderId="0" xfId="4" applyFont="1" applyFill="1" applyBorder="1" applyAlignment="1">
      <alignment horizontal="left" vertical="top"/>
    </xf>
    <xf numFmtId="166" fontId="30" fillId="0" borderId="0" xfId="4" applyNumberFormat="1" applyFont="1" applyFill="1" applyBorder="1" applyAlignment="1">
      <alignment horizontal="right" vertical="center"/>
    </xf>
    <xf numFmtId="166" fontId="30" fillId="0" borderId="11" xfId="4" applyNumberFormat="1" applyFont="1" applyFill="1" applyBorder="1" applyAlignment="1">
      <alignment horizontal="right" vertical="center"/>
    </xf>
    <xf numFmtId="166" fontId="30" fillId="6" borderId="11" xfId="4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horizontal="left" vertical="top"/>
    </xf>
    <xf numFmtId="166" fontId="31" fillId="0" borderId="0" xfId="4" applyNumberFormat="1" applyFont="1" applyFill="1" applyBorder="1" applyAlignment="1">
      <alignment horizontal="right" vertical="center"/>
    </xf>
    <xf numFmtId="0" fontId="32" fillId="0" borderId="0" xfId="0" applyFont="1" applyBorder="1"/>
    <xf numFmtId="10" fontId="32" fillId="0" borderId="11" xfId="0" applyNumberFormat="1" applyFont="1" applyBorder="1"/>
    <xf numFmtId="165" fontId="32" fillId="0" borderId="0" xfId="12" applyNumberFormat="1" applyFont="1" applyBorder="1"/>
    <xf numFmtId="0" fontId="2" fillId="3" borderId="0" xfId="0" applyFont="1" applyFill="1" applyBorder="1" applyAlignment="1">
      <alignment horizontal="center" wrapText="1"/>
    </xf>
    <xf numFmtId="164" fontId="1" fillId="0" borderId="1" xfId="1" applyNumberFormat="1" applyFont="1" applyBorder="1"/>
    <xf numFmtId="164" fontId="1" fillId="0" borderId="2" xfId="1" applyNumberFormat="1" applyFont="1" applyBorder="1"/>
    <xf numFmtId="0" fontId="1" fillId="0" borderId="0" xfId="0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165" fontId="1" fillId="0" borderId="24" xfId="2" applyNumberFormat="1" applyFont="1" applyBorder="1"/>
    <xf numFmtId="0" fontId="1" fillId="0" borderId="8" xfId="0" applyFont="1" applyBorder="1"/>
    <xf numFmtId="165" fontId="1" fillId="0" borderId="13" xfId="2" applyNumberFormat="1" applyFont="1" applyBorder="1"/>
    <xf numFmtId="165" fontId="1" fillId="0" borderId="1" xfId="0" applyNumberFormat="1" applyFont="1" applyBorder="1"/>
    <xf numFmtId="3" fontId="10" fillId="0" borderId="0" xfId="7" applyNumberFormat="1" applyFont="1" applyFill="1" applyBorder="1" applyAlignment="1">
      <alignment horizontal="center"/>
    </xf>
    <xf numFmtId="3" fontId="10" fillId="0" borderId="0" xfId="5" applyNumberFormat="1" applyFont="1" applyFill="1" applyBorder="1" applyAlignment="1">
      <alignment horizontal="center"/>
    </xf>
    <xf numFmtId="42" fontId="8" fillId="0" borderId="0" xfId="7" applyNumberFormat="1" applyFont="1" applyFill="1" applyBorder="1"/>
    <xf numFmtId="41" fontId="10" fillId="0" borderId="0" xfId="9" applyNumberFormat="1" applyFont="1" applyFill="1" applyBorder="1"/>
    <xf numFmtId="42" fontId="10" fillId="0" borderId="0" xfId="7" applyNumberFormat="1" applyFont="1" applyFill="1" applyBorder="1"/>
    <xf numFmtId="166" fontId="30" fillId="0" borderId="0" xfId="4" applyNumberFormat="1" applyFont="1" applyAlignment="1">
      <alignment horizontal="right" vertical="center"/>
    </xf>
    <xf numFmtId="166" fontId="30" fillId="0" borderId="0" xfId="4" applyNumberFormat="1" applyFont="1" applyBorder="1" applyAlignment="1">
      <alignment horizontal="right" vertical="center"/>
    </xf>
    <xf numFmtId="0" fontId="30" fillId="0" borderId="0" xfId="4" applyFont="1" applyAlignment="1">
      <alignment horizontal="right" vertical="top"/>
    </xf>
    <xf numFmtId="0" fontId="30" fillId="0" borderId="0" xfId="4" applyFont="1" applyAlignment="1">
      <alignment horizontal="right" vertical="center"/>
    </xf>
    <xf numFmtId="0" fontId="31" fillId="0" borderId="0" xfId="4" applyFont="1" applyAlignment="1">
      <alignment horizontal="center" vertical="top"/>
    </xf>
    <xf numFmtId="0" fontId="30" fillId="0" borderId="0" xfId="4" applyFont="1" applyAlignment="1">
      <alignment horizontal="left" vertical="top"/>
    </xf>
    <xf numFmtId="166" fontId="30" fillId="0" borderId="11" xfId="4" applyNumberFormat="1" applyFont="1" applyBorder="1" applyAlignment="1">
      <alignment horizontal="right" vertical="center"/>
    </xf>
    <xf numFmtId="164" fontId="0" fillId="0" borderId="11" xfId="1" applyNumberFormat="1" applyFont="1" applyBorder="1"/>
    <xf numFmtId="0" fontId="31" fillId="0" borderId="0" xfId="4" applyFont="1" applyAlignment="1">
      <alignment horizontal="left" vertical="top"/>
    </xf>
    <xf numFmtId="166" fontId="31" fillId="0" borderId="0" xfId="4" applyNumberFormat="1" applyFont="1" applyAlignment="1">
      <alignment horizontal="right" vertical="center"/>
    </xf>
    <xf numFmtId="164" fontId="2" fillId="0" borderId="0" xfId="1" applyNumberFormat="1" applyFont="1"/>
    <xf numFmtId="0" fontId="32" fillId="0" borderId="0" xfId="0" applyFont="1"/>
    <xf numFmtId="10" fontId="0" fillId="0" borderId="11" xfId="3" applyNumberFormat="1" applyFont="1" applyBorder="1"/>
    <xf numFmtId="165" fontId="32" fillId="0" borderId="0" xfId="2" applyNumberFormat="1" applyFont="1" applyBorder="1"/>
    <xf numFmtId="165" fontId="33" fillId="0" borderId="0" xfId="2" applyNumberFormat="1" applyFont="1" applyBorder="1"/>
    <xf numFmtId="3" fontId="0" fillId="0" borderId="0" xfId="0" applyNumberFormat="1"/>
    <xf numFmtId="6" fontId="0" fillId="0" borderId="0" xfId="0" applyNumberFormat="1"/>
    <xf numFmtId="6" fontId="0" fillId="0" borderId="0" xfId="0" applyNumberFormat="1" applyBorder="1"/>
    <xf numFmtId="3" fontId="0" fillId="0" borderId="0" xfId="0" applyNumberFormat="1" applyBorder="1"/>
    <xf numFmtId="0" fontId="0" fillId="0" borderId="0" xfId="0" applyFont="1" applyBorder="1"/>
    <xf numFmtId="37" fontId="0" fillId="0" borderId="0" xfId="0" applyNumberFormat="1" applyFont="1" applyBorder="1"/>
    <xf numFmtId="0" fontId="1" fillId="3" borderId="25" xfId="0" applyFont="1" applyFill="1" applyBorder="1"/>
    <xf numFmtId="0" fontId="1" fillId="3" borderId="16" xfId="0" applyFont="1" applyFill="1" applyBorder="1"/>
    <xf numFmtId="165" fontId="2" fillId="3" borderId="16" xfId="2" applyNumberFormat="1" applyFont="1" applyFill="1" applyBorder="1"/>
    <xf numFmtId="165" fontId="1" fillId="3" borderId="16" xfId="2" applyNumberFormat="1" applyFont="1" applyFill="1" applyBorder="1"/>
    <xf numFmtId="166" fontId="30" fillId="0" borderId="13" xfId="4" applyNumberFormat="1" applyFont="1" applyBorder="1" applyAlignment="1">
      <alignment horizontal="right" vertical="center"/>
    </xf>
    <xf numFmtId="165" fontId="1" fillId="0" borderId="27" xfId="0" applyNumberFormat="1" applyFont="1" applyBorder="1"/>
    <xf numFmtId="3" fontId="8" fillId="0" borderId="0" xfId="7" applyNumberFormat="1" applyFont="1" applyFill="1" applyBorder="1"/>
    <xf numFmtId="42" fontId="8" fillId="0" borderId="0" xfId="9" applyNumberFormat="1" applyFont="1" applyFill="1" applyBorder="1"/>
    <xf numFmtId="2" fontId="10" fillId="0" borderId="0" xfId="8" applyNumberFormat="1" applyFont="1" applyBorder="1" applyAlignment="1" applyProtection="1">
      <alignment horizontal="center"/>
    </xf>
    <xf numFmtId="5" fontId="8" fillId="0" borderId="0" xfId="5" applyNumberFormat="1" applyFont="1" applyBorder="1"/>
    <xf numFmtId="165" fontId="2" fillId="3" borderId="26" xfId="2" applyNumberFormat="1" applyFont="1" applyFill="1" applyBorder="1"/>
    <xf numFmtId="0" fontId="2" fillId="0" borderId="0" xfId="0" applyFont="1"/>
    <xf numFmtId="0" fontId="3" fillId="0" borderId="0" xfId="0" applyFont="1" applyBorder="1"/>
    <xf numFmtId="0" fontId="30" fillId="0" borderId="0" xfId="4" applyFont="1" applyBorder="1" applyAlignment="1">
      <alignment horizontal="right" vertical="top"/>
    </xf>
    <xf numFmtId="0" fontId="30" fillId="0" borderId="0" xfId="4" applyFont="1" applyBorder="1" applyAlignment="1">
      <alignment horizontal="right" vertical="center"/>
    </xf>
    <xf numFmtId="0" fontId="31" fillId="0" borderId="0" xfId="4" applyFont="1" applyBorder="1" applyAlignment="1">
      <alignment horizontal="center" vertical="top"/>
    </xf>
    <xf numFmtId="0" fontId="30" fillId="0" borderId="0" xfId="4" applyFont="1" applyBorder="1" applyAlignment="1">
      <alignment horizontal="left" vertical="top"/>
    </xf>
    <xf numFmtId="0" fontId="31" fillId="0" borderId="0" xfId="4" applyFont="1" applyBorder="1" applyAlignment="1">
      <alignment horizontal="left" vertical="top"/>
    </xf>
    <xf numFmtId="166" fontId="31" fillId="0" borderId="0" xfId="4" applyNumberFormat="1" applyFont="1" applyBorder="1" applyAlignment="1">
      <alignment horizontal="right" vertical="center"/>
    </xf>
    <xf numFmtId="164" fontId="2" fillId="0" borderId="0" xfId="1" applyNumberFormat="1" applyFont="1" applyBorder="1"/>
    <xf numFmtId="10" fontId="32" fillId="0" borderId="0" xfId="0" applyNumberFormat="1" applyFont="1" applyBorder="1"/>
    <xf numFmtId="10" fontId="0" fillId="0" borderId="0" xfId="3" applyNumberFormat="1" applyFont="1" applyBorder="1"/>
    <xf numFmtId="10" fontId="4" fillId="0" borderId="0" xfId="3" applyNumberFormat="1" applyFont="1" applyBorder="1"/>
    <xf numFmtId="0" fontId="0" fillId="0" borderId="8" xfId="0" applyFont="1" applyFill="1" applyBorder="1"/>
    <xf numFmtId="165" fontId="0" fillId="0" borderId="0" xfId="0" applyNumberFormat="1" applyBorder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10" fillId="0" borderId="0" xfId="7" applyNumberFormat="1" applyFont="1" applyFill="1" applyBorder="1" applyAlignment="1">
      <alignment horizontal="center"/>
    </xf>
    <xf numFmtId="41" fontId="10" fillId="0" borderId="0" xfId="10" applyNumberFormat="1" applyFont="1" applyFill="1" applyBorder="1"/>
    <xf numFmtId="3" fontId="8" fillId="0" borderId="0" xfId="7" applyNumberFormat="1" applyFont="1" applyFill="1" applyBorder="1" applyAlignment="1">
      <alignment horizontal="center"/>
    </xf>
    <xf numFmtId="41" fontId="34" fillId="0" borderId="0" xfId="9" applyNumberFormat="1" applyFont="1" applyFill="1" applyBorder="1"/>
    <xf numFmtId="0" fontId="31" fillId="0" borderId="0" xfId="0" applyFont="1" applyBorder="1"/>
    <xf numFmtId="41" fontId="10" fillId="0" borderId="0" xfId="7" applyNumberFormat="1" applyFont="1" applyFill="1" applyBorder="1"/>
    <xf numFmtId="42" fontId="10" fillId="0" borderId="0" xfId="9" applyNumberFormat="1" applyFont="1" applyFill="1" applyBorder="1"/>
    <xf numFmtId="41" fontId="10" fillId="0" borderId="0" xfId="5" applyNumberFormat="1" applyFont="1" applyFill="1" applyBorder="1" applyAlignment="1"/>
    <xf numFmtId="41" fontId="8" fillId="0" borderId="0" xfId="7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41" fontId="10" fillId="0" borderId="0" xfId="5" applyNumberFormat="1" applyFont="1" applyFill="1" applyBorder="1" applyAlignment="1">
      <alignment horizontal="center"/>
    </xf>
    <xf numFmtId="2" fontId="10" fillId="0" borderId="0" xfId="8" applyNumberFormat="1" applyFont="1" applyFill="1" applyBorder="1" applyAlignment="1" applyProtection="1">
      <alignment horizontal="center"/>
    </xf>
    <xf numFmtId="5" fontId="8" fillId="0" borderId="0" xfId="5" applyNumberFormat="1" applyFont="1" applyFill="1" applyBorder="1"/>
    <xf numFmtId="41" fontId="8" fillId="0" borderId="0" xfId="3" applyNumberFormat="1" applyFont="1" applyFill="1" applyBorder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3" fontId="26" fillId="0" borderId="0" xfId="0" applyNumberFormat="1" applyFont="1"/>
    <xf numFmtId="0" fontId="10" fillId="0" borderId="4" xfId="7" applyFont="1" applyBorder="1" applyAlignment="1">
      <alignment horizontal="center"/>
    </xf>
    <xf numFmtId="0" fontId="10" fillId="0" borderId="5" xfId="7" applyFont="1" applyBorder="1" applyAlignment="1">
      <alignment horizontal="center"/>
    </xf>
    <xf numFmtId="0" fontId="10" fillId="0" borderId="6" xfId="7" applyFont="1" applyBorder="1" applyAlignment="1">
      <alignment horizontal="center"/>
    </xf>
    <xf numFmtId="0" fontId="8" fillId="0" borderId="12" xfId="7" applyFont="1" applyBorder="1"/>
    <xf numFmtId="0" fontId="10" fillId="0" borderId="7" xfId="7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8" fillId="0" borderId="13" xfId="7" applyFont="1" applyBorder="1"/>
    <xf numFmtId="0" fontId="10" fillId="0" borderId="9" xfId="7" applyFont="1" applyBorder="1" applyAlignment="1">
      <alignment horizontal="center"/>
    </xf>
    <xf numFmtId="0" fontId="10" fillId="0" borderId="10" xfId="7" applyFont="1" applyBorder="1" applyAlignment="1">
      <alignment horizontal="center"/>
    </xf>
    <xf numFmtId="0" fontId="10" fillId="0" borderId="11" xfId="7" applyFont="1" applyBorder="1" applyAlignment="1">
      <alignment horizontal="center"/>
    </xf>
    <xf numFmtId="0" fontId="10" fillId="0" borderId="14" xfId="7" applyFont="1" applyBorder="1" applyAlignment="1">
      <alignment horizontal="center"/>
    </xf>
    <xf numFmtId="5" fontId="10" fillId="0" borderId="0" xfId="7" applyNumberFormat="1" applyFont="1"/>
    <xf numFmtId="0" fontId="8" fillId="0" borderId="0" xfId="5" applyFont="1" applyAlignment="1">
      <alignment horizontal="right"/>
    </xf>
    <xf numFmtId="3" fontId="10" fillId="0" borderId="0" xfId="7" applyNumberFormat="1" applyFont="1"/>
    <xf numFmtId="3" fontId="10" fillId="0" borderId="4" xfId="7" applyNumberFormat="1" applyFont="1" applyBorder="1" applyAlignment="1">
      <alignment horizontal="center"/>
    </xf>
    <xf numFmtId="3" fontId="10" fillId="0" borderId="7" xfId="5" applyNumberFormat="1" applyFont="1" applyBorder="1" applyAlignment="1">
      <alignment horizontal="center"/>
    </xf>
    <xf numFmtId="3" fontId="10" fillId="0" borderId="9" xfId="5" applyNumberFormat="1" applyFont="1" applyBorder="1" applyAlignment="1">
      <alignment horizontal="center"/>
    </xf>
    <xf numFmtId="4" fontId="10" fillId="0" borderId="0" xfId="7" applyNumberFormat="1" applyFont="1" applyAlignment="1">
      <alignment horizontal="center"/>
    </xf>
    <xf numFmtId="3" fontId="10" fillId="0" borderId="0" xfId="7" applyNumberFormat="1" applyFont="1" applyAlignment="1">
      <alignment horizontal="center"/>
    </xf>
    <xf numFmtId="3" fontId="8" fillId="0" borderId="0" xfId="7" applyNumberFormat="1" applyFont="1"/>
    <xf numFmtId="42" fontId="8" fillId="0" borderId="0" xfId="9" applyNumberFormat="1" applyFont="1"/>
    <xf numFmtId="41" fontId="8" fillId="0" borderId="0" xfId="9" applyNumberFormat="1" applyFont="1"/>
    <xf numFmtId="41" fontId="8" fillId="0" borderId="11" xfId="9" applyNumberFormat="1" applyFont="1" applyBorder="1"/>
    <xf numFmtId="41" fontId="8" fillId="0" borderId="0" xfId="7" applyNumberFormat="1" applyFont="1"/>
    <xf numFmtId="41" fontId="8" fillId="0" borderId="11" xfId="7" applyNumberFormat="1" applyFont="1" applyBorder="1"/>
    <xf numFmtId="42" fontId="8" fillId="0" borderId="15" xfId="7" applyNumberFormat="1" applyFont="1" applyBorder="1"/>
    <xf numFmtId="41" fontId="10" fillId="0" borderId="0" xfId="7" applyNumberFormat="1" applyFont="1"/>
    <xf numFmtId="41" fontId="10" fillId="0" borderId="0" xfId="9" applyNumberFormat="1" applyFont="1"/>
    <xf numFmtId="42" fontId="10" fillId="0" borderId="0" xfId="9" applyNumberFormat="1" applyFont="1"/>
    <xf numFmtId="41" fontId="10" fillId="0" borderId="11" xfId="9" applyNumberFormat="1" applyFont="1" applyBorder="1"/>
    <xf numFmtId="41" fontId="8" fillId="0" borderId="16" xfId="7" applyNumberFormat="1" applyFont="1" applyBorder="1"/>
    <xf numFmtId="42" fontId="10" fillId="0" borderId="15" xfId="7" applyNumberFormat="1" applyFont="1" applyBorder="1"/>
    <xf numFmtId="3" fontId="8" fillId="0" borderId="0" xfId="5" applyNumberFormat="1" applyFont="1"/>
    <xf numFmtId="0" fontId="31" fillId="0" borderId="0" xfId="4" applyFont="1" applyAlignment="1">
      <alignment horizontal="center" vertical="center"/>
    </xf>
    <xf numFmtId="10" fontId="32" fillId="7" borderId="11" xfId="0" applyNumberFormat="1" applyFont="1" applyFill="1" applyBorder="1"/>
    <xf numFmtId="165" fontId="32" fillId="7" borderId="0" xfId="12" applyNumberFormat="1" applyFont="1" applyFill="1" applyBorder="1"/>
    <xf numFmtId="0" fontId="31" fillId="0" borderId="0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top"/>
    </xf>
    <xf numFmtId="0" fontId="30" fillId="0" borderId="0" xfId="4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2" xfId="0" applyBorder="1"/>
    <xf numFmtId="0" fontId="0" fillId="0" borderId="31" xfId="0" applyBorder="1"/>
    <xf numFmtId="14" fontId="0" fillId="0" borderId="0" xfId="0" applyNumberFormat="1"/>
    <xf numFmtId="164" fontId="0" fillId="8" borderId="0" xfId="1" applyNumberFormat="1" applyFont="1" applyFill="1" applyBorder="1"/>
    <xf numFmtId="164" fontId="0" fillId="0" borderId="0" xfId="1" applyNumberFormat="1" applyFont="1" applyFill="1" applyBorder="1"/>
    <xf numFmtId="10" fontId="0" fillId="0" borderId="0" xfId="3" applyNumberFormat="1" applyFont="1" applyBorder="1" applyAlignment="1">
      <alignment horizontal="center"/>
    </xf>
    <xf numFmtId="164" fontId="0" fillId="0" borderId="32" xfId="3" applyNumberFormat="1" applyFont="1" applyBorder="1"/>
    <xf numFmtId="164" fontId="0" fillId="9" borderId="0" xfId="1" applyNumberFormat="1" applyFont="1" applyFill="1" applyBorder="1"/>
    <xf numFmtId="10" fontId="1" fillId="0" borderId="0" xfId="3" applyNumberFormat="1" applyFont="1" applyBorder="1" applyAlignment="1">
      <alignment horizontal="center"/>
    </xf>
    <xf numFmtId="0" fontId="4" fillId="0" borderId="0" xfId="0" applyFont="1"/>
    <xf numFmtId="165" fontId="38" fillId="0" borderId="0" xfId="2" applyNumberFormat="1" applyFont="1" applyFill="1" applyBorder="1"/>
    <xf numFmtId="164" fontId="0" fillId="0" borderId="32" xfId="0" applyNumberFormat="1" applyBorder="1"/>
    <xf numFmtId="164" fontId="1" fillId="0" borderId="0" xfId="1" applyNumberFormat="1" applyFont="1" applyBorder="1"/>
    <xf numFmtId="166" fontId="0" fillId="0" borderId="32" xfId="0" applyNumberFormat="1" applyBorder="1"/>
    <xf numFmtId="0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14" fontId="0" fillId="0" borderId="33" xfId="0" applyNumberFormat="1" applyBorder="1"/>
    <xf numFmtId="0" fontId="0" fillId="0" borderId="33" xfId="0" applyBorder="1"/>
    <xf numFmtId="166" fontId="2" fillId="0" borderId="33" xfId="0" applyNumberFormat="1" applyFont="1" applyBorder="1"/>
    <xf numFmtId="165" fontId="2" fillId="0" borderId="0" xfId="2" applyNumberFormat="1" applyFont="1" applyFill="1"/>
    <xf numFmtId="0" fontId="1" fillId="0" borderId="0" xfId="0" applyFont="1"/>
    <xf numFmtId="165" fontId="1" fillId="0" borderId="0" xfId="2" applyNumberFormat="1" applyFont="1" applyFill="1" applyBorder="1"/>
    <xf numFmtId="165" fontId="1" fillId="0" borderId="3" xfId="2" applyNumberFormat="1" applyFont="1" applyFill="1" applyBorder="1"/>
    <xf numFmtId="165" fontId="1" fillId="0" borderId="2" xfId="2" applyNumberFormat="1" applyFont="1" applyFill="1" applyBorder="1"/>
    <xf numFmtId="165" fontId="1" fillId="0" borderId="0" xfId="0" applyNumberFormat="1" applyFont="1"/>
    <xf numFmtId="165" fontId="1" fillId="0" borderId="1" xfId="2" applyNumberFormat="1" applyFont="1" applyFill="1" applyBorder="1"/>
    <xf numFmtId="0" fontId="2" fillId="0" borderId="0" xfId="0" applyFont="1" applyAlignment="1">
      <alignment horizontal="center" wrapText="1"/>
    </xf>
    <xf numFmtId="166" fontId="0" fillId="0" borderId="0" xfId="0" applyNumberFormat="1"/>
    <xf numFmtId="0" fontId="7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10" fontId="0" fillId="0" borderId="0" xfId="3" applyNumberFormat="1" applyFont="1"/>
    <xf numFmtId="164" fontId="0" fillId="0" borderId="16" xfId="1" applyNumberFormat="1" applyFont="1" applyBorder="1"/>
    <xf numFmtId="164" fontId="0" fillId="0" borderId="34" xfId="1" applyNumberFormat="1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 applyBorder="1"/>
    <xf numFmtId="166" fontId="0" fillId="0" borderId="0" xfId="0" applyNumberFormat="1" applyFont="1" applyBorder="1"/>
    <xf numFmtId="0" fontId="39" fillId="3" borderId="6" xfId="0" applyFont="1" applyFill="1" applyBorder="1"/>
    <xf numFmtId="0" fontId="3" fillId="0" borderId="13" xfId="0" applyFont="1" applyBorder="1"/>
    <xf numFmtId="0" fontId="0" fillId="0" borderId="11" xfId="0" applyBorder="1"/>
    <xf numFmtId="0" fontId="30" fillId="0" borderId="11" xfId="4" applyFont="1" applyBorder="1" applyAlignment="1">
      <alignment horizontal="right" vertical="top"/>
    </xf>
    <xf numFmtId="0" fontId="0" fillId="0" borderId="14" xfId="0" applyBorder="1"/>
    <xf numFmtId="0" fontId="13" fillId="0" borderId="0" xfId="5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0" fillId="0" borderId="28" xfId="5" applyFont="1" applyBorder="1" applyAlignment="1">
      <alignment horizontal="left"/>
    </xf>
    <xf numFmtId="0" fontId="0" fillId="0" borderId="29" xfId="0" applyBorder="1"/>
    <xf numFmtId="0" fontId="2" fillId="0" borderId="30" xfId="0" applyFont="1" applyBorder="1" applyAlignment="1">
      <alignment horizontal="center"/>
    </xf>
    <xf numFmtId="0" fontId="8" fillId="0" borderId="31" xfId="5" applyFont="1" applyBorder="1" applyAlignment="1">
      <alignment horizontal="center"/>
    </xf>
    <xf numFmtId="0" fontId="9" fillId="0" borderId="31" xfId="5" applyFont="1" applyBorder="1" applyAlignment="1">
      <alignment horizontal="left"/>
    </xf>
    <xf numFmtId="0" fontId="13" fillId="0" borderId="32" xfId="5" applyFont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4" fillId="0" borderId="0" xfId="0" applyFont="1" applyBorder="1"/>
    <xf numFmtId="10" fontId="37" fillId="0" borderId="33" xfId="3" applyNumberFormat="1" applyFont="1" applyBorder="1"/>
    <xf numFmtId="0" fontId="0" fillId="0" borderId="37" xfId="0" applyBorder="1"/>
    <xf numFmtId="0" fontId="41" fillId="0" borderId="0" xfId="7" applyFont="1" applyAlignment="1">
      <alignment horizontal="center"/>
    </xf>
    <xf numFmtId="3" fontId="42" fillId="0" borderId="0" xfId="7" applyNumberFormat="1" applyFont="1" applyAlignment="1">
      <alignment horizontal="center"/>
    </xf>
    <xf numFmtId="3" fontId="41" fillId="0" borderId="0" xfId="7" applyNumberFormat="1" applyFont="1" applyAlignment="1">
      <alignment horizontal="center"/>
    </xf>
    <xf numFmtId="0" fontId="9" fillId="0" borderId="0" xfId="5" applyFont="1" applyAlignment="1">
      <alignment horizontal="left"/>
    </xf>
    <xf numFmtId="0" fontId="10" fillId="0" borderId="4" xfId="5" applyFont="1" applyBorder="1" applyAlignment="1">
      <alignment horizontal="center"/>
    </xf>
    <xf numFmtId="0" fontId="10" fillId="0" borderId="5" xfId="5" applyFont="1" applyBorder="1" applyAlignment="1">
      <alignment horizontal="center"/>
    </xf>
    <xf numFmtId="0" fontId="10" fillId="0" borderId="6" xfId="5" applyFont="1" applyBorder="1" applyAlignment="1">
      <alignment horizontal="center"/>
    </xf>
    <xf numFmtId="0" fontId="10" fillId="0" borderId="7" xfId="5" applyFont="1" applyBorder="1" applyAlignment="1">
      <alignment horizontal="center"/>
    </xf>
    <xf numFmtId="0" fontId="10" fillId="0" borderId="8" xfId="5" applyFont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10" fillId="0" borderId="10" xfId="5" applyFont="1" applyBorder="1" applyAlignment="1">
      <alignment horizontal="center"/>
    </xf>
    <xf numFmtId="9" fontId="8" fillId="0" borderId="0" xfId="3" applyFont="1" applyFill="1"/>
    <xf numFmtId="41" fontId="42" fillId="0" borderId="0" xfId="5" applyNumberFormat="1" applyFont="1"/>
    <xf numFmtId="41" fontId="41" fillId="0" borderId="0" xfId="5" applyNumberFormat="1" applyFont="1" applyAlignment="1">
      <alignment horizontal="center" wrapText="1"/>
    </xf>
    <xf numFmtId="41" fontId="41" fillId="0" borderId="0" xfId="5" applyNumberFormat="1" applyFont="1"/>
    <xf numFmtId="41" fontId="41" fillId="0" borderId="4" xfId="5" applyNumberFormat="1" applyFont="1" applyBorder="1" applyAlignment="1">
      <alignment horizontal="center"/>
    </xf>
    <xf numFmtId="41" fontId="41" fillId="0" borderId="7" xfId="5" applyNumberFormat="1" applyFont="1" applyBorder="1" applyAlignment="1">
      <alignment horizontal="center"/>
    </xf>
    <xf numFmtId="41" fontId="41" fillId="0" borderId="9" xfId="5" applyNumberFormat="1" applyFont="1" applyBorder="1" applyAlignment="1">
      <alignment horizontal="center"/>
    </xf>
    <xf numFmtId="2" fontId="41" fillId="0" borderId="0" xfId="8" applyNumberFormat="1" applyFont="1" applyFill="1" applyAlignment="1" applyProtection="1">
      <alignment horizontal="center"/>
    </xf>
    <xf numFmtId="2" fontId="41" fillId="0" borderId="0" xfId="8" applyNumberFormat="1" applyFont="1" applyAlignment="1" applyProtection="1">
      <alignment horizontal="center"/>
    </xf>
    <xf numFmtId="5" fontId="42" fillId="0" borderId="0" xfId="9" applyNumberFormat="1" applyFont="1"/>
    <xf numFmtId="41" fontId="42" fillId="0" borderId="11" xfId="5" applyNumberFormat="1" applyFont="1" applyBorder="1"/>
    <xf numFmtId="5" fontId="42" fillId="0" borderId="15" xfId="5" applyNumberFormat="1" applyFont="1" applyBorder="1"/>
    <xf numFmtId="5" fontId="42" fillId="0" borderId="0" xfId="5" applyNumberFormat="1" applyFont="1"/>
    <xf numFmtId="41" fontId="42" fillId="0" borderId="6" xfId="5" applyNumberFormat="1" applyFont="1" applyBorder="1"/>
    <xf numFmtId="164" fontId="2" fillId="0" borderId="36" xfId="1" applyNumberFormat="1" applyFont="1" applyBorder="1"/>
    <xf numFmtId="164" fontId="35" fillId="0" borderId="35" xfId="0" applyNumberFormat="1" applyFont="1" applyFill="1" applyBorder="1"/>
    <xf numFmtId="0" fontId="0" fillId="0" borderId="10" xfId="0" applyFont="1" applyFill="1" applyBorder="1"/>
    <xf numFmtId="164" fontId="0" fillId="10" borderId="0" xfId="1" applyNumberFormat="1" applyFont="1" applyFill="1" applyBorder="1"/>
    <xf numFmtId="164" fontId="1" fillId="11" borderId="0" xfId="1" applyNumberFormat="1" applyFont="1" applyFill="1" applyBorder="1"/>
    <xf numFmtId="164" fontId="0" fillId="11" borderId="0" xfId="1" applyNumberFormat="1" applyFont="1" applyFill="1" applyBorder="1"/>
    <xf numFmtId="37" fontId="38" fillId="0" borderId="0" xfId="2" applyNumberFormat="1" applyFont="1" applyFill="1" applyBorder="1"/>
    <xf numFmtId="37" fontId="0" fillId="0" borderId="0" xfId="0" applyNumberFormat="1" applyBorder="1"/>
    <xf numFmtId="0" fontId="9" fillId="0" borderId="0" xfId="11" applyFont="1" applyAlignment="1">
      <alignment horizontal="center" wrapText="1"/>
    </xf>
    <xf numFmtId="0" fontId="9" fillId="0" borderId="0" xfId="11" applyFont="1" applyAlignment="1">
      <alignment horizontal="left" vertical="center" wrapText="1"/>
    </xf>
    <xf numFmtId="0" fontId="9" fillId="0" borderId="0" xfId="11" applyFont="1" applyAlignment="1">
      <alignment horizontal="left" wrapText="1"/>
    </xf>
  </cellXfs>
  <cellStyles count="16">
    <cellStyle name="Comma" xfId="1" builtinId="3"/>
    <cellStyle name="Comma 2" xfId="13" xr:uid="{00000000-0005-0000-0000-000001000000}"/>
    <cellStyle name="Currency" xfId="2" builtinId="4"/>
    <cellStyle name="Currency 2" xfId="12" xr:uid="{00000000-0005-0000-0000-000003000000}"/>
    <cellStyle name="Followed Hyperlink" xfId="8" builtinId="9"/>
    <cellStyle name="Normal" xfId="0" builtinId="0"/>
    <cellStyle name="Normal 3" xfId="4" xr:uid="{00000000-0005-0000-0000-000006000000}"/>
    <cellStyle name="Normal 3 2" xfId="15" xr:uid="{73B5AE23-8B96-4503-8E57-F1AE979CDE8E}"/>
    <cellStyle name="Normal_DFIT-WaEle_SUM" xfId="6" xr:uid="{00000000-0005-0000-0000-000007000000}"/>
    <cellStyle name="Normal_IDGas6_97" xfId="9" xr:uid="{00000000-0005-0000-0000-000008000000}"/>
    <cellStyle name="Normal_Loadings" xfId="11" xr:uid="{00000000-0005-0000-0000-000009000000}"/>
    <cellStyle name="Normal_WAElec6_97" xfId="5" xr:uid="{00000000-0005-0000-0000-00000A000000}"/>
    <cellStyle name="Normal_WAElec6_97 2" xfId="10" xr:uid="{00000000-0005-0000-0000-00000B000000}"/>
    <cellStyle name="Normal_WAGas6_97" xfId="7" xr:uid="{00000000-0005-0000-0000-00000C000000}"/>
    <cellStyle name="Percent" xfId="3" builtinId="5"/>
    <cellStyle name="Percent 2" xfId="14" xr:uid="{00000000-0005-0000-0000-00000E000000}"/>
  </cellStyles>
  <dxfs count="0"/>
  <tableStyles count="0" defaultTableStyle="TableStyleMedium2" defaultPivotStyle="PivotStyleLight16"/>
  <colors>
    <mruColors>
      <color rgb="FFCC99FF"/>
      <color rgb="FFCCCCFF"/>
      <color rgb="FFFF99FF"/>
      <color rgb="FFCC6600"/>
      <color rgb="FF99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Adjustments/PF%20-%20Labor&amp;Benefit/2012%20Info/Downloads/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personal/joanna_huang_utc_wa_gov/Documents/Documents/Avista/GRC/UE-200900%20GRC/AVA%20Workpaper/Andrews/RR/200900-200901-Andrews%20Exh.%20EMA-2%20-%202019%20WA%20Electric%20RR%20Model%20AMA%2010.20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stateofwa-my.sharepoint.com/personal/joanna_huang_utc_wa_gov/Documents/Documents/Avista/GRC/UE-200900%20GRC/AVA%20Workpaper/Andrews/RR/200900-200901-Andrews%20Exh.%20EMA-3%20-%202019%20WA%20Natural%20Gas%20RR%20Model%20AMA%2010.2021.xlsx?3AB3CF30" TargetMode="External"/><Relationship Id="rId1" Type="http://schemas.openxmlformats.org/officeDocument/2006/relationships/externalLinkPath" Target="file:///\\3AB3CF30\200900-200901-Andrews%20Exh.%20EMA-3%20-%202019%20WA%20Natural%20Gas%20RR%20Model%20AMA%2010.20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sites/ue-160228/Initial%20Filing/AVA160288/I.%20UE%20AVA%20Dir%20Evidence-(Feb16)/3.%20UE%20AVA%20WP's%20(Feb16)/L.%20UE%20%20Smith%20WP(AVA-Feb16)/Elec.%20WP's/PF%20CC-LABOR%20BENEFIT/3)%20(WA%202016)%20FLB%20Retirement%20and%20Medical.xlsx?2C3CE460" TargetMode="External"/><Relationship Id="rId1" Type="http://schemas.openxmlformats.org/officeDocument/2006/relationships/externalLinkPath" Target="file:///\\2C3CE460\3)%20(WA%202016)%20FLB%20Retirement%20and%20Medic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50204/Company%20Work%20Papers/N.%20UE__Smith%20Workpapers%20(AVA-Feb2015)/PF-LABOR%20%20BENEFITS/4)%20(WA%202015)%20FLB%20Forecast%20Labor%20and%20Benefits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40188/Company%20Work%20Papers/3.%20UE__AVA%20WP's%20(Feb2014)/N.%20UE__Andrews%20Workpapers%20(AVA-Feb2014)/WP2-Pro%20Forma/Elect-PF/3.04%20PF-Benefits/Forecast%20Labor%20and%20Benef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</sheetNames>
    <sheetDataSet>
      <sheetData sheetId="0"/>
      <sheetData sheetId="1">
        <row r="12">
          <cell r="O12">
            <v>2.4799999999999999E-2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Acerno_Cache_XXXXX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2.4799999999999999E-2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egon Gas"/>
      <sheetName val="Oregon Total"/>
      <sheetName val="Retirement"/>
      <sheetName val="Expense"/>
      <sheetName val="Non-Util Benefit Calc"/>
    </sheetNames>
    <sheetDataSet>
      <sheetData sheetId="0">
        <row r="1">
          <cell r="A1" t="str">
            <v>AVISTA UTILITIES</v>
          </cell>
        </row>
        <row r="3">
          <cell r="A3" t="str">
            <v>12 Months Ending 09/30/15</v>
          </cell>
        </row>
      </sheetData>
      <sheetData sheetId="1"/>
      <sheetData sheetId="2"/>
      <sheetData sheetId="3"/>
      <sheetData sheetId="4">
        <row r="12">
          <cell r="D12">
            <v>29295624</v>
          </cell>
        </row>
        <row r="13">
          <cell r="G13">
            <v>31435878</v>
          </cell>
        </row>
      </sheetData>
      <sheetData sheetId="5">
        <row r="9">
          <cell r="E9">
            <v>0.57092904098394781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N Electric"/>
      <sheetName val="Washington Electric"/>
      <sheetName val="Idaho Electric"/>
      <sheetName val="Oregon Total"/>
      <sheetName val="AN Gas"/>
      <sheetName val="Washington Gas"/>
      <sheetName val="Idaho Gas"/>
      <sheetName val="Oregon Gas"/>
      <sheetName val="Pro-Forma Increases"/>
      <sheetName val="Exec Utility Split"/>
      <sheetName val="Exec Removal Prior"/>
      <sheetName val="Pro-Forma Exec Salary"/>
      <sheetName val="Non-Util Benefit Calc"/>
      <sheetName val="Pension &amp; Medical"/>
      <sheetName val="Total Electric Download"/>
      <sheetName val="Gas North Download"/>
      <sheetName val="Gas South Dowload"/>
      <sheetName val="Compass"/>
    </sheetNames>
    <sheetDataSet>
      <sheetData sheetId="0">
        <row r="1">
          <cell r="A1" t="str">
            <v>AVISTA UTILITIES</v>
          </cell>
        </row>
      </sheetData>
      <sheetData sheetId="1"/>
      <sheetData sheetId="2">
        <row r="122">
          <cell r="E122">
            <v>37300870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6 Months Ending 06/30/14</v>
          </cell>
        </row>
      </sheetData>
      <sheetData sheetId="11"/>
      <sheetData sheetId="12"/>
      <sheetData sheetId="13">
        <row r="9">
          <cell r="B9">
            <v>0.56999999999999995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N Electric"/>
      <sheetName val="Washington Electric"/>
      <sheetName val="Idaho Electric"/>
      <sheetName val="Pro-Forma Increases"/>
      <sheetName val="Exec Utility Split"/>
      <sheetName val="Exec Removal Prior"/>
      <sheetName val="Pro-Forma Exec Salary"/>
      <sheetName val="AN Gas"/>
      <sheetName val="Washington Gas"/>
      <sheetName val="Idaho Gas"/>
      <sheetName val="Oregon Gas"/>
      <sheetName val="Oregon Total"/>
      <sheetName val="Non-Util Benefit Calc"/>
      <sheetName val="Pension &amp; Medical"/>
      <sheetName val=" TTL Download"/>
      <sheetName val="Total Electric Download"/>
      <sheetName val="Gas North Download"/>
      <sheetName val="Gas South Dowload"/>
    </sheetNames>
    <sheetDataSet>
      <sheetData sheetId="0">
        <row r="1">
          <cell r="A1" t="str">
            <v>AVISTA UTILITIES</v>
          </cell>
        </row>
      </sheetData>
      <sheetData sheetId="1">
        <row r="129">
          <cell r="M129">
            <v>39801720.07</v>
          </cell>
          <cell r="P129">
            <v>19883337.440000001</v>
          </cell>
        </row>
      </sheetData>
      <sheetData sheetId="2"/>
      <sheetData sheetId="3"/>
      <sheetData sheetId="4"/>
      <sheetData sheetId="5">
        <row r="3">
          <cell r="A3" t="str">
            <v>Twelve Months Ended June 30, 2013</v>
          </cell>
        </row>
      </sheetData>
      <sheetData sheetId="6"/>
      <sheetData sheetId="7"/>
      <sheetData sheetId="8">
        <row r="79">
          <cell r="L79">
            <v>11005633.890000001</v>
          </cell>
          <cell r="O79">
            <v>4743488.5199999996</v>
          </cell>
        </row>
      </sheetData>
      <sheetData sheetId="9"/>
      <sheetData sheetId="10"/>
      <sheetData sheetId="11"/>
      <sheetData sheetId="12">
        <row r="79">
          <cell r="G79">
            <v>6071357.3799999999</v>
          </cell>
        </row>
      </sheetData>
      <sheetData sheetId="13">
        <row r="9">
          <cell r="B9">
            <v>0.98799999999999999</v>
          </cell>
        </row>
      </sheetData>
      <sheetData sheetId="14"/>
      <sheetData sheetId="15">
        <row r="135">
          <cell r="B135">
            <v>158714501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83"/>
  <sheetViews>
    <sheetView tabSelected="1" zoomScale="75" zoomScaleNormal="75" workbookViewId="0">
      <selection activeCell="I38" sqref="I38"/>
    </sheetView>
  </sheetViews>
  <sheetFormatPr defaultRowHeight="14.5"/>
  <cols>
    <col min="1" max="1" width="4.54296875" style="199" customWidth="1"/>
    <col min="2" max="3" width="1.54296875" style="17" customWidth="1"/>
    <col min="4" max="4" width="35.453125" style="17" customWidth="1"/>
    <col min="5" max="6" width="10.453125" style="328" bestFit="1" customWidth="1"/>
    <col min="7" max="7" width="8.7265625" style="35"/>
    <col min="8" max="8" width="12.6328125" style="34" customWidth="1"/>
    <col min="9" max="11" width="8.7265625" style="35"/>
    <col min="12" max="12" width="12.7265625" style="35" customWidth="1"/>
    <col min="13" max="13" width="17.7265625" style="35" customWidth="1"/>
    <col min="14" max="18" width="12.453125" style="35" bestFit="1" customWidth="1"/>
    <col min="19" max="16384" width="8.7265625" style="35"/>
  </cols>
  <sheetData>
    <row r="1" spans="1:18">
      <c r="H1" s="33"/>
    </row>
    <row r="2" spans="1:18">
      <c r="A2" s="319" t="s">
        <v>21</v>
      </c>
      <c r="D2" s="199"/>
      <c r="H2" s="33"/>
    </row>
    <row r="3" spans="1:18">
      <c r="A3" s="319" t="s">
        <v>184</v>
      </c>
      <c r="D3" s="199"/>
      <c r="E3" s="329"/>
      <c r="F3" s="329"/>
      <c r="H3" s="31"/>
    </row>
    <row r="4" spans="1:18">
      <c r="A4" s="319" t="s">
        <v>182</v>
      </c>
      <c r="D4" s="199"/>
      <c r="E4" s="330"/>
      <c r="F4" s="330"/>
      <c r="H4" s="208"/>
    </row>
    <row r="5" spans="1:18">
      <c r="A5" s="319" t="s">
        <v>23</v>
      </c>
      <c r="D5" s="199"/>
      <c r="E5" s="330"/>
      <c r="F5" s="330"/>
      <c r="H5" s="208"/>
    </row>
    <row r="6" spans="1:18">
      <c r="A6" s="35"/>
      <c r="D6" s="199"/>
      <c r="E6" s="316" t="s">
        <v>186</v>
      </c>
      <c r="F6" s="316" t="s">
        <v>187</v>
      </c>
      <c r="H6" s="209"/>
    </row>
    <row r="7" spans="1:18">
      <c r="A7" s="200"/>
      <c r="B7" s="18"/>
      <c r="C7" s="18"/>
      <c r="D7" s="18"/>
      <c r="E7" s="318" t="s">
        <v>188</v>
      </c>
      <c r="F7" s="317"/>
      <c r="H7" s="210"/>
    </row>
    <row r="8" spans="1:18">
      <c r="A8" s="320"/>
      <c r="B8" s="321"/>
      <c r="C8" s="322"/>
      <c r="D8" s="322"/>
      <c r="E8" s="331" t="s">
        <v>73</v>
      </c>
      <c r="F8" s="331" t="s">
        <v>73</v>
      </c>
      <c r="H8" s="211"/>
    </row>
    <row r="9" spans="1:18">
      <c r="A9" s="323" t="s">
        <v>26</v>
      </c>
      <c r="B9" s="324"/>
      <c r="C9" s="18"/>
      <c r="D9" s="18"/>
      <c r="E9" s="332" t="s">
        <v>74</v>
      </c>
      <c r="F9" s="332" t="s">
        <v>74</v>
      </c>
      <c r="H9" s="211"/>
    </row>
    <row r="10" spans="1:18">
      <c r="A10" s="325" t="s">
        <v>27</v>
      </c>
      <c r="B10" s="326"/>
      <c r="C10" s="19"/>
      <c r="D10" s="19" t="s">
        <v>28</v>
      </c>
      <c r="E10" s="333" t="s">
        <v>75</v>
      </c>
      <c r="F10" s="333" t="s">
        <v>75</v>
      </c>
      <c r="H10" s="211"/>
    </row>
    <row r="11" spans="1:18">
      <c r="A11" s="20"/>
      <c r="B11" s="21" t="s">
        <v>29</v>
      </c>
      <c r="C11" s="20"/>
      <c r="D11" s="20"/>
      <c r="E11" s="334">
        <v>3.06</v>
      </c>
      <c r="F11" s="334">
        <v>3.06</v>
      </c>
      <c r="H11" s="212"/>
    </row>
    <row r="12" spans="1:18">
      <c r="A12" s="20"/>
      <c r="B12" s="21" t="s">
        <v>30</v>
      </c>
      <c r="C12" s="20"/>
      <c r="D12" s="20"/>
      <c r="E12" s="334" t="s">
        <v>76</v>
      </c>
      <c r="F12" s="334" t="s">
        <v>76</v>
      </c>
      <c r="H12" s="212"/>
      <c r="I12" s="212"/>
    </row>
    <row r="13" spans="1:18">
      <c r="A13" s="20"/>
      <c r="B13" s="21"/>
      <c r="C13" s="20"/>
      <c r="D13" s="20"/>
      <c r="E13" s="335"/>
      <c r="F13" s="335"/>
      <c r="H13" s="182"/>
    </row>
    <row r="14" spans="1:18">
      <c r="B14" s="17" t="s">
        <v>189</v>
      </c>
    </row>
    <row r="15" spans="1:18">
      <c r="A15" s="22">
        <v>1</v>
      </c>
      <c r="B15" s="23" t="s">
        <v>190</v>
      </c>
      <c r="C15" s="23"/>
      <c r="D15" s="23"/>
      <c r="E15" s="336">
        <v>0</v>
      </c>
      <c r="F15" s="336">
        <v>0</v>
      </c>
      <c r="H15" s="32"/>
      <c r="J15" s="154"/>
      <c r="M15" s="154"/>
      <c r="N15" s="171"/>
      <c r="O15" s="171"/>
      <c r="P15" s="171"/>
      <c r="Q15" s="171"/>
      <c r="R15" s="170"/>
    </row>
    <row r="16" spans="1:18">
      <c r="A16" s="22">
        <v>2</v>
      </c>
      <c r="B16" s="24" t="s">
        <v>191</v>
      </c>
      <c r="C16" s="24"/>
      <c r="D16" s="24"/>
      <c r="E16" s="328">
        <v>0</v>
      </c>
      <c r="F16" s="328">
        <v>0</v>
      </c>
      <c r="J16" s="154"/>
      <c r="M16" s="154"/>
      <c r="Q16" s="171"/>
      <c r="R16" s="170"/>
    </row>
    <row r="17" spans="1:18">
      <c r="A17" s="22">
        <v>3</v>
      </c>
      <c r="B17" s="24" t="s">
        <v>192</v>
      </c>
      <c r="C17" s="24"/>
      <c r="D17" s="24"/>
      <c r="E17" s="337">
        <v>0</v>
      </c>
      <c r="F17" s="337">
        <v>0</v>
      </c>
      <c r="J17" s="154"/>
      <c r="M17" s="154"/>
      <c r="N17" s="171"/>
      <c r="O17" s="171"/>
      <c r="P17" s="171"/>
      <c r="Q17" s="171"/>
      <c r="R17" s="170"/>
    </row>
    <row r="18" spans="1:18">
      <c r="A18" s="22">
        <v>4</v>
      </c>
      <c r="B18" s="24" t="s">
        <v>193</v>
      </c>
      <c r="C18" s="24"/>
      <c r="D18" s="24"/>
      <c r="E18" s="328">
        <f t="shared" ref="E18:F18" si="0">SUM(E15:E17)</f>
        <v>0</v>
      </c>
      <c r="F18" s="328">
        <f t="shared" si="0"/>
        <v>0</v>
      </c>
      <c r="R18" s="170"/>
    </row>
    <row r="19" spans="1:18">
      <c r="A19" s="22">
        <v>5</v>
      </c>
      <c r="B19" s="24" t="s">
        <v>194</v>
      </c>
      <c r="C19" s="24"/>
      <c r="D19" s="24"/>
      <c r="E19" s="337">
        <v>0</v>
      </c>
      <c r="F19" s="337">
        <v>0</v>
      </c>
      <c r="J19" s="154"/>
      <c r="M19" s="154"/>
      <c r="N19" s="171"/>
      <c r="O19" s="171"/>
      <c r="P19" s="171"/>
      <c r="Q19" s="171"/>
      <c r="R19" s="170"/>
    </row>
    <row r="20" spans="1:18">
      <c r="A20" s="22">
        <v>6</v>
      </c>
      <c r="B20" s="24" t="s">
        <v>195</v>
      </c>
      <c r="C20" s="24"/>
      <c r="D20" s="24"/>
      <c r="E20" s="328">
        <f t="shared" ref="E20:F20" si="1">SUM(E18:E19)</f>
        <v>0</v>
      </c>
      <c r="F20" s="328">
        <f t="shared" si="1"/>
        <v>0</v>
      </c>
      <c r="H20" s="33"/>
      <c r="J20" s="154"/>
      <c r="M20" s="154"/>
      <c r="N20" s="171"/>
      <c r="O20" s="171"/>
      <c r="P20" s="171"/>
      <c r="Q20" s="171"/>
      <c r="R20" s="170"/>
    </row>
    <row r="21" spans="1:18">
      <c r="A21" s="22"/>
      <c r="B21" s="24"/>
      <c r="C21" s="24"/>
      <c r="D21" s="24"/>
      <c r="H21" s="33"/>
      <c r="J21" s="154"/>
      <c r="M21" s="154"/>
      <c r="N21" s="171"/>
      <c r="O21" s="171"/>
      <c r="P21" s="171"/>
      <c r="Q21" s="171"/>
      <c r="R21" s="170"/>
    </row>
    <row r="22" spans="1:18">
      <c r="A22" s="22"/>
      <c r="B22" s="24" t="s">
        <v>196</v>
      </c>
      <c r="C22" s="24"/>
      <c r="D22" s="24"/>
      <c r="H22" s="33"/>
      <c r="R22" s="170"/>
    </row>
    <row r="23" spans="1:18">
      <c r="A23" s="22"/>
      <c r="B23" s="24" t="s">
        <v>197</v>
      </c>
      <c r="C23" s="24"/>
      <c r="D23" s="24"/>
      <c r="H23" s="33"/>
    </row>
    <row r="24" spans="1:18">
      <c r="A24" s="22">
        <v>7</v>
      </c>
      <c r="B24" s="24"/>
      <c r="C24" s="24" t="s">
        <v>198</v>
      </c>
      <c r="D24" s="24"/>
      <c r="E24" s="328">
        <v>392</v>
      </c>
      <c r="F24" s="328">
        <v>0</v>
      </c>
      <c r="G24" s="172"/>
      <c r="H24" s="33"/>
      <c r="I24" s="172"/>
      <c r="J24" s="205"/>
      <c r="K24" s="173"/>
      <c r="L24" s="172"/>
      <c r="M24" s="205"/>
      <c r="N24" s="170"/>
      <c r="O24" s="170"/>
      <c r="P24" s="170"/>
      <c r="Q24" s="170"/>
      <c r="R24" s="170"/>
    </row>
    <row r="25" spans="1:18" ht="18.5">
      <c r="A25" s="22">
        <v>8</v>
      </c>
      <c r="B25" s="24"/>
      <c r="C25" s="24" t="s">
        <v>199</v>
      </c>
      <c r="D25" s="24"/>
      <c r="H25" s="35"/>
      <c r="M25" s="186"/>
    </row>
    <row r="26" spans="1:18">
      <c r="A26" s="22">
        <v>9</v>
      </c>
      <c r="B26" s="24"/>
      <c r="C26" s="24" t="s">
        <v>200</v>
      </c>
      <c r="D26" s="24"/>
      <c r="E26" s="328">
        <v>0</v>
      </c>
      <c r="F26" s="328">
        <v>0</v>
      </c>
      <c r="G26" s="187"/>
      <c r="H26" s="187"/>
      <c r="I26" s="187"/>
      <c r="J26" s="187"/>
      <c r="K26" s="187"/>
    </row>
    <row r="27" spans="1:18">
      <c r="A27" s="22">
        <v>10</v>
      </c>
      <c r="B27" s="24"/>
      <c r="C27" s="24" t="s">
        <v>201</v>
      </c>
      <c r="D27" s="24"/>
      <c r="G27" s="187"/>
      <c r="H27" s="187"/>
      <c r="I27" s="188"/>
      <c r="J27" s="188"/>
      <c r="K27" s="187"/>
    </row>
    <row r="28" spans="1:18">
      <c r="A28" s="22">
        <v>11</v>
      </c>
      <c r="B28" s="24"/>
      <c r="C28" s="24" t="s">
        <v>202</v>
      </c>
      <c r="D28" s="24"/>
      <c r="E28" s="337">
        <v>0</v>
      </c>
      <c r="F28" s="337">
        <v>0</v>
      </c>
      <c r="G28" s="189"/>
      <c r="H28" s="189"/>
      <c r="I28" s="187"/>
      <c r="J28" s="187"/>
      <c r="K28" s="187"/>
    </row>
    <row r="29" spans="1:18">
      <c r="A29" s="22">
        <v>12</v>
      </c>
      <c r="B29" s="24" t="s">
        <v>203</v>
      </c>
      <c r="C29" s="24"/>
      <c r="D29" s="24"/>
      <c r="E29" s="328">
        <f t="shared" ref="E29:F29" si="2">SUM(E24:E28)</f>
        <v>392</v>
      </c>
      <c r="F29" s="328">
        <f t="shared" si="2"/>
        <v>0</v>
      </c>
      <c r="G29" s="190"/>
      <c r="H29" s="190"/>
      <c r="I29" s="154"/>
      <c r="J29" s="154"/>
      <c r="K29" s="154"/>
      <c r="M29" s="41"/>
    </row>
    <row r="30" spans="1:18">
      <c r="A30" s="22"/>
      <c r="B30" s="24"/>
      <c r="C30" s="24"/>
      <c r="D30" s="24"/>
      <c r="G30" s="190"/>
      <c r="H30" s="190"/>
      <c r="I30" s="154"/>
      <c r="J30" s="154"/>
      <c r="K30" s="154"/>
      <c r="M30" s="41"/>
    </row>
    <row r="31" spans="1:18">
      <c r="A31" s="22"/>
      <c r="B31" s="24" t="s">
        <v>204</v>
      </c>
      <c r="C31" s="24"/>
      <c r="D31" s="24"/>
      <c r="G31" s="190"/>
      <c r="H31" s="190"/>
      <c r="I31" s="154"/>
      <c r="J31" s="154"/>
      <c r="K31" s="154"/>
      <c r="M31" s="41"/>
    </row>
    <row r="32" spans="1:18">
      <c r="A32" s="22">
        <v>13</v>
      </c>
      <c r="B32" s="24"/>
      <c r="C32" s="24" t="s">
        <v>198</v>
      </c>
      <c r="D32" s="24"/>
      <c r="E32" s="328">
        <v>247</v>
      </c>
      <c r="F32" s="328">
        <v>0</v>
      </c>
      <c r="G32" s="191"/>
      <c r="H32" s="191"/>
      <c r="I32" s="192"/>
      <c r="J32" s="192"/>
      <c r="K32" s="192"/>
      <c r="M32" s="193"/>
    </row>
    <row r="33" spans="1:14">
      <c r="A33" s="22">
        <v>14</v>
      </c>
      <c r="B33" s="24"/>
      <c r="C33" s="24" t="s">
        <v>31</v>
      </c>
      <c r="D33" s="24"/>
      <c r="E33" s="328">
        <v>0</v>
      </c>
      <c r="F33" s="328">
        <v>0</v>
      </c>
      <c r="G33" s="127"/>
      <c r="H33" s="127"/>
      <c r="I33" s="127"/>
      <c r="J33" s="127"/>
      <c r="K33" s="127"/>
      <c r="M33" s="41"/>
    </row>
    <row r="34" spans="1:14">
      <c r="A34" s="22"/>
      <c r="B34" s="24"/>
      <c r="C34" s="24" t="s">
        <v>201</v>
      </c>
      <c r="D34" s="24"/>
      <c r="G34" s="190"/>
      <c r="H34" s="190"/>
      <c r="I34" s="154"/>
      <c r="J34" s="154"/>
      <c r="K34" s="154"/>
      <c r="M34" s="41"/>
    </row>
    <row r="35" spans="1:14">
      <c r="A35" s="22">
        <v>15</v>
      </c>
      <c r="B35" s="24"/>
      <c r="C35" s="24" t="s">
        <v>202</v>
      </c>
      <c r="D35" s="24"/>
      <c r="E35" s="337">
        <v>0</v>
      </c>
      <c r="F35" s="337">
        <v>0</v>
      </c>
      <c r="G35" s="190"/>
      <c r="H35" s="190"/>
      <c r="I35" s="154"/>
      <c r="J35" s="154"/>
      <c r="K35" s="154"/>
      <c r="M35" s="41"/>
    </row>
    <row r="36" spans="1:14">
      <c r="A36" s="22">
        <v>16</v>
      </c>
      <c r="B36" s="24" t="s">
        <v>205</v>
      </c>
      <c r="C36" s="24"/>
      <c r="D36" s="24"/>
      <c r="E36" s="328">
        <f t="shared" ref="E36:F36" si="3">SUM(E32:E35)</f>
        <v>247</v>
      </c>
      <c r="F36" s="328">
        <f t="shared" si="3"/>
        <v>0</v>
      </c>
      <c r="G36" s="190"/>
      <c r="H36" s="190"/>
      <c r="I36" s="154"/>
      <c r="J36" s="154"/>
      <c r="K36" s="154"/>
      <c r="M36" s="41"/>
    </row>
    <row r="37" spans="1:14">
      <c r="A37" s="24"/>
      <c r="B37" s="24"/>
      <c r="C37" s="24"/>
      <c r="D37" s="24"/>
      <c r="G37" s="191"/>
      <c r="H37" s="191"/>
      <c r="I37" s="192"/>
      <c r="J37" s="192"/>
      <c r="K37" s="192"/>
      <c r="M37" s="193"/>
    </row>
    <row r="38" spans="1:14">
      <c r="A38" s="22">
        <v>17</v>
      </c>
      <c r="B38" s="24" t="s">
        <v>206</v>
      </c>
      <c r="C38" s="24"/>
      <c r="D38" s="24"/>
      <c r="E38" s="328">
        <v>112</v>
      </c>
      <c r="F38" s="328">
        <v>0</v>
      </c>
      <c r="G38" s="191"/>
      <c r="H38" s="191"/>
      <c r="I38" s="192"/>
      <c r="J38" s="192"/>
      <c r="K38" s="192"/>
      <c r="M38" s="41"/>
    </row>
    <row r="39" spans="1:14">
      <c r="A39" s="22">
        <v>18</v>
      </c>
      <c r="B39" s="24" t="s">
        <v>207</v>
      </c>
      <c r="C39" s="24"/>
      <c r="D39" s="24"/>
      <c r="E39" s="328">
        <v>11</v>
      </c>
      <c r="F39" s="328">
        <v>0</v>
      </c>
      <c r="G39" s="191"/>
      <c r="H39" s="191"/>
      <c r="I39" s="192"/>
      <c r="J39" s="192"/>
      <c r="K39" s="192"/>
      <c r="M39" s="41"/>
    </row>
    <row r="40" spans="1:14">
      <c r="A40" s="22">
        <v>19</v>
      </c>
      <c r="B40" s="24" t="s">
        <v>208</v>
      </c>
      <c r="C40" s="24"/>
      <c r="D40" s="24"/>
      <c r="G40" s="127"/>
      <c r="H40" s="127"/>
      <c r="I40" s="194"/>
      <c r="J40" s="194"/>
      <c r="K40" s="194"/>
      <c r="M40" s="195"/>
    </row>
    <row r="41" spans="1:14">
      <c r="A41" s="22"/>
      <c r="B41" s="24"/>
      <c r="C41" s="24"/>
      <c r="D41" s="24"/>
      <c r="G41" s="127"/>
      <c r="H41" s="127"/>
      <c r="I41" s="166"/>
      <c r="J41" s="167"/>
      <c r="K41" s="166"/>
      <c r="M41" s="193"/>
      <c r="N41" s="196"/>
    </row>
    <row r="42" spans="1:14">
      <c r="A42" s="24"/>
      <c r="B42" s="24" t="s">
        <v>209</v>
      </c>
      <c r="C42" s="24"/>
      <c r="D42" s="24"/>
    </row>
    <row r="43" spans="1:14">
      <c r="A43" s="22">
        <v>20</v>
      </c>
      <c r="B43" s="24"/>
      <c r="C43" s="24" t="s">
        <v>198</v>
      </c>
      <c r="D43" s="24"/>
      <c r="E43" s="328">
        <v>358</v>
      </c>
      <c r="F43" s="328">
        <v>0</v>
      </c>
    </row>
    <row r="44" spans="1:14">
      <c r="A44" s="22">
        <v>21</v>
      </c>
      <c r="B44" s="24"/>
      <c r="C44" s="24" t="s">
        <v>31</v>
      </c>
      <c r="D44" s="24"/>
      <c r="E44" s="328">
        <v>0</v>
      </c>
      <c r="F44" s="328">
        <v>0</v>
      </c>
    </row>
    <row r="45" spans="1:14">
      <c r="A45" s="22">
        <v>22</v>
      </c>
      <c r="B45" s="24"/>
      <c r="C45" s="24" t="s">
        <v>210</v>
      </c>
      <c r="D45" s="24"/>
      <c r="E45" s="328">
        <v>0</v>
      </c>
      <c r="F45" s="328">
        <v>0</v>
      </c>
    </row>
    <row r="46" spans="1:14">
      <c r="A46" s="22">
        <v>23</v>
      </c>
      <c r="B46" s="24"/>
      <c r="C46" s="24" t="s">
        <v>202</v>
      </c>
      <c r="D46" s="24"/>
      <c r="E46" s="337">
        <v>0</v>
      </c>
      <c r="F46" s="337">
        <v>0</v>
      </c>
    </row>
    <row r="47" spans="1:14">
      <c r="A47" s="22">
        <v>24</v>
      </c>
      <c r="B47" s="24" t="s">
        <v>211</v>
      </c>
      <c r="C47" s="24"/>
      <c r="D47" s="24"/>
      <c r="E47" s="337">
        <f t="shared" ref="E47:F47" si="4">SUM(E43:E46)</f>
        <v>358</v>
      </c>
      <c r="F47" s="337">
        <f t="shared" si="4"/>
        <v>0</v>
      </c>
    </row>
    <row r="48" spans="1:14">
      <c r="A48" s="22">
        <v>25</v>
      </c>
      <c r="B48" s="24" t="s">
        <v>212</v>
      </c>
      <c r="C48" s="24"/>
      <c r="D48" s="24"/>
      <c r="E48" s="337">
        <f t="shared" ref="E48:F48" si="5">E47+E40+E39+E38+E36+E29</f>
        <v>1120</v>
      </c>
      <c r="F48" s="337">
        <f t="shared" si="5"/>
        <v>0</v>
      </c>
    </row>
    <row r="49" spans="1:8">
      <c r="A49" s="24"/>
      <c r="B49" s="24"/>
      <c r="C49" s="24"/>
      <c r="D49" s="24"/>
    </row>
    <row r="50" spans="1:8">
      <c r="A50" s="22">
        <v>26</v>
      </c>
      <c r="B50" s="24" t="s">
        <v>213</v>
      </c>
      <c r="C50" s="24"/>
      <c r="D50" s="24"/>
      <c r="E50" s="328">
        <f t="shared" ref="E50:F50" si="6">E20-E48</f>
        <v>-1120</v>
      </c>
      <c r="F50" s="328">
        <f t="shared" si="6"/>
        <v>0</v>
      </c>
    </row>
    <row r="51" spans="1:8">
      <c r="A51" s="22"/>
      <c r="B51" s="24"/>
      <c r="C51" s="24"/>
      <c r="D51" s="24"/>
    </row>
    <row r="52" spans="1:8">
      <c r="A52" s="25"/>
      <c r="B52" s="24" t="s">
        <v>214</v>
      </c>
      <c r="C52" s="24"/>
      <c r="D52" s="24"/>
    </row>
    <row r="53" spans="1:8">
      <c r="A53" s="22">
        <v>27</v>
      </c>
      <c r="B53" s="24" t="s">
        <v>215</v>
      </c>
      <c r="C53" s="24"/>
      <c r="D53" s="327"/>
      <c r="E53" s="328">
        <f t="shared" ref="E53:F53" si="7">E50*0.21</f>
        <v>-235.2</v>
      </c>
      <c r="F53" s="328">
        <f t="shared" si="7"/>
        <v>0</v>
      </c>
    </row>
    <row r="54" spans="1:8">
      <c r="A54" s="22">
        <v>28</v>
      </c>
      <c r="B54" s="24" t="s">
        <v>32</v>
      </c>
      <c r="C54" s="24"/>
      <c r="D54" s="24"/>
      <c r="E54" s="328">
        <f>(E82*'[3]RR SUMMARY'!$O$12)*-0.21</f>
        <v>0</v>
      </c>
      <c r="F54" s="328">
        <f>(F82*'[3]RR SUMMARY'!$O$12)*-0.21</f>
        <v>0</v>
      </c>
    </row>
    <row r="55" spans="1:8">
      <c r="A55" s="22">
        <v>29</v>
      </c>
      <c r="B55" s="24" t="s">
        <v>216</v>
      </c>
      <c r="C55" s="24"/>
      <c r="D55" s="24"/>
      <c r="E55" s="328">
        <v>0</v>
      </c>
      <c r="F55" s="328">
        <v>0</v>
      </c>
    </row>
    <row r="56" spans="1:8">
      <c r="A56" s="25">
        <v>30</v>
      </c>
      <c r="B56" s="24" t="s">
        <v>217</v>
      </c>
      <c r="C56" s="24"/>
      <c r="D56" s="24"/>
      <c r="E56" s="337">
        <v>0</v>
      </c>
      <c r="F56" s="337">
        <v>0</v>
      </c>
      <c r="H56" s="183"/>
    </row>
    <row r="58" spans="1:8" ht="15" thickBot="1">
      <c r="A58" s="26">
        <v>31</v>
      </c>
      <c r="B58" s="23" t="s">
        <v>218</v>
      </c>
      <c r="C58" s="23"/>
      <c r="D58" s="23"/>
      <c r="E58" s="338">
        <f t="shared" ref="E58:F58" si="8">E50-SUM(E53:E56)</f>
        <v>-884.8</v>
      </c>
      <c r="F58" s="338">
        <f t="shared" si="8"/>
        <v>0</v>
      </c>
    </row>
    <row r="59" spans="1:8" ht="15" thickTop="1">
      <c r="A59" s="26"/>
    </row>
    <row r="60" spans="1:8">
      <c r="A60" s="26"/>
      <c r="B60" s="17" t="s">
        <v>219</v>
      </c>
      <c r="H60" s="183"/>
    </row>
    <row r="61" spans="1:8">
      <c r="B61" s="17" t="s">
        <v>220</v>
      </c>
    </row>
    <row r="62" spans="1:8">
      <c r="A62" s="26">
        <v>32</v>
      </c>
      <c r="B62" s="23"/>
      <c r="C62" s="23" t="s">
        <v>221</v>
      </c>
      <c r="D62" s="23"/>
      <c r="E62" s="339">
        <v>0</v>
      </c>
      <c r="F62" s="339">
        <v>0</v>
      </c>
    </row>
    <row r="63" spans="1:8">
      <c r="A63" s="26">
        <v>33</v>
      </c>
      <c r="B63" s="24"/>
      <c r="C63" s="24" t="s">
        <v>222</v>
      </c>
      <c r="D63" s="24"/>
      <c r="E63" s="328">
        <v>0</v>
      </c>
      <c r="F63" s="328">
        <v>0</v>
      </c>
    </row>
    <row r="64" spans="1:8">
      <c r="A64" s="26">
        <v>34</v>
      </c>
      <c r="B64" s="24"/>
      <c r="C64" s="24" t="s">
        <v>223</v>
      </c>
      <c r="D64" s="24"/>
      <c r="E64" s="328">
        <v>0</v>
      </c>
      <c r="F64" s="328">
        <v>0</v>
      </c>
    </row>
    <row r="65" spans="1:8">
      <c r="A65" s="26">
        <v>35</v>
      </c>
      <c r="B65" s="24"/>
      <c r="C65" s="24" t="s">
        <v>204</v>
      </c>
      <c r="D65" s="24"/>
      <c r="E65" s="328">
        <v>0</v>
      </c>
      <c r="F65" s="328">
        <v>0</v>
      </c>
    </row>
    <row r="66" spans="1:8">
      <c r="A66" s="26">
        <v>36</v>
      </c>
      <c r="B66" s="24"/>
      <c r="C66" s="24" t="s">
        <v>224</v>
      </c>
      <c r="D66" s="24"/>
      <c r="E66" s="337">
        <v>0</v>
      </c>
      <c r="F66" s="337">
        <v>0</v>
      </c>
    </row>
    <row r="67" spans="1:8">
      <c r="A67" s="26">
        <v>37</v>
      </c>
      <c r="B67" s="24" t="s">
        <v>225</v>
      </c>
      <c r="C67" s="24"/>
      <c r="D67" s="24"/>
      <c r="E67" s="328">
        <f t="shared" ref="E67:F67" si="9">SUM(E62:E66)</f>
        <v>0</v>
      </c>
      <c r="F67" s="328">
        <f t="shared" si="9"/>
        <v>0</v>
      </c>
    </row>
    <row r="68" spans="1:8">
      <c r="A68" s="26"/>
      <c r="B68" s="24" t="s">
        <v>33</v>
      </c>
      <c r="C68" s="24"/>
      <c r="D68" s="24"/>
      <c r="E68" s="328">
        <v>0</v>
      </c>
      <c r="F68" s="328">
        <v>0</v>
      </c>
    </row>
    <row r="69" spans="1:8">
      <c r="A69" s="26">
        <v>38</v>
      </c>
      <c r="B69" s="24"/>
      <c r="C69" s="23" t="s">
        <v>221</v>
      </c>
      <c r="D69" s="24"/>
      <c r="E69" s="328">
        <v>0</v>
      </c>
      <c r="F69" s="328">
        <v>0</v>
      </c>
    </row>
    <row r="70" spans="1:8">
      <c r="A70" s="26">
        <v>39</v>
      </c>
      <c r="B70" s="24"/>
      <c r="C70" s="24" t="s">
        <v>222</v>
      </c>
      <c r="D70" s="24"/>
      <c r="E70" s="328">
        <v>0</v>
      </c>
      <c r="F70" s="328">
        <v>0</v>
      </c>
    </row>
    <row r="71" spans="1:8">
      <c r="A71" s="26">
        <v>40</v>
      </c>
      <c r="B71" s="24"/>
      <c r="C71" s="24" t="s">
        <v>223</v>
      </c>
      <c r="D71" s="24"/>
      <c r="E71" s="328">
        <v>0</v>
      </c>
      <c r="F71" s="328">
        <v>0</v>
      </c>
    </row>
    <row r="72" spans="1:8">
      <c r="A72" s="26">
        <v>41</v>
      </c>
      <c r="B72" s="24"/>
      <c r="C72" s="24" t="s">
        <v>204</v>
      </c>
      <c r="D72" s="24"/>
      <c r="E72" s="328">
        <v>0</v>
      </c>
      <c r="F72" s="328">
        <v>0</v>
      </c>
      <c r="H72" s="33"/>
    </row>
    <row r="73" spans="1:8">
      <c r="A73" s="26">
        <v>42</v>
      </c>
      <c r="B73" s="24"/>
      <c r="C73" s="24" t="s">
        <v>224</v>
      </c>
      <c r="D73" s="24"/>
      <c r="E73" s="328">
        <v>0</v>
      </c>
      <c r="F73" s="328">
        <v>0</v>
      </c>
      <c r="H73" s="33"/>
    </row>
    <row r="74" spans="1:8">
      <c r="A74" s="26">
        <v>43</v>
      </c>
      <c r="B74" s="24" t="s">
        <v>226</v>
      </c>
      <c r="C74" s="24"/>
      <c r="D74" s="24"/>
      <c r="E74" s="340">
        <f t="shared" ref="E74:F74" si="10">SUM(E69:E73)</f>
        <v>0</v>
      </c>
      <c r="F74" s="340">
        <f t="shared" si="10"/>
        <v>0</v>
      </c>
      <c r="H74" s="33"/>
    </row>
    <row r="75" spans="1:8">
      <c r="A75" s="26">
        <v>44</v>
      </c>
      <c r="B75" s="24" t="s">
        <v>227</v>
      </c>
      <c r="C75" s="24"/>
      <c r="D75" s="24"/>
      <c r="E75" s="340">
        <f t="shared" ref="E75:F75" si="11">E67+E74</f>
        <v>0</v>
      </c>
      <c r="F75" s="340">
        <f t="shared" si="11"/>
        <v>0</v>
      </c>
    </row>
    <row r="76" spans="1:8">
      <c r="A76" s="26"/>
      <c r="B76" s="24"/>
      <c r="C76" s="24"/>
      <c r="D76" s="24"/>
      <c r="H76" s="33"/>
    </row>
    <row r="77" spans="1:8">
      <c r="A77" s="25">
        <v>45</v>
      </c>
      <c r="B77" s="24" t="s">
        <v>228</v>
      </c>
      <c r="C77" s="24"/>
      <c r="D77" s="24"/>
      <c r="E77" s="337">
        <v>0</v>
      </c>
      <c r="F77" s="337">
        <v>0</v>
      </c>
    </row>
    <row r="78" spans="1:8">
      <c r="A78" s="25">
        <v>46</v>
      </c>
      <c r="B78" s="24"/>
      <c r="C78" s="24" t="s">
        <v>34</v>
      </c>
      <c r="D78" s="24"/>
      <c r="E78" s="328">
        <f t="shared" ref="E78:F78" si="12">SUM(E75:E77)</f>
        <v>0</v>
      </c>
      <c r="F78" s="328">
        <f t="shared" si="12"/>
        <v>0</v>
      </c>
    </row>
    <row r="79" spans="1:8">
      <c r="A79" s="26">
        <v>47</v>
      </c>
      <c r="B79" s="24" t="s">
        <v>229</v>
      </c>
      <c r="C79" s="24"/>
      <c r="D79" s="24"/>
      <c r="E79" s="328">
        <v>0</v>
      </c>
      <c r="F79" s="328">
        <v>0</v>
      </c>
    </row>
    <row r="80" spans="1:8">
      <c r="A80" s="26">
        <v>48</v>
      </c>
      <c r="B80" s="24" t="s">
        <v>35</v>
      </c>
      <c r="C80" s="24"/>
      <c r="D80" s="24"/>
      <c r="E80" s="337">
        <v>0</v>
      </c>
      <c r="F80" s="337">
        <v>0</v>
      </c>
      <c r="H80" s="213"/>
    </row>
    <row r="81" spans="1:8">
      <c r="A81" s="25"/>
      <c r="B81" s="24"/>
      <c r="C81" s="24"/>
      <c r="D81" s="24"/>
    </row>
    <row r="82" spans="1:8" ht="15" thickBot="1">
      <c r="A82" s="22">
        <v>49</v>
      </c>
      <c r="B82" s="23" t="s">
        <v>230</v>
      </c>
      <c r="C82" s="23"/>
      <c r="D82" s="23"/>
      <c r="E82" s="338">
        <f t="shared" ref="E82:F82" si="13">SUM(E78:E80)</f>
        <v>0</v>
      </c>
      <c r="F82" s="338">
        <f t="shared" si="13"/>
        <v>0</v>
      </c>
      <c r="H82" s="214"/>
    </row>
    <row r="83" spans="1:8" ht="15" thickTop="1">
      <c r="H83" s="33"/>
    </row>
  </sheetData>
  <pageMargins left="0.7" right="0.7" top="0.75" bottom="0.75" header="0.3" footer="0.3"/>
  <pageSetup scale="57" fitToWidth="0" orientation="portrait" r:id="rId1"/>
  <headerFooter>
    <oddHeader xml:space="preserve">&amp;RExh. JH-6
Dockets UE-200900-01-894
Page &amp;P of &amp;N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zoomScaleNormal="100" workbookViewId="0">
      <selection activeCell="I15" sqref="I15"/>
    </sheetView>
  </sheetViews>
  <sheetFormatPr defaultColWidth="9.36328125" defaultRowHeight="13"/>
  <cols>
    <col min="1" max="1" width="9.36328125" style="42"/>
    <col min="2" max="2" width="17.36328125" style="42" customWidth="1"/>
    <col min="3" max="3" width="10.453125" style="42" customWidth="1"/>
    <col min="4" max="4" width="16.81640625" style="42" customWidth="1"/>
    <col min="5" max="5" width="12.08984375" style="42" customWidth="1"/>
    <col min="6" max="6" width="4.453125" style="42" customWidth="1"/>
    <col min="7" max="7" width="16.08984375" style="42" customWidth="1"/>
    <col min="8" max="9" width="15" style="42" customWidth="1"/>
    <col min="10" max="10" width="14" style="42" customWidth="1"/>
    <col min="11" max="11" width="11.36328125" style="42" customWidth="1"/>
    <col min="12" max="12" width="12.6328125" style="42" customWidth="1"/>
    <col min="13" max="13" width="13.36328125" style="42" customWidth="1"/>
    <col min="14" max="16384" width="9.36328125" style="42"/>
  </cols>
  <sheetData>
    <row r="1" spans="1:11" ht="15">
      <c r="C1" s="43" t="str">
        <f>[7]Summary!A1</f>
        <v>AVISTA UTILITIES</v>
      </c>
    </row>
    <row r="2" spans="1:11">
      <c r="C2" s="44" t="str">
        <f>'[7]Exec Utility Split'!A3</f>
        <v>Twelve Months Ended June 30, 2013</v>
      </c>
    </row>
    <row r="3" spans="1:11">
      <c r="B3" s="45"/>
    </row>
    <row r="5" spans="1:11">
      <c r="A5" s="46" t="s">
        <v>81</v>
      </c>
      <c r="C5" s="47"/>
      <c r="D5" s="47"/>
      <c r="E5" s="47"/>
      <c r="F5" s="47"/>
      <c r="G5" s="48" t="s">
        <v>82</v>
      </c>
      <c r="H5" s="48" t="s">
        <v>83</v>
      </c>
      <c r="I5" s="48" t="s">
        <v>84</v>
      </c>
      <c r="J5" s="49"/>
    </row>
    <row r="6" spans="1:11">
      <c r="B6" s="50" t="s">
        <v>85</v>
      </c>
      <c r="C6" s="47"/>
      <c r="D6" s="47"/>
      <c r="E6" s="47"/>
      <c r="F6" s="51" t="s">
        <v>86</v>
      </c>
      <c r="G6" s="52">
        <v>19820000</v>
      </c>
      <c r="H6" s="52">
        <f>G43</f>
        <v>34131000</v>
      </c>
      <c r="I6" s="52">
        <f>G6+H6</f>
        <v>53951000</v>
      </c>
      <c r="J6" s="53"/>
      <c r="K6" s="54"/>
    </row>
    <row r="7" spans="1:11">
      <c r="B7" s="50" t="s">
        <v>87</v>
      </c>
      <c r="C7" s="47"/>
      <c r="D7" s="47"/>
      <c r="E7" s="47"/>
      <c r="F7" s="47"/>
      <c r="G7" s="55">
        <v>-26642735</v>
      </c>
      <c r="H7" s="55">
        <f>-894832-17397023-12510520</f>
        <v>-30802375</v>
      </c>
      <c r="I7" s="55">
        <f>G7+H7</f>
        <v>-57445110</v>
      </c>
      <c r="J7" s="56"/>
      <c r="K7" s="54"/>
    </row>
    <row r="8" spans="1:11">
      <c r="B8" s="42" t="s">
        <v>88</v>
      </c>
      <c r="C8" s="47"/>
      <c r="D8" s="47"/>
      <c r="E8" s="47"/>
      <c r="F8" s="47"/>
      <c r="G8" s="57">
        <f>SUM(G6:G7)</f>
        <v>-6822735</v>
      </c>
      <c r="H8" s="57">
        <f>SUM(H6:H7)</f>
        <v>3328625</v>
      </c>
      <c r="I8" s="57">
        <f>G8+H8</f>
        <v>-3494110</v>
      </c>
      <c r="J8" s="58"/>
      <c r="K8" s="54"/>
    </row>
    <row r="9" spans="1:11">
      <c r="B9" s="42" t="s">
        <v>89</v>
      </c>
      <c r="C9" s="47"/>
      <c r="D9" s="47"/>
      <c r="E9" s="47"/>
      <c r="F9" s="51"/>
      <c r="G9" s="59">
        <f>'[7]Non-Util Benefit Calc'!B9</f>
        <v>0.98799999999999999</v>
      </c>
      <c r="H9" s="59">
        <f>G9</f>
        <v>0.98799999999999999</v>
      </c>
      <c r="I9" s="59">
        <f>H9</f>
        <v>0.98799999999999999</v>
      </c>
      <c r="J9" s="54"/>
      <c r="K9" s="54"/>
    </row>
    <row r="10" spans="1:11">
      <c r="B10" s="42" t="s">
        <v>90</v>
      </c>
      <c r="G10" s="57">
        <f>G8*G9</f>
        <v>-6740862.1799999997</v>
      </c>
      <c r="H10" s="57">
        <f>H8*H9</f>
        <v>3288681.5</v>
      </c>
      <c r="I10" s="57">
        <f>G10+H10</f>
        <v>-3452180.6799999997</v>
      </c>
    </row>
    <row r="11" spans="1:11" s="60" customFormat="1"/>
    <row r="12" spans="1:11" s="60" customFormat="1">
      <c r="A12" s="61" t="s">
        <v>91</v>
      </c>
      <c r="J12" s="62"/>
    </row>
    <row r="13" spans="1:11" s="60" customFormat="1" ht="23.25" customHeight="1">
      <c r="A13" s="63" t="s">
        <v>92</v>
      </c>
      <c r="B13" s="64"/>
      <c r="C13" s="64"/>
      <c r="D13" s="65">
        <f>'[7]AN Electric'!M129</f>
        <v>39801720.07</v>
      </c>
      <c r="E13" s="66"/>
      <c r="J13" s="62"/>
    </row>
    <row r="14" spans="1:11" s="60" customFormat="1">
      <c r="A14" s="46" t="s">
        <v>93</v>
      </c>
      <c r="B14" s="42"/>
      <c r="C14" s="67" t="s">
        <v>94</v>
      </c>
      <c r="D14" s="68">
        <f>'[7] TTL Download'!B135</f>
        <v>158714501</v>
      </c>
      <c r="E14" s="54"/>
      <c r="G14" s="69"/>
      <c r="H14" s="58"/>
      <c r="I14" s="58"/>
      <c r="J14" s="69"/>
    </row>
    <row r="15" spans="1:11" ht="13.5" thickBot="1">
      <c r="A15" s="42" t="s">
        <v>95</v>
      </c>
      <c r="D15" s="54"/>
      <c r="E15" s="70">
        <f>D13/D14</f>
        <v>0.25077557387147631</v>
      </c>
      <c r="G15" s="71">
        <f>G10*E15</f>
        <v>-1690443.5815780307</v>
      </c>
      <c r="H15" s="71">
        <f>H10*E15</f>
        <v>824720.99044300755</v>
      </c>
      <c r="I15" s="71">
        <f>G15+H15</f>
        <v>-865722.59113502316</v>
      </c>
    </row>
    <row r="16" spans="1:11" ht="13.5" thickTop="1">
      <c r="D16" s="54"/>
      <c r="E16" s="54"/>
    </row>
    <row r="17" spans="1:9" s="60" customFormat="1">
      <c r="A17" s="46" t="s">
        <v>96</v>
      </c>
      <c r="B17" s="72"/>
      <c r="C17" s="72"/>
      <c r="D17" s="73">
        <f>'[7]AN Electric'!P129</f>
        <v>19883337.440000001</v>
      </c>
      <c r="E17" s="74"/>
    </row>
    <row r="18" spans="1:9" s="60" customFormat="1">
      <c r="A18" s="46" t="s">
        <v>93</v>
      </c>
      <c r="B18" s="42"/>
      <c r="C18" s="42"/>
      <c r="D18" s="73">
        <f>$D$14</f>
        <v>158714501</v>
      </c>
      <c r="E18" s="54"/>
    </row>
    <row r="19" spans="1:9" ht="13.5" thickBot="1">
      <c r="A19" s="42" t="s">
        <v>95</v>
      </c>
      <c r="D19" s="54"/>
      <c r="E19" s="70">
        <f>D17/D18</f>
        <v>0.12527738369665417</v>
      </c>
      <c r="G19" s="71">
        <f>G10*E19</f>
        <v>-844477.57777012466</v>
      </c>
      <c r="H19" s="71">
        <f>H10*E19</f>
        <v>411997.41413158819</v>
      </c>
      <c r="I19" s="71">
        <f>G19+H19</f>
        <v>-432480.16363853647</v>
      </c>
    </row>
    <row r="20" spans="1:9" ht="13.5" thickTop="1">
      <c r="D20" s="54"/>
      <c r="E20" s="54"/>
    </row>
    <row r="21" spans="1:9" s="60" customFormat="1">
      <c r="A21" s="46" t="s">
        <v>97</v>
      </c>
      <c r="B21" s="72"/>
      <c r="C21" s="72"/>
      <c r="D21" s="73">
        <f>'[7]AN Gas'!L79</f>
        <v>11005633.890000001</v>
      </c>
      <c r="E21" s="74"/>
    </row>
    <row r="22" spans="1:9" s="60" customFormat="1">
      <c r="A22" s="46" t="s">
        <v>93</v>
      </c>
      <c r="B22" s="42"/>
      <c r="C22" s="42"/>
      <c r="D22" s="73">
        <f>$D$14</f>
        <v>158714501</v>
      </c>
      <c r="E22" s="54"/>
    </row>
    <row r="23" spans="1:9" ht="13.5" thickBot="1">
      <c r="A23" s="42" t="s">
        <v>95</v>
      </c>
      <c r="D23" s="54"/>
      <c r="E23" s="70">
        <f>D21/D22</f>
        <v>6.934233369136196E-2</v>
      </c>
      <c r="G23" s="71">
        <f>G10*E23</f>
        <v>-467427.11465304159</v>
      </c>
      <c r="H23" s="71">
        <f>H10*E23</f>
        <v>228044.8499776088</v>
      </c>
      <c r="I23" s="71">
        <f>G23+H23</f>
        <v>-239382.26467543279</v>
      </c>
    </row>
    <row r="24" spans="1:9" ht="13.5" thickTop="1">
      <c r="D24" s="54"/>
      <c r="E24" s="54"/>
    </row>
    <row r="25" spans="1:9" s="60" customFormat="1">
      <c r="A25" s="46" t="s">
        <v>98</v>
      </c>
      <c r="B25" s="72"/>
      <c r="C25" s="72"/>
      <c r="D25" s="73">
        <f>'[7]AN Gas'!O79</f>
        <v>4743488.5199999996</v>
      </c>
      <c r="E25" s="74"/>
    </row>
    <row r="26" spans="1:9" s="60" customFormat="1">
      <c r="A26" s="46" t="s">
        <v>93</v>
      </c>
      <c r="B26" s="42"/>
      <c r="C26" s="42"/>
      <c r="D26" s="73">
        <f>$D$14</f>
        <v>158714501</v>
      </c>
      <c r="E26" s="54"/>
    </row>
    <row r="27" spans="1:9" ht="13.5" thickBot="1">
      <c r="A27" s="42" t="s">
        <v>95</v>
      </c>
      <c r="D27" s="54"/>
      <c r="E27" s="70">
        <f>D25/D26</f>
        <v>2.9886925832945783E-2</v>
      </c>
      <c r="G27" s="71">
        <f>G10*E27</f>
        <v>-201463.64802376923</v>
      </c>
      <c r="H27" s="71">
        <f>H10*E27</f>
        <v>98288.580078680883</v>
      </c>
      <c r="I27" s="71">
        <f>G27+H27</f>
        <v>-103175.06794508835</v>
      </c>
    </row>
    <row r="28" spans="1:9" s="60" customFormat="1" ht="13.5" thickTop="1">
      <c r="D28" s="58"/>
      <c r="E28" s="58"/>
    </row>
    <row r="29" spans="1:9">
      <c r="A29" s="46" t="s">
        <v>99</v>
      </c>
      <c r="B29" s="72"/>
      <c r="C29" s="72"/>
      <c r="D29" s="73">
        <f>'[7]Oregon Total'!G79</f>
        <v>6071357.3799999999</v>
      </c>
      <c r="E29" s="74"/>
      <c r="F29" s="60"/>
      <c r="G29" s="60"/>
    </row>
    <row r="30" spans="1:9" ht="13.5" thickBot="1">
      <c r="A30" s="46" t="s">
        <v>93</v>
      </c>
      <c r="D30" s="73">
        <f>$D$14</f>
        <v>158714501</v>
      </c>
      <c r="E30" s="54"/>
      <c r="F30" s="60"/>
      <c r="G30" s="60"/>
    </row>
    <row r="31" spans="1:9" ht="14" thickTop="1" thickBot="1">
      <c r="A31" s="42" t="s">
        <v>95</v>
      </c>
      <c r="D31" s="54"/>
      <c r="E31" s="70">
        <f>D29/D30</f>
        <v>3.8253324943509727E-2</v>
      </c>
      <c r="G31" s="75">
        <f>E31*G10</f>
        <v>-257860.39137095533</v>
      </c>
      <c r="H31" s="76">
        <f>H10*E31</f>
        <v>125803.00205520898</v>
      </c>
      <c r="I31" s="71">
        <f>G31+H31</f>
        <v>-132057.38931574635</v>
      </c>
    </row>
    <row r="32" spans="1:9" ht="13.5" thickTop="1">
      <c r="D32" s="54"/>
      <c r="E32" s="54"/>
    </row>
    <row r="33" spans="1:9">
      <c r="D33" s="54"/>
      <c r="E33" s="77" t="s">
        <v>100</v>
      </c>
      <c r="G33" s="78">
        <f>G15+G19+G23+G27+G31</f>
        <v>-3461672.3133959216</v>
      </c>
      <c r="H33" s="78">
        <f>H15+H19+H23+H27+H31</f>
        <v>1688854.8366860945</v>
      </c>
      <c r="I33" s="78">
        <f>I15+I19+I23+I27+I31</f>
        <v>-1772817.4767098268</v>
      </c>
    </row>
    <row r="34" spans="1:9">
      <c r="D34" s="54"/>
      <c r="E34" s="349" t="s">
        <v>101</v>
      </c>
      <c r="F34" s="349"/>
      <c r="G34" s="79">
        <f>G33/G10</f>
        <v>0.51353554203594798</v>
      </c>
      <c r="H34" s="79">
        <f>H33/H10</f>
        <v>0.51353554203594798</v>
      </c>
      <c r="I34" s="79">
        <f>I33/I10</f>
        <v>0.51353554203594787</v>
      </c>
    </row>
    <row r="37" spans="1:9">
      <c r="A37" s="80" t="s">
        <v>102</v>
      </c>
    </row>
    <row r="38" spans="1:9" ht="25.5" customHeight="1">
      <c r="A38" s="81" t="s">
        <v>86</v>
      </c>
      <c r="B38" s="81" t="s">
        <v>82</v>
      </c>
      <c r="C38" s="81" t="s">
        <v>103</v>
      </c>
      <c r="D38" s="351" t="s">
        <v>104</v>
      </c>
      <c r="E38" s="351"/>
      <c r="F38" s="351"/>
      <c r="G38" s="351"/>
      <c r="H38" s="351"/>
      <c r="I38" s="82"/>
    </row>
    <row r="39" spans="1:9">
      <c r="B39" s="42" t="s">
        <v>105</v>
      </c>
      <c r="C39" s="42" t="s">
        <v>106</v>
      </c>
      <c r="D39" s="42" t="s">
        <v>107</v>
      </c>
    </row>
    <row r="40" spans="1:9">
      <c r="D40" s="42" t="s">
        <v>108</v>
      </c>
      <c r="G40" s="83">
        <v>23300000</v>
      </c>
    </row>
    <row r="41" spans="1:9">
      <c r="D41" s="42" t="s">
        <v>109</v>
      </c>
      <c r="G41" s="83">
        <v>740000</v>
      </c>
    </row>
    <row r="42" spans="1:9">
      <c r="D42" s="42" t="s">
        <v>8</v>
      </c>
      <c r="G42" s="84">
        <v>10091000</v>
      </c>
    </row>
    <row r="43" spans="1:9">
      <c r="G43" s="83">
        <f>SUM(G40:G42)</f>
        <v>34131000</v>
      </c>
      <c r="H43" s="42" t="s">
        <v>110</v>
      </c>
      <c r="I43" s="42" t="s">
        <v>110</v>
      </c>
    </row>
    <row r="44" spans="1:9" ht="27" customHeight="1"/>
  </sheetData>
  <mergeCells count="2">
    <mergeCell ref="E34:F34"/>
    <mergeCell ref="D38:H38"/>
  </mergeCells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Q82"/>
  <sheetViews>
    <sheetView tabSelected="1" zoomScale="75" zoomScaleNormal="75" workbookViewId="0">
      <selection activeCell="I38" sqref="I38"/>
    </sheetView>
  </sheetViews>
  <sheetFormatPr defaultRowHeight="14.5"/>
  <cols>
    <col min="1" max="1" width="5.54296875" style="215" customWidth="1"/>
    <col min="2" max="3" width="1.54296875" style="27" customWidth="1"/>
    <col min="4" max="4" width="30.453125" style="27" customWidth="1"/>
    <col min="5" max="6" width="13.81640625" style="232" customWidth="1"/>
    <col min="7" max="7" width="8.7265625" style="35"/>
    <col min="8" max="9" width="13.08984375" style="39" customWidth="1"/>
    <col min="10" max="10" width="8.7265625" style="35"/>
    <col min="11" max="11" width="12.7265625" style="35" customWidth="1"/>
    <col min="12" max="12" width="17.7265625" style="35" customWidth="1"/>
    <col min="13" max="15" width="12.453125" style="35" bestFit="1" customWidth="1"/>
    <col min="16" max="17" width="12.453125" bestFit="1" customWidth="1"/>
  </cols>
  <sheetData>
    <row r="2" spans="1:17">
      <c r="A2" s="216" t="s">
        <v>21</v>
      </c>
    </row>
    <row r="3" spans="1:17">
      <c r="A3" s="216" t="s">
        <v>156</v>
      </c>
      <c r="H3" s="148"/>
      <c r="I3" s="148"/>
    </row>
    <row r="4" spans="1:17">
      <c r="A4" s="216" t="s">
        <v>182</v>
      </c>
      <c r="E4" s="237"/>
      <c r="F4" s="237"/>
      <c r="H4" s="201"/>
      <c r="I4" s="201"/>
    </row>
    <row r="5" spans="1:17">
      <c r="A5" s="216" t="s">
        <v>23</v>
      </c>
      <c r="B5" s="215"/>
      <c r="C5" s="215"/>
      <c r="D5" s="215"/>
      <c r="E5" s="217"/>
      <c r="F5" s="217"/>
      <c r="H5" s="202"/>
      <c r="I5" s="202"/>
    </row>
    <row r="6" spans="1:17">
      <c r="B6" s="215"/>
      <c r="C6" s="215"/>
      <c r="D6" s="215"/>
      <c r="E6" s="316" t="s">
        <v>186</v>
      </c>
      <c r="F6" s="316" t="s">
        <v>187</v>
      </c>
      <c r="H6" s="202"/>
      <c r="I6" s="202"/>
    </row>
    <row r="7" spans="1:17">
      <c r="B7" s="217"/>
      <c r="C7" s="217"/>
      <c r="D7" s="218"/>
      <c r="E7" s="318" t="s">
        <v>188</v>
      </c>
      <c r="F7" s="317"/>
      <c r="H7" s="202"/>
      <c r="I7" s="202"/>
    </row>
    <row r="8" spans="1:17">
      <c r="A8" s="219"/>
      <c r="B8" s="220"/>
      <c r="C8" s="221"/>
      <c r="D8" s="222"/>
      <c r="E8" s="233" t="s">
        <v>77</v>
      </c>
      <c r="F8" s="233" t="s">
        <v>77</v>
      </c>
      <c r="H8" s="203"/>
      <c r="I8" s="203"/>
    </row>
    <row r="9" spans="1:17">
      <c r="A9" s="223" t="s">
        <v>26</v>
      </c>
      <c r="B9" s="224"/>
      <c r="C9" s="217"/>
      <c r="D9" s="225"/>
      <c r="E9" s="234" t="s">
        <v>78</v>
      </c>
      <c r="F9" s="234" t="s">
        <v>78</v>
      </c>
      <c r="H9" s="148"/>
      <c r="I9" s="148"/>
    </row>
    <row r="10" spans="1:17">
      <c r="A10" s="226" t="s">
        <v>27</v>
      </c>
      <c r="B10" s="227"/>
      <c r="C10" s="228"/>
      <c r="D10" s="229" t="s">
        <v>28</v>
      </c>
      <c r="E10" s="235" t="s">
        <v>75</v>
      </c>
      <c r="F10" s="235" t="s">
        <v>75</v>
      </c>
      <c r="H10" s="149"/>
      <c r="I10" s="149"/>
    </row>
    <row r="11" spans="1:17">
      <c r="A11" s="217"/>
      <c r="B11" s="216" t="s">
        <v>157</v>
      </c>
      <c r="C11" s="217"/>
      <c r="D11" s="217"/>
      <c r="E11" s="236">
        <v>3.06</v>
      </c>
      <c r="F11" s="236">
        <v>3.06</v>
      </c>
      <c r="H11" s="149"/>
      <c r="I11" s="149"/>
    </row>
    <row r="12" spans="1:17">
      <c r="A12" s="217"/>
      <c r="B12" s="216" t="s">
        <v>30</v>
      </c>
      <c r="C12" s="217"/>
      <c r="D12" s="217"/>
      <c r="E12" s="237" t="s">
        <v>79</v>
      </c>
      <c r="F12" s="237" t="s">
        <v>79</v>
      </c>
      <c r="H12" s="35"/>
      <c r="I12" s="36"/>
    </row>
    <row r="13" spans="1:17">
      <c r="E13" s="238"/>
      <c r="F13" s="238"/>
      <c r="H13" s="148"/>
      <c r="I13" s="148"/>
    </row>
    <row r="14" spans="1:17">
      <c r="B14" s="27" t="s">
        <v>36</v>
      </c>
      <c r="E14" s="238"/>
      <c r="F14" s="238"/>
      <c r="H14" s="180"/>
      <c r="I14" s="180"/>
    </row>
    <row r="15" spans="1:17">
      <c r="A15" s="215">
        <v>1</v>
      </c>
      <c r="B15" s="28" t="s">
        <v>37</v>
      </c>
      <c r="C15" s="28"/>
      <c r="D15" s="28"/>
      <c r="E15" s="239">
        <v>0</v>
      </c>
      <c r="F15" s="239">
        <v>0</v>
      </c>
      <c r="H15" s="180"/>
      <c r="I15" s="154"/>
      <c r="L15" s="154"/>
      <c r="M15" s="171"/>
      <c r="N15" s="171"/>
      <c r="O15" s="171"/>
      <c r="P15" s="168"/>
      <c r="Q15" s="169"/>
    </row>
    <row r="16" spans="1:17">
      <c r="A16" s="215">
        <v>2</v>
      </c>
      <c r="B16" s="29" t="s">
        <v>38</v>
      </c>
      <c r="D16" s="29"/>
      <c r="E16" s="240">
        <v>0</v>
      </c>
      <c r="F16" s="240">
        <v>0</v>
      </c>
      <c r="H16" s="181"/>
      <c r="I16" s="154"/>
      <c r="L16" s="154"/>
      <c r="P16" s="168"/>
      <c r="Q16" s="169"/>
    </row>
    <row r="17" spans="1:17">
      <c r="A17" s="215">
        <v>3</v>
      </c>
      <c r="B17" s="29" t="s">
        <v>39</v>
      </c>
      <c r="D17" s="29"/>
      <c r="E17" s="241">
        <v>0</v>
      </c>
      <c r="F17" s="241">
        <v>0</v>
      </c>
      <c r="H17" s="38"/>
      <c r="I17" s="154"/>
      <c r="L17" s="154"/>
      <c r="M17" s="171"/>
      <c r="N17" s="171"/>
      <c r="O17" s="171"/>
      <c r="P17" s="168"/>
      <c r="Q17" s="169"/>
    </row>
    <row r="18" spans="1:17">
      <c r="A18" s="215">
        <v>4</v>
      </c>
      <c r="B18" s="27" t="s">
        <v>40</v>
      </c>
      <c r="C18" s="29"/>
      <c r="D18" s="29"/>
      <c r="E18" s="242">
        <f t="shared" ref="E18:F18" si="0">SUM(E15:E17)</f>
        <v>0</v>
      </c>
      <c r="F18" s="242">
        <f t="shared" si="0"/>
        <v>0</v>
      </c>
      <c r="H18" s="38"/>
      <c r="I18" s="38"/>
      <c r="L18" s="38"/>
      <c r="Q18" s="169"/>
    </row>
    <row r="19" spans="1:17">
      <c r="C19" s="29"/>
      <c r="D19" s="29"/>
      <c r="E19" s="240"/>
      <c r="F19" s="240"/>
      <c r="H19" s="37"/>
      <c r="I19" s="154"/>
      <c r="L19" s="154"/>
      <c r="M19" s="171"/>
      <c r="N19" s="171"/>
      <c r="O19" s="171"/>
      <c r="P19" s="168"/>
      <c r="Q19" s="169"/>
    </row>
    <row r="20" spans="1:17">
      <c r="B20" s="27" t="s">
        <v>41</v>
      </c>
      <c r="C20" s="29"/>
      <c r="D20" s="29"/>
      <c r="E20" s="240"/>
      <c r="F20" s="240"/>
      <c r="H20" s="38"/>
      <c r="I20" s="154"/>
      <c r="L20" s="154"/>
      <c r="M20" s="171"/>
      <c r="N20" s="171"/>
      <c r="O20" s="171"/>
      <c r="P20" s="168"/>
      <c r="Q20" s="169"/>
    </row>
    <row r="21" spans="1:17">
      <c r="B21" s="29" t="s">
        <v>158</v>
      </c>
      <c r="D21" s="29"/>
      <c r="E21" s="240"/>
      <c r="F21" s="240"/>
      <c r="H21" s="38"/>
      <c r="I21" s="154"/>
      <c r="L21" s="154"/>
      <c r="M21" s="171"/>
      <c r="N21" s="171"/>
      <c r="O21" s="171"/>
      <c r="P21" s="168"/>
      <c r="Q21" s="169"/>
    </row>
    <row r="22" spans="1:17">
      <c r="A22" s="215">
        <v>5</v>
      </c>
      <c r="C22" s="29" t="s">
        <v>42</v>
      </c>
      <c r="D22" s="29"/>
      <c r="E22" s="240">
        <v>0</v>
      </c>
      <c r="F22" s="240">
        <v>0</v>
      </c>
      <c r="H22" s="38"/>
      <c r="I22" s="38"/>
      <c r="Q22" s="169"/>
    </row>
    <row r="23" spans="1:17">
      <c r="A23" s="215">
        <v>6</v>
      </c>
      <c r="C23" s="29" t="s">
        <v>43</v>
      </c>
      <c r="D23" s="29"/>
      <c r="E23" s="240">
        <v>10</v>
      </c>
      <c r="F23" s="240">
        <v>0</v>
      </c>
      <c r="H23" s="38"/>
      <c r="I23" s="38"/>
    </row>
    <row r="24" spans="1:17">
      <c r="A24" s="215">
        <v>7</v>
      </c>
      <c r="C24" s="29" t="s">
        <v>44</v>
      </c>
      <c r="D24" s="29"/>
      <c r="E24" s="241">
        <v>0</v>
      </c>
      <c r="F24" s="241">
        <v>0</v>
      </c>
      <c r="G24" s="172"/>
      <c r="H24" s="38"/>
      <c r="I24" s="204"/>
      <c r="J24" s="173"/>
      <c r="K24" s="172"/>
      <c r="L24" s="205"/>
      <c r="M24" s="170"/>
      <c r="N24" s="170"/>
      <c r="O24" s="170"/>
      <c r="P24" s="169"/>
      <c r="Q24" s="169"/>
    </row>
    <row r="25" spans="1:17" ht="18.5">
      <c r="A25" s="215">
        <v>8</v>
      </c>
      <c r="B25" s="29" t="s">
        <v>45</v>
      </c>
      <c r="C25" s="29"/>
      <c r="E25" s="242">
        <f>SUM(E22:E24)</f>
        <v>10</v>
      </c>
      <c r="F25" s="242">
        <f>SUM(F22:F24)</f>
        <v>0</v>
      </c>
      <c r="H25" s="35"/>
      <c r="I25" s="35"/>
      <c r="L25" s="186"/>
    </row>
    <row r="26" spans="1:17">
      <c r="B26" s="29"/>
      <c r="C26" s="29"/>
      <c r="E26" s="242"/>
      <c r="F26" s="242"/>
      <c r="G26" s="187"/>
      <c r="H26" s="187"/>
      <c r="I26" s="187"/>
      <c r="J26" s="187"/>
    </row>
    <row r="27" spans="1:17">
      <c r="B27" s="29" t="s">
        <v>46</v>
      </c>
      <c r="D27" s="29"/>
      <c r="E27" s="240"/>
      <c r="F27" s="240"/>
      <c r="G27" s="187"/>
      <c r="H27" s="188"/>
      <c r="I27" s="188"/>
      <c r="J27" s="187"/>
    </row>
    <row r="28" spans="1:17">
      <c r="A28" s="215">
        <v>9</v>
      </c>
      <c r="C28" s="29" t="s">
        <v>47</v>
      </c>
      <c r="D28" s="29"/>
      <c r="E28" s="240">
        <v>0</v>
      </c>
      <c r="F28" s="240">
        <v>0</v>
      </c>
      <c r="G28" s="189"/>
      <c r="H28" s="187"/>
      <c r="I28" s="187"/>
      <c r="J28" s="187"/>
    </row>
    <row r="29" spans="1:17">
      <c r="A29" s="215">
        <v>10</v>
      </c>
      <c r="C29" s="29" t="s">
        <v>31</v>
      </c>
      <c r="D29" s="29"/>
      <c r="E29" s="240">
        <v>0</v>
      </c>
      <c r="F29" s="240">
        <v>0</v>
      </c>
      <c r="G29" s="190"/>
      <c r="H29" s="154"/>
      <c r="I29" s="154"/>
      <c r="J29" s="154"/>
      <c r="L29" s="41"/>
    </row>
    <row r="30" spans="1:17">
      <c r="A30" s="215">
        <v>11</v>
      </c>
      <c r="C30" s="29" t="s">
        <v>48</v>
      </c>
      <c r="D30" s="29"/>
      <c r="E30" s="241">
        <v>0</v>
      </c>
      <c r="F30" s="241">
        <v>0</v>
      </c>
      <c r="G30" s="190"/>
      <c r="H30" s="154"/>
      <c r="I30" s="154"/>
      <c r="J30" s="154"/>
      <c r="L30" s="41"/>
    </row>
    <row r="31" spans="1:17">
      <c r="A31" s="215">
        <v>12</v>
      </c>
      <c r="B31" s="29" t="s">
        <v>49</v>
      </c>
      <c r="C31" s="29"/>
      <c r="E31" s="242">
        <f t="shared" ref="E31:F31" si="1">SUM(E28:E30)</f>
        <v>0</v>
      </c>
      <c r="F31" s="242">
        <f t="shared" si="1"/>
        <v>0</v>
      </c>
      <c r="G31" s="190"/>
      <c r="H31" s="154"/>
      <c r="I31" s="154"/>
      <c r="J31" s="154"/>
      <c r="L31" s="41"/>
    </row>
    <row r="32" spans="1:17">
      <c r="B32" s="29"/>
      <c r="C32" s="29"/>
      <c r="E32" s="242"/>
      <c r="F32" s="242"/>
      <c r="G32" s="191"/>
      <c r="H32" s="192"/>
      <c r="I32" s="192"/>
      <c r="J32" s="192"/>
      <c r="L32" s="193"/>
    </row>
    <row r="33" spans="1:13">
      <c r="B33" s="29" t="s">
        <v>50</v>
      </c>
      <c r="D33" s="29"/>
      <c r="E33" s="240"/>
      <c r="F33" s="240"/>
      <c r="G33" s="127"/>
      <c r="H33" s="127"/>
      <c r="I33" s="127"/>
      <c r="J33" s="127"/>
      <c r="L33" s="41"/>
    </row>
    <row r="34" spans="1:13">
      <c r="A34" s="215">
        <v>13</v>
      </c>
      <c r="C34" s="29" t="s">
        <v>47</v>
      </c>
      <c r="D34" s="29"/>
      <c r="E34" s="240">
        <v>153</v>
      </c>
      <c r="F34" s="240">
        <v>0</v>
      </c>
      <c r="G34" s="190"/>
      <c r="H34" s="154"/>
      <c r="I34" s="154"/>
      <c r="J34" s="154"/>
      <c r="L34" s="41"/>
    </row>
    <row r="35" spans="1:13">
      <c r="A35" s="215">
        <v>14</v>
      </c>
      <c r="C35" s="29" t="s">
        <v>31</v>
      </c>
      <c r="D35" s="29"/>
      <c r="E35" s="240">
        <v>0</v>
      </c>
      <c r="F35" s="240">
        <v>0</v>
      </c>
      <c r="G35" s="190"/>
      <c r="H35" s="154"/>
      <c r="I35" s="154"/>
      <c r="J35" s="154"/>
      <c r="L35" s="41"/>
    </row>
    <row r="36" spans="1:13">
      <c r="A36" s="215">
        <v>15</v>
      </c>
      <c r="C36" s="29" t="s">
        <v>48</v>
      </c>
      <c r="D36" s="29"/>
      <c r="E36" s="241">
        <v>0</v>
      </c>
      <c r="F36" s="241">
        <v>0</v>
      </c>
      <c r="G36" s="190"/>
      <c r="H36" s="154"/>
      <c r="I36" s="154"/>
      <c r="J36" s="154"/>
      <c r="L36" s="41"/>
    </row>
    <row r="37" spans="1:13">
      <c r="A37" s="215">
        <v>16</v>
      </c>
      <c r="B37" s="29" t="s">
        <v>51</v>
      </c>
      <c r="C37" s="29"/>
      <c r="E37" s="242">
        <f t="shared" ref="E37:F37" si="2">SUM(E34:E36)</f>
        <v>153</v>
      </c>
      <c r="F37" s="242">
        <f t="shared" si="2"/>
        <v>0</v>
      </c>
      <c r="G37" s="191"/>
      <c r="H37" s="192"/>
      <c r="I37" s="192"/>
      <c r="J37" s="192"/>
      <c r="L37" s="193"/>
    </row>
    <row r="38" spans="1:13">
      <c r="C38" s="29"/>
      <c r="D38" s="29"/>
      <c r="E38" s="242"/>
      <c r="F38" s="242"/>
      <c r="G38" s="191"/>
      <c r="H38" s="192"/>
      <c r="I38" s="192"/>
      <c r="J38" s="192"/>
      <c r="L38" s="41"/>
    </row>
    <row r="39" spans="1:13">
      <c r="A39" s="215">
        <v>17</v>
      </c>
      <c r="B39" s="27" t="s">
        <v>52</v>
      </c>
      <c r="C39" s="29"/>
      <c r="D39" s="29"/>
      <c r="E39" s="242">
        <v>72</v>
      </c>
      <c r="F39" s="242">
        <v>0</v>
      </c>
      <c r="G39" s="191"/>
      <c r="H39" s="192"/>
      <c r="I39" s="192"/>
      <c r="J39" s="192"/>
      <c r="L39" s="41"/>
    </row>
    <row r="40" spans="1:13">
      <c r="A40" s="215">
        <v>18</v>
      </c>
      <c r="B40" s="27" t="s">
        <v>53</v>
      </c>
      <c r="C40" s="29"/>
      <c r="D40" s="29"/>
      <c r="E40" s="240">
        <v>7</v>
      </c>
      <c r="F40" s="240">
        <v>0</v>
      </c>
      <c r="G40" s="127"/>
      <c r="H40" s="194"/>
      <c r="I40" s="194"/>
      <c r="J40" s="194"/>
      <c r="L40" s="195"/>
    </row>
    <row r="41" spans="1:13">
      <c r="A41" s="215">
        <v>19</v>
      </c>
      <c r="B41" s="27" t="s">
        <v>54</v>
      </c>
      <c r="C41" s="29"/>
      <c r="D41" s="29"/>
      <c r="E41" s="240">
        <v>0</v>
      </c>
      <c r="F41" s="240">
        <v>0</v>
      </c>
      <c r="G41" s="127"/>
      <c r="H41" s="166"/>
      <c r="I41" s="167"/>
      <c r="J41" s="166"/>
      <c r="L41" s="193"/>
      <c r="M41" s="196"/>
    </row>
    <row r="42" spans="1:13">
      <c r="C42" s="29"/>
      <c r="D42" s="29"/>
      <c r="E42" s="240"/>
      <c r="F42" s="240"/>
    </row>
    <row r="43" spans="1:13">
      <c r="B43" s="27" t="s">
        <v>55</v>
      </c>
      <c r="C43" s="29"/>
      <c r="D43" s="29"/>
      <c r="E43" s="240"/>
      <c r="F43" s="240"/>
    </row>
    <row r="44" spans="1:13">
      <c r="A44" s="215">
        <v>20</v>
      </c>
      <c r="C44" s="29" t="s">
        <v>47</v>
      </c>
      <c r="D44" s="29"/>
      <c r="E44" s="240">
        <v>99</v>
      </c>
      <c r="F44" s="240">
        <v>0</v>
      </c>
    </row>
    <row r="45" spans="1:13">
      <c r="A45" s="215">
        <v>21</v>
      </c>
      <c r="C45" s="29" t="s">
        <v>31</v>
      </c>
      <c r="D45" s="29"/>
      <c r="E45" s="240">
        <v>0</v>
      </c>
      <c r="F45" s="240">
        <v>0</v>
      </c>
    </row>
    <row r="46" spans="1:13">
      <c r="A46" s="215">
        <v>22</v>
      </c>
      <c r="C46" s="30" t="s">
        <v>56</v>
      </c>
      <c r="D46" s="29"/>
      <c r="E46" s="240"/>
      <c r="F46" s="240"/>
    </row>
    <row r="47" spans="1:13">
      <c r="A47" s="215">
        <v>23</v>
      </c>
      <c r="C47" s="29" t="s">
        <v>48</v>
      </c>
      <c r="D47" s="29"/>
      <c r="E47" s="241">
        <v>0</v>
      </c>
      <c r="F47" s="241">
        <v>0</v>
      </c>
    </row>
    <row r="48" spans="1:13">
      <c r="A48" s="215">
        <v>24</v>
      </c>
      <c r="B48" s="29" t="s">
        <v>57</v>
      </c>
      <c r="C48" s="29"/>
      <c r="E48" s="243">
        <f t="shared" ref="E48:F48" si="3">SUM(E44:E47)</f>
        <v>99</v>
      </c>
      <c r="F48" s="243">
        <f t="shared" si="3"/>
        <v>0</v>
      </c>
    </row>
    <row r="49" spans="1:9">
      <c r="A49" s="215">
        <v>25</v>
      </c>
      <c r="B49" s="27" t="s">
        <v>58</v>
      </c>
      <c r="C49" s="29"/>
      <c r="D49" s="29"/>
      <c r="E49" s="243">
        <f t="shared" ref="E49:F49" si="4">E21+E25+E31+E37+E39+E40+E41+E48</f>
        <v>341</v>
      </c>
      <c r="F49" s="243">
        <f t="shared" si="4"/>
        <v>0</v>
      </c>
    </row>
    <row r="50" spans="1:9">
      <c r="C50" s="29"/>
      <c r="D50" s="29"/>
      <c r="E50" s="242"/>
      <c r="F50" s="242"/>
    </row>
    <row r="51" spans="1:9">
      <c r="A51" s="215">
        <v>26</v>
      </c>
      <c r="B51" s="27" t="s">
        <v>59</v>
      </c>
      <c r="C51" s="29"/>
      <c r="D51" s="29"/>
      <c r="E51" s="242">
        <f t="shared" ref="E51:F51" si="5">E18-E49</f>
        <v>-341</v>
      </c>
      <c r="F51" s="242">
        <f t="shared" si="5"/>
        <v>0</v>
      </c>
    </row>
    <row r="52" spans="1:9">
      <c r="C52" s="29"/>
      <c r="D52" s="29"/>
      <c r="E52" s="242"/>
      <c r="F52" s="242"/>
    </row>
    <row r="53" spans="1:9">
      <c r="B53" s="27" t="s">
        <v>60</v>
      </c>
      <c r="C53" s="29"/>
      <c r="D53" s="29"/>
      <c r="E53" s="240"/>
      <c r="F53" s="240"/>
    </row>
    <row r="54" spans="1:9">
      <c r="A54" s="215">
        <v>27</v>
      </c>
      <c r="B54" s="29" t="s">
        <v>61</v>
      </c>
      <c r="D54" s="29"/>
      <c r="E54" s="240">
        <f t="shared" ref="E54:F54" si="6">E51*0.21</f>
        <v>-71.61</v>
      </c>
      <c r="F54" s="240">
        <f t="shared" si="6"/>
        <v>0</v>
      </c>
    </row>
    <row r="55" spans="1:9">
      <c r="A55" s="215">
        <v>28</v>
      </c>
      <c r="B55" s="29" t="s">
        <v>32</v>
      </c>
      <c r="D55" s="29"/>
      <c r="E55" s="240">
        <f>(E81*'[4]RR SUMMARY'!$P$12)*-0.21</f>
        <v>0</v>
      </c>
      <c r="F55" s="240">
        <f>(F81*'[4]RR SUMMARY'!$P$12)*-0.21</f>
        <v>0</v>
      </c>
      <c r="H55" s="38"/>
      <c r="I55" s="38"/>
    </row>
    <row r="56" spans="1:9">
      <c r="A56" s="215">
        <v>29</v>
      </c>
      <c r="B56" s="29" t="s">
        <v>62</v>
      </c>
      <c r="D56" s="29"/>
      <c r="E56" s="240">
        <v>0</v>
      </c>
      <c r="F56" s="240">
        <v>0</v>
      </c>
      <c r="H56" s="38"/>
      <c r="I56" s="38"/>
    </row>
    <row r="57" spans="1:9">
      <c r="A57" s="215">
        <v>30</v>
      </c>
      <c r="B57" s="29" t="s">
        <v>63</v>
      </c>
      <c r="D57" s="29"/>
      <c r="E57" s="241">
        <v>0</v>
      </c>
      <c r="F57" s="241">
        <v>0</v>
      </c>
      <c r="H57" s="38"/>
      <c r="I57" s="38"/>
    </row>
    <row r="58" spans="1:9">
      <c r="E58" s="242"/>
      <c r="F58" s="242"/>
      <c r="H58" s="37"/>
      <c r="I58" s="37"/>
    </row>
    <row r="59" spans="1:9" ht="15" thickBot="1">
      <c r="A59" s="215">
        <v>31</v>
      </c>
      <c r="B59" s="28" t="s">
        <v>64</v>
      </c>
      <c r="C59" s="28"/>
      <c r="D59" s="28"/>
      <c r="E59" s="244">
        <f t="shared" ref="E59:F59" si="7">E51-SUM(E54:E57)</f>
        <v>-269.39</v>
      </c>
      <c r="F59" s="244">
        <f t="shared" si="7"/>
        <v>0</v>
      </c>
      <c r="H59" s="150"/>
      <c r="I59" s="150"/>
    </row>
    <row r="60" spans="1:9" ht="15" thickTop="1">
      <c r="E60" s="245"/>
      <c r="F60" s="245"/>
      <c r="H60" s="206"/>
      <c r="I60" s="206"/>
    </row>
    <row r="61" spans="1:9">
      <c r="B61" s="27" t="s">
        <v>159</v>
      </c>
      <c r="E61" s="245"/>
      <c r="F61" s="245"/>
      <c r="H61" s="206"/>
      <c r="I61" s="206"/>
    </row>
    <row r="62" spans="1:9">
      <c r="B62" s="27" t="s">
        <v>160</v>
      </c>
      <c r="E62" s="246"/>
      <c r="F62" s="246"/>
      <c r="H62" s="151"/>
      <c r="I62" s="151"/>
    </row>
    <row r="63" spans="1:9">
      <c r="A63" s="215">
        <v>32</v>
      </c>
      <c r="B63" s="29"/>
      <c r="C63" s="29" t="s">
        <v>46</v>
      </c>
      <c r="D63" s="29"/>
      <c r="E63" s="247">
        <v>0</v>
      </c>
      <c r="F63" s="247">
        <v>0</v>
      </c>
      <c r="H63" s="207"/>
      <c r="I63" s="207"/>
    </row>
    <row r="64" spans="1:9">
      <c r="A64" s="215">
        <v>33</v>
      </c>
      <c r="B64" s="29"/>
      <c r="C64" s="29" t="s">
        <v>65</v>
      </c>
      <c r="D64" s="29"/>
      <c r="E64" s="246">
        <v>0</v>
      </c>
      <c r="F64" s="246">
        <v>0</v>
      </c>
      <c r="H64" s="151"/>
      <c r="I64" s="151"/>
    </row>
    <row r="65" spans="1:9">
      <c r="A65" s="215">
        <v>34</v>
      </c>
      <c r="B65" s="29"/>
      <c r="C65" s="29" t="s">
        <v>66</v>
      </c>
      <c r="D65" s="29"/>
      <c r="E65" s="248">
        <v>0</v>
      </c>
      <c r="F65" s="248">
        <v>0</v>
      </c>
      <c r="H65" s="151"/>
      <c r="I65" s="151"/>
    </row>
    <row r="66" spans="1:9">
      <c r="A66" s="215">
        <v>35</v>
      </c>
      <c r="B66" s="29" t="s">
        <v>67</v>
      </c>
      <c r="C66" s="29"/>
      <c r="E66" s="242">
        <f t="shared" ref="E66:F66" si="8">SUM(E63:E65)</f>
        <v>0</v>
      </c>
      <c r="F66" s="242">
        <f t="shared" si="8"/>
        <v>0</v>
      </c>
      <c r="H66" s="37"/>
      <c r="I66" s="37"/>
    </row>
    <row r="67" spans="1:9">
      <c r="B67" s="29"/>
      <c r="C67" s="29"/>
      <c r="E67" s="242"/>
      <c r="F67" s="242"/>
      <c r="H67" s="37"/>
      <c r="I67" s="37"/>
    </row>
    <row r="68" spans="1:9">
      <c r="B68" s="29" t="s">
        <v>33</v>
      </c>
      <c r="C68" s="29"/>
      <c r="D68" s="29"/>
      <c r="E68" s="240"/>
      <c r="F68" s="240"/>
      <c r="H68" s="38"/>
      <c r="I68" s="38"/>
    </row>
    <row r="69" spans="1:9">
      <c r="A69" s="215">
        <v>36</v>
      </c>
      <c r="B69" s="29"/>
      <c r="C69" s="29" t="s">
        <v>46</v>
      </c>
      <c r="D69" s="29"/>
      <c r="E69" s="240">
        <v>0</v>
      </c>
      <c r="F69" s="240">
        <v>0</v>
      </c>
      <c r="H69" s="38"/>
      <c r="I69" s="38"/>
    </row>
    <row r="70" spans="1:9">
      <c r="A70" s="215">
        <v>37</v>
      </c>
      <c r="B70" s="29"/>
      <c r="C70" s="29" t="s">
        <v>65</v>
      </c>
      <c r="D70" s="29"/>
      <c r="E70" s="240">
        <v>0</v>
      </c>
      <c r="F70" s="240">
        <v>0</v>
      </c>
      <c r="H70" s="38"/>
      <c r="I70" s="38"/>
    </row>
    <row r="71" spans="1:9">
      <c r="A71" s="215">
        <v>38</v>
      </c>
      <c r="B71" s="29"/>
      <c r="C71" s="29" t="s">
        <v>66</v>
      </c>
      <c r="D71" s="29"/>
      <c r="E71" s="240">
        <v>0</v>
      </c>
      <c r="F71" s="240">
        <v>0</v>
      </c>
      <c r="H71" s="38"/>
      <c r="I71" s="38"/>
    </row>
    <row r="72" spans="1:9">
      <c r="A72" s="215">
        <v>39</v>
      </c>
      <c r="B72" s="29" t="s">
        <v>161</v>
      </c>
      <c r="C72" s="29"/>
      <c r="E72" s="249">
        <f t="shared" ref="E72:F72" si="9">SUM(E69:E71)</f>
        <v>0</v>
      </c>
      <c r="F72" s="249">
        <f t="shared" si="9"/>
        <v>0</v>
      </c>
      <c r="H72" s="37"/>
      <c r="I72" s="37"/>
    </row>
    <row r="73" spans="1:9">
      <c r="A73" s="215">
        <v>40</v>
      </c>
      <c r="B73" s="29" t="s">
        <v>68</v>
      </c>
      <c r="C73" s="29"/>
      <c r="D73" s="29"/>
      <c r="E73" s="242">
        <f t="shared" ref="E73:F73" si="10">E66+E72</f>
        <v>0</v>
      </c>
      <c r="F73" s="242">
        <f t="shared" si="10"/>
        <v>0</v>
      </c>
      <c r="H73" s="37"/>
      <c r="I73" s="37"/>
    </row>
    <row r="74" spans="1:9">
      <c r="A74" s="215">
        <v>41</v>
      </c>
      <c r="B74" s="29" t="s">
        <v>162</v>
      </c>
      <c r="C74" s="29"/>
      <c r="D74" s="29"/>
      <c r="E74" s="241"/>
      <c r="F74" s="241"/>
      <c r="H74" s="38"/>
      <c r="I74" s="38"/>
    </row>
    <row r="75" spans="1:9">
      <c r="A75" s="215">
        <v>42</v>
      </c>
      <c r="B75" s="29" t="s">
        <v>34</v>
      </c>
      <c r="C75" s="29"/>
      <c r="D75" s="29"/>
      <c r="E75" s="242">
        <f t="shared" ref="E75:F75" si="11">E73+E74</f>
        <v>0</v>
      </c>
      <c r="F75" s="242">
        <f t="shared" si="11"/>
        <v>0</v>
      </c>
      <c r="H75" s="37"/>
      <c r="I75" s="37"/>
    </row>
    <row r="76" spans="1:9">
      <c r="A76" s="215">
        <v>43</v>
      </c>
      <c r="B76" s="29" t="s">
        <v>69</v>
      </c>
      <c r="C76" s="29"/>
      <c r="D76" s="29"/>
      <c r="E76" s="240"/>
      <c r="F76" s="240"/>
      <c r="H76" s="38"/>
      <c r="I76" s="38"/>
    </row>
    <row r="77" spans="1:9">
      <c r="A77" s="215">
        <v>44</v>
      </c>
      <c r="B77" s="29" t="s">
        <v>70</v>
      </c>
      <c r="C77" s="29"/>
      <c r="D77" s="29"/>
      <c r="E77" s="240"/>
      <c r="F77" s="240"/>
      <c r="H77" s="38"/>
      <c r="I77" s="38"/>
    </row>
    <row r="78" spans="1:9">
      <c r="A78" s="215">
        <v>45</v>
      </c>
      <c r="B78" s="29" t="s">
        <v>71</v>
      </c>
      <c r="C78" s="29"/>
      <c r="D78" s="29"/>
      <c r="E78" s="240"/>
      <c r="F78" s="240"/>
      <c r="H78" s="38"/>
      <c r="I78" s="38"/>
    </row>
    <row r="79" spans="1:9">
      <c r="A79" s="215">
        <v>46</v>
      </c>
      <c r="B79" s="29" t="s">
        <v>35</v>
      </c>
      <c r="C79" s="29"/>
      <c r="D79" s="29"/>
      <c r="E79" s="241"/>
      <c r="F79" s="241"/>
      <c r="H79" s="38"/>
      <c r="I79" s="38"/>
    </row>
    <row r="80" spans="1:9">
      <c r="E80" s="242"/>
      <c r="F80" s="242"/>
      <c r="H80" s="37"/>
      <c r="I80" s="37"/>
    </row>
    <row r="81" spans="1:9" ht="15" thickBot="1">
      <c r="A81" s="217">
        <v>47</v>
      </c>
      <c r="B81" s="230" t="s">
        <v>72</v>
      </c>
      <c r="C81" s="230"/>
      <c r="D81" s="230"/>
      <c r="E81" s="250">
        <f t="shared" ref="E81:F81" si="12">E75+E76+E77+E79+E78</f>
        <v>0</v>
      </c>
      <c r="F81" s="250">
        <f t="shared" si="12"/>
        <v>0</v>
      </c>
      <c r="H81" s="152"/>
      <c r="I81" s="152"/>
    </row>
    <row r="82" spans="1:9" ht="15" thickTop="1">
      <c r="D82" s="231"/>
      <c r="E82" s="251"/>
      <c r="F82" s="251"/>
    </row>
  </sheetData>
  <pageMargins left="0.7" right="0.7" top="0.75" bottom="0.75" header="0.3" footer="0.3"/>
  <pageSetup scale="57" orientation="portrait" r:id="rId1"/>
  <headerFooter>
    <oddHeader xml:space="preserve">&amp;RExh. JH-6
Dockets UE-200900-01-894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95C1-E17C-4A96-B7AA-9B9411536BCF}">
  <sheetPr>
    <tabColor rgb="FFFFFF00"/>
    <pageSetUpPr fitToPage="1"/>
  </sheetPr>
  <dimension ref="B1:Z65"/>
  <sheetViews>
    <sheetView tabSelected="1" topLeftCell="A7" zoomScaleNormal="100" workbookViewId="0">
      <pane ySplit="3" topLeftCell="A10" activePane="bottomLeft" state="frozen"/>
      <selection activeCell="I38" sqref="I38"/>
      <selection pane="bottomLeft" activeCell="I38" sqref="I38"/>
    </sheetView>
  </sheetViews>
  <sheetFormatPr defaultRowHeight="14.5"/>
  <cols>
    <col min="1" max="1" width="2.36328125" customWidth="1"/>
    <col min="2" max="2" width="13.6328125" customWidth="1"/>
    <col min="3" max="3" width="12" customWidth="1"/>
    <col min="4" max="4" width="22.54296875" hidden="1" customWidth="1"/>
    <col min="5" max="5" width="21.54296875" customWidth="1"/>
    <col min="6" max="10" width="17.54296875" customWidth="1"/>
    <col min="11" max="11" width="15.26953125" customWidth="1"/>
    <col min="12" max="13" width="17.7265625" customWidth="1"/>
    <col min="14" max="14" width="14.90625" customWidth="1"/>
    <col min="15" max="15" width="12.36328125" customWidth="1"/>
    <col min="16" max="16" width="17.08984375" bestFit="1" customWidth="1"/>
    <col min="17" max="18" width="13.6328125" bestFit="1" customWidth="1"/>
    <col min="19" max="19" width="11.6328125" customWidth="1"/>
    <col min="20" max="20" width="11.54296875" customWidth="1"/>
    <col min="21" max="21" width="3.6328125" customWidth="1"/>
    <col min="22" max="22" width="11.08984375" customWidth="1"/>
    <col min="26" max="26" width="14.90625" customWidth="1"/>
  </cols>
  <sheetData>
    <row r="1" spans="2:16" ht="18.5">
      <c r="B1" s="1" t="s">
        <v>24</v>
      </c>
    </row>
    <row r="2" spans="2:16" ht="18.5">
      <c r="B2" s="1"/>
    </row>
    <row r="3" spans="2:16">
      <c r="B3" s="290" t="s">
        <v>21</v>
      </c>
      <c r="P3" s="259"/>
    </row>
    <row r="4" spans="2:16">
      <c r="B4" s="290" t="s">
        <v>80</v>
      </c>
      <c r="P4" s="259"/>
    </row>
    <row r="5" spans="2:16">
      <c r="B5" s="290" t="s">
        <v>22</v>
      </c>
      <c r="P5" s="259"/>
    </row>
    <row r="6" spans="2:16" ht="15" thickBot="1">
      <c r="B6" s="290" t="s">
        <v>23</v>
      </c>
    </row>
    <row r="7" spans="2:16">
      <c r="B7" s="305" t="s">
        <v>185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7"/>
    </row>
    <row r="8" spans="2:16">
      <c r="B8" s="30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260"/>
    </row>
    <row r="9" spans="2:16">
      <c r="B9" s="309" t="s">
        <v>21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10"/>
    </row>
    <row r="10" spans="2:16" s="35" customFormat="1">
      <c r="B10" s="309" t="s">
        <v>184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10"/>
    </row>
    <row r="11" spans="2:16" s="35" customFormat="1">
      <c r="B11" s="309" t="s">
        <v>182</v>
      </c>
      <c r="N11" s="304"/>
      <c r="O11" s="304"/>
      <c r="P11" s="260"/>
    </row>
    <row r="12" spans="2:16" s="35" customFormat="1">
      <c r="B12" s="309" t="s">
        <v>23</v>
      </c>
      <c r="N12" s="304"/>
      <c r="O12" s="304"/>
      <c r="P12" s="260"/>
    </row>
    <row r="13" spans="2:16" s="35" customFormat="1">
      <c r="B13" s="262"/>
      <c r="E13" s="294">
        <v>2014</v>
      </c>
      <c r="F13" s="294">
        <v>2015</v>
      </c>
      <c r="G13" s="294">
        <v>2016</v>
      </c>
      <c r="H13" s="294">
        <v>2017</v>
      </c>
      <c r="I13" s="294">
        <v>2018</v>
      </c>
      <c r="J13" s="294">
        <v>2019</v>
      </c>
      <c r="K13" s="294">
        <v>2020</v>
      </c>
      <c r="L13" s="294">
        <v>2021</v>
      </c>
      <c r="M13" s="294">
        <v>2022</v>
      </c>
      <c r="P13" s="261"/>
    </row>
    <row r="14" spans="2:16" s="35" customFormat="1">
      <c r="B14" s="262"/>
      <c r="E14" s="294"/>
      <c r="F14" s="294"/>
      <c r="G14" s="294"/>
      <c r="H14" s="294"/>
      <c r="I14" s="294"/>
      <c r="J14" s="294"/>
      <c r="K14" s="294"/>
      <c r="L14" s="294"/>
      <c r="M14" s="294"/>
      <c r="P14" s="261"/>
    </row>
    <row r="15" spans="2:16">
      <c r="B15" s="262"/>
      <c r="C15" s="35"/>
      <c r="D15" s="304" t="s">
        <v>165</v>
      </c>
      <c r="E15" s="35"/>
      <c r="F15" s="304" t="s">
        <v>166</v>
      </c>
      <c r="G15" s="35"/>
      <c r="H15" s="35"/>
      <c r="I15" s="35"/>
      <c r="J15" s="35"/>
      <c r="K15" s="35"/>
      <c r="L15" s="35"/>
      <c r="M15" s="35"/>
      <c r="N15" s="35"/>
      <c r="O15" s="35"/>
      <c r="P15" s="261"/>
    </row>
    <row r="16" spans="2:16">
      <c r="B16" s="262"/>
      <c r="C16" s="294" t="s">
        <v>167</v>
      </c>
      <c r="D16" s="35">
        <v>2013</v>
      </c>
      <c r="E16" s="294">
        <v>2014</v>
      </c>
      <c r="F16" s="35">
        <v>2015</v>
      </c>
      <c r="G16" s="35">
        <v>2016</v>
      </c>
      <c r="H16" s="35"/>
      <c r="I16" s="35"/>
      <c r="J16" s="35"/>
      <c r="K16" s="35"/>
      <c r="L16" s="35"/>
      <c r="M16" s="35"/>
      <c r="N16" s="311"/>
      <c r="O16" s="35"/>
      <c r="P16" s="261"/>
    </row>
    <row r="17" spans="2:26">
      <c r="B17" s="262" t="s">
        <v>168</v>
      </c>
      <c r="C17" s="296">
        <v>41455</v>
      </c>
      <c r="D17" s="41">
        <v>57445110</v>
      </c>
      <c r="E17" s="35"/>
      <c r="F17" s="264">
        <v>53951000</v>
      </c>
      <c r="G17" s="265"/>
      <c r="H17" s="265"/>
      <c r="I17" s="265"/>
      <c r="J17" s="265"/>
      <c r="K17" s="35"/>
      <c r="L17" s="35"/>
      <c r="M17" s="35"/>
      <c r="N17" s="312">
        <f>+F17-D17</f>
        <v>-3494110</v>
      </c>
      <c r="O17" s="266">
        <f>+(F17-D17)/D17</f>
        <v>-6.0825194694552769E-2</v>
      </c>
      <c r="P17" s="267">
        <f>+F17-E22</f>
        <v>2756687.7199999988</v>
      </c>
      <c r="R17" s="289"/>
      <c r="S17" s="17"/>
      <c r="T17" s="17"/>
      <c r="U17" s="199"/>
      <c r="Z17" t="s">
        <v>174</v>
      </c>
    </row>
    <row r="18" spans="2:26">
      <c r="B18" s="262"/>
      <c r="C18" s="296"/>
      <c r="D18" s="41"/>
      <c r="E18" s="41"/>
      <c r="F18" s="35"/>
      <c r="G18" s="35"/>
      <c r="H18" s="35"/>
      <c r="I18" s="35"/>
      <c r="J18" s="35"/>
      <c r="K18" s="35"/>
      <c r="L18" s="35"/>
      <c r="M18" s="35"/>
      <c r="N18" s="312"/>
      <c r="O18" s="266"/>
      <c r="P18" s="267"/>
      <c r="R18" s="289"/>
      <c r="S18" s="17"/>
      <c r="T18" s="17"/>
      <c r="U18" s="199"/>
    </row>
    <row r="19" spans="2:26">
      <c r="B19" s="262"/>
      <c r="C19" s="296"/>
      <c r="D19" s="41"/>
      <c r="E19" s="41"/>
      <c r="F19" s="35"/>
      <c r="G19" s="35"/>
      <c r="H19" s="35"/>
      <c r="I19" s="35"/>
      <c r="J19" s="35"/>
      <c r="K19" s="35"/>
      <c r="L19" s="35"/>
      <c r="M19" s="35"/>
      <c r="N19" s="312"/>
      <c r="O19" s="266"/>
      <c r="P19" s="267"/>
      <c r="R19" s="289"/>
      <c r="S19" s="17"/>
      <c r="T19" s="17"/>
      <c r="U19" s="199"/>
    </row>
    <row r="20" spans="2:26">
      <c r="B20" s="26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294"/>
      <c r="P20" s="261"/>
      <c r="R20" s="200"/>
      <c r="S20" s="17"/>
      <c r="T20" s="17"/>
      <c r="U20" s="199"/>
      <c r="Z20" s="263"/>
    </row>
    <row r="21" spans="2:26">
      <c r="B21" s="262"/>
      <c r="C21" s="294" t="s">
        <v>167</v>
      </c>
      <c r="D21" s="35"/>
      <c r="E21" s="304" t="s">
        <v>165</v>
      </c>
      <c r="F21" s="35"/>
      <c r="G21" s="304" t="s">
        <v>166</v>
      </c>
      <c r="H21" s="35"/>
      <c r="I21" s="35"/>
      <c r="J21" s="35"/>
      <c r="K21" s="35"/>
      <c r="L21" s="35"/>
      <c r="M21" s="35"/>
      <c r="N21" s="311"/>
      <c r="O21" s="294"/>
      <c r="P21" s="261"/>
      <c r="R21" s="289"/>
      <c r="S21" s="17"/>
      <c r="T21" s="17"/>
      <c r="U21" s="199"/>
    </row>
    <row r="22" spans="2:26">
      <c r="B22" s="262" t="s">
        <v>169</v>
      </c>
      <c r="C22" s="296">
        <v>41912</v>
      </c>
      <c r="D22" s="35"/>
      <c r="E22" s="264">
        <f>22719466.36+28474845.92</f>
        <v>51194312.280000001</v>
      </c>
      <c r="F22" s="35"/>
      <c r="G22" s="268">
        <v>59921200</v>
      </c>
      <c r="H22" s="265"/>
      <c r="I22" s="265"/>
      <c r="J22" s="35"/>
      <c r="K22" s="35"/>
      <c r="L22" s="35"/>
      <c r="M22" s="35"/>
      <c r="N22" s="312">
        <f>+G22-E22</f>
        <v>8726887.7199999988</v>
      </c>
      <c r="O22" s="269">
        <f>+(G22-E22)/E22</f>
        <v>0.17046596255204149</v>
      </c>
      <c r="P22" s="267">
        <f>+G22-F27</f>
        <v>2019030</v>
      </c>
    </row>
    <row r="23" spans="2:26">
      <c r="B23" s="262"/>
      <c r="C23" s="296"/>
      <c r="D23" s="296"/>
      <c r="E23" s="296"/>
      <c r="F23" s="35"/>
      <c r="G23" s="35"/>
      <c r="H23" s="35"/>
      <c r="I23" s="35"/>
      <c r="J23" s="35"/>
      <c r="K23" s="35"/>
      <c r="L23" s="35"/>
      <c r="M23" s="35"/>
      <c r="N23" s="312"/>
      <c r="O23" s="269"/>
      <c r="P23" s="267"/>
    </row>
    <row r="24" spans="2:26">
      <c r="B24" s="262"/>
      <c r="C24" s="35"/>
      <c r="D24" s="35"/>
      <c r="E24" s="35"/>
      <c r="F24" s="35"/>
      <c r="G24" s="35"/>
      <c r="H24" s="35"/>
      <c r="I24" s="35"/>
      <c r="J24" s="35"/>
      <c r="K24" s="313"/>
      <c r="L24" s="313"/>
      <c r="M24" s="313"/>
      <c r="N24" s="35"/>
      <c r="O24" s="295"/>
      <c r="P24" s="261"/>
    </row>
    <row r="25" spans="2:26">
      <c r="B25" s="262"/>
      <c r="C25" s="35"/>
      <c r="D25" s="35"/>
      <c r="E25" s="35"/>
      <c r="F25" s="35"/>
      <c r="G25" s="35"/>
      <c r="H25" s="35"/>
      <c r="I25" s="35"/>
      <c r="J25" s="35"/>
      <c r="K25" s="313"/>
      <c r="L25" s="313"/>
      <c r="M25" s="313"/>
      <c r="N25" s="35"/>
      <c r="O25" s="295"/>
      <c r="P25" s="261"/>
    </row>
    <row r="26" spans="2:26">
      <c r="B26" s="262"/>
      <c r="C26" s="294" t="s">
        <v>167</v>
      </c>
      <c r="D26" s="35"/>
      <c r="E26" s="35"/>
      <c r="F26" s="304" t="s">
        <v>165</v>
      </c>
      <c r="H26" s="304" t="s">
        <v>166</v>
      </c>
      <c r="I26" s="35"/>
      <c r="J26" s="35"/>
      <c r="K26" s="35"/>
      <c r="L26" s="35"/>
      <c r="M26" s="35"/>
      <c r="N26" s="311"/>
      <c r="O26" s="295"/>
      <c r="P26" s="261"/>
    </row>
    <row r="27" spans="2:26">
      <c r="B27" s="262" t="s">
        <v>170</v>
      </c>
      <c r="C27" s="296">
        <v>42277</v>
      </c>
      <c r="D27" s="35"/>
      <c r="E27" s="35"/>
      <c r="F27" s="268">
        <v>57902170</v>
      </c>
      <c r="H27" s="347">
        <v>62145878</v>
      </c>
      <c r="I27" s="271"/>
      <c r="J27" s="35"/>
      <c r="K27" s="35"/>
      <c r="L27" s="35"/>
      <c r="M27" s="35"/>
      <c r="N27" s="312">
        <f>+H27-F27</f>
        <v>4243708</v>
      </c>
      <c r="O27" s="269">
        <f>+(H27-F27)/F27</f>
        <v>7.3291001010842946E-2</v>
      </c>
      <c r="P27" s="272"/>
    </row>
    <row r="28" spans="2:26">
      <c r="B28" s="26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95"/>
      <c r="P28" s="261"/>
    </row>
    <row r="29" spans="2:26">
      <c r="B29" s="26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95"/>
      <c r="P29" s="261"/>
    </row>
    <row r="30" spans="2:26">
      <c r="B30" s="262"/>
      <c r="C30" s="35"/>
      <c r="D30" s="35"/>
      <c r="E30" s="35"/>
      <c r="F30" s="35"/>
      <c r="G30" s="304" t="s">
        <v>165</v>
      </c>
      <c r="H30" s="35"/>
      <c r="I30" s="304" t="s">
        <v>166</v>
      </c>
      <c r="K30" s="35"/>
      <c r="L30" s="35"/>
      <c r="M30" s="35"/>
      <c r="N30" s="311"/>
      <c r="O30" s="295"/>
      <c r="P30" s="261"/>
    </row>
    <row r="31" spans="2:26">
      <c r="B31" s="262" t="s">
        <v>171</v>
      </c>
      <c r="C31" s="294" t="s">
        <v>167</v>
      </c>
      <c r="D31" s="35"/>
      <c r="E31" s="35"/>
      <c r="F31" s="35"/>
      <c r="G31" s="294">
        <v>2016</v>
      </c>
      <c r="H31" s="294">
        <v>2017</v>
      </c>
      <c r="I31" s="294">
        <v>2018</v>
      </c>
      <c r="K31" s="294"/>
      <c r="L31" s="294"/>
      <c r="M31" s="294"/>
      <c r="N31" s="294"/>
      <c r="O31" s="295"/>
      <c r="P31" s="261"/>
    </row>
    <row r="32" spans="2:26">
      <c r="B32" s="262"/>
      <c r="C32" s="296">
        <v>42735</v>
      </c>
      <c r="D32" s="35"/>
      <c r="E32" s="35"/>
      <c r="F32" s="35"/>
      <c r="G32" s="273">
        <v>70409510</v>
      </c>
      <c r="H32" s="41">
        <v>70690986</v>
      </c>
      <c r="I32" s="345">
        <v>69690986</v>
      </c>
      <c r="K32" s="41"/>
      <c r="L32" s="41"/>
      <c r="M32" s="41"/>
      <c r="N32" s="273">
        <f>+I32-G32</f>
        <v>-718524</v>
      </c>
      <c r="O32" s="269">
        <f>+(I32-G32)/G32</f>
        <v>-1.020492828312539E-2</v>
      </c>
      <c r="P32" s="274">
        <f>+I32-I37</f>
        <v>6417927</v>
      </c>
    </row>
    <row r="33" spans="2:17">
      <c r="B33" s="262"/>
      <c r="C33" s="35"/>
      <c r="D33" s="35"/>
      <c r="E33" s="35"/>
      <c r="F33" s="35"/>
      <c r="H33" s="35"/>
      <c r="I33" s="35"/>
      <c r="J33" s="35"/>
      <c r="K33" s="35"/>
      <c r="L33" s="35"/>
      <c r="M33" s="35"/>
      <c r="N33" s="35"/>
      <c r="O33" s="295"/>
      <c r="P33" s="261"/>
    </row>
    <row r="34" spans="2:17">
      <c r="B34" s="26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95"/>
      <c r="P34" s="261"/>
      <c r="Q34" s="288"/>
    </row>
    <row r="35" spans="2:17">
      <c r="B35" s="262"/>
      <c r="C35" s="35"/>
      <c r="D35" s="35"/>
      <c r="E35" s="35"/>
      <c r="F35" s="35"/>
      <c r="G35" s="35"/>
      <c r="H35" s="35"/>
      <c r="I35" s="304" t="s">
        <v>165</v>
      </c>
      <c r="J35" s="304" t="s">
        <v>166</v>
      </c>
      <c r="M35" s="304"/>
      <c r="N35" s="311"/>
      <c r="O35" s="295"/>
      <c r="P35" s="261"/>
      <c r="Q35" s="288"/>
    </row>
    <row r="36" spans="2:17">
      <c r="B36" s="262" t="s">
        <v>172</v>
      </c>
      <c r="C36" s="294" t="s">
        <v>167</v>
      </c>
      <c r="D36" s="35"/>
      <c r="E36" s="35"/>
      <c r="F36" s="35"/>
      <c r="G36" s="275"/>
      <c r="H36" s="275"/>
      <c r="I36" s="276">
        <v>2018</v>
      </c>
      <c r="J36" s="276">
        <v>2019</v>
      </c>
      <c r="M36" s="276"/>
      <c r="N36" s="35"/>
      <c r="O36" s="295"/>
      <c r="P36" s="261"/>
    </row>
    <row r="37" spans="2:17">
      <c r="B37" s="262"/>
      <c r="C37" s="296">
        <v>43465</v>
      </c>
      <c r="D37" s="35"/>
      <c r="E37" s="35"/>
      <c r="F37" s="35"/>
      <c r="G37" s="265"/>
      <c r="H37" s="265"/>
      <c r="I37" s="346">
        <v>63273059</v>
      </c>
      <c r="J37" s="344">
        <v>73027454</v>
      </c>
      <c r="M37" s="41"/>
      <c r="N37" s="297">
        <f>+J37-I37</f>
        <v>9754395</v>
      </c>
      <c r="O37" s="269">
        <f>+(J37-I37)/I37</f>
        <v>0.15416348054232687</v>
      </c>
      <c r="P37" s="274">
        <f>+J37-J41</f>
        <v>5649202</v>
      </c>
      <c r="Q37" s="270" t="s">
        <v>173</v>
      </c>
    </row>
    <row r="38" spans="2:17">
      <c r="B38" s="262"/>
      <c r="C38" s="35"/>
      <c r="D38" s="35"/>
      <c r="E38" s="35"/>
      <c r="F38" s="35"/>
      <c r="G38" s="35"/>
      <c r="H38" s="35"/>
      <c r="I38" s="35"/>
      <c r="J38" s="35"/>
      <c r="L38" s="35"/>
      <c r="M38" s="35"/>
      <c r="N38" s="35"/>
      <c r="O38" s="35"/>
      <c r="P38" s="261"/>
    </row>
    <row r="39" spans="2:17">
      <c r="B39" s="262" t="s">
        <v>180</v>
      </c>
      <c r="C39" s="294" t="s">
        <v>167</v>
      </c>
      <c r="D39" s="41"/>
      <c r="E39" s="41"/>
      <c r="F39" s="35"/>
      <c r="G39" s="35"/>
      <c r="H39" s="35"/>
      <c r="I39" s="35"/>
      <c r="J39" s="304" t="s">
        <v>165</v>
      </c>
      <c r="L39" s="35"/>
      <c r="M39" s="304" t="s">
        <v>166</v>
      </c>
      <c r="N39" s="35"/>
      <c r="O39" s="35"/>
      <c r="P39" s="261"/>
    </row>
    <row r="40" spans="2:17">
      <c r="B40" s="262"/>
      <c r="C40" s="296">
        <v>43830</v>
      </c>
      <c r="D40" s="35"/>
      <c r="E40" s="35"/>
      <c r="F40" s="35"/>
      <c r="G40" s="35"/>
      <c r="H40" s="35"/>
      <c r="I40" s="35"/>
      <c r="J40" s="276">
        <v>2019</v>
      </c>
      <c r="L40" s="35"/>
      <c r="M40" s="276">
        <v>2022</v>
      </c>
      <c r="N40" s="35"/>
      <c r="O40" s="35"/>
      <c r="P40" s="261"/>
    </row>
    <row r="41" spans="2:17">
      <c r="B41" s="262"/>
      <c r="C41" s="35"/>
      <c r="D41" s="35"/>
      <c r="E41" s="35"/>
      <c r="F41" s="35"/>
      <c r="G41" s="35"/>
      <c r="H41" s="35"/>
      <c r="I41" s="35"/>
      <c r="J41" s="344">
        <v>67378252</v>
      </c>
      <c r="L41" s="35"/>
      <c r="M41" s="192">
        <v>71393203</v>
      </c>
      <c r="N41" s="348">
        <f>+M41-J41</f>
        <v>4014951</v>
      </c>
      <c r="O41" s="266">
        <f>+N41/J41</f>
        <v>5.9588233307091433E-2</v>
      </c>
      <c r="P41" s="261"/>
    </row>
    <row r="42" spans="2:17">
      <c r="B42" s="262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261"/>
    </row>
    <row r="43" spans="2:17">
      <c r="B43" s="262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261"/>
    </row>
    <row r="44" spans="2:17" ht="15" thickBot="1">
      <c r="B44" s="315" t="s">
        <v>126</v>
      </c>
      <c r="C44" s="277"/>
      <c r="D44" s="277"/>
      <c r="E44" s="277"/>
      <c r="F44" s="277"/>
      <c r="G44" s="277"/>
      <c r="H44" s="277"/>
      <c r="I44" s="277"/>
      <c r="J44" s="277"/>
      <c r="K44" s="278"/>
      <c r="L44" s="278"/>
      <c r="M44" s="278"/>
      <c r="N44" s="279"/>
      <c r="O44" s="314"/>
      <c r="P44" s="341">
        <f>SUM(P13:P40)</f>
        <v>16842846.719999999</v>
      </c>
      <c r="Q44" s="288"/>
    </row>
    <row r="45" spans="2:17">
      <c r="D45" s="259"/>
      <c r="E45" s="259"/>
      <c r="F45" s="287"/>
      <c r="G45" s="287"/>
      <c r="H45" s="287"/>
      <c r="I45" s="287"/>
      <c r="J45" s="287"/>
      <c r="K45" s="287"/>
      <c r="L45" s="287"/>
      <c r="M45" s="287"/>
      <c r="N45" s="287"/>
    </row>
    <row r="46" spans="2:17">
      <c r="D46" s="259"/>
      <c r="E46" s="259"/>
      <c r="F46" s="287"/>
      <c r="G46" s="287"/>
      <c r="H46" s="287"/>
      <c r="I46" s="287"/>
      <c r="J46" s="287"/>
      <c r="K46" s="287"/>
      <c r="L46" s="287"/>
      <c r="M46" s="287"/>
      <c r="N46" s="287"/>
    </row>
    <row r="47" spans="2:17">
      <c r="C47" s="263"/>
      <c r="D47" s="5"/>
      <c r="E47" s="5"/>
      <c r="F47" s="286"/>
      <c r="G47" s="286"/>
      <c r="H47" s="286"/>
      <c r="I47" s="286"/>
      <c r="J47" s="286"/>
      <c r="K47" s="286"/>
      <c r="L47" s="282"/>
      <c r="M47" s="282"/>
      <c r="N47" s="282"/>
    </row>
    <row r="48" spans="2:17">
      <c r="D48" s="8"/>
      <c r="E48" s="8"/>
      <c r="F48" s="284"/>
      <c r="G48" s="284"/>
      <c r="H48" s="284"/>
      <c r="I48" s="284"/>
      <c r="J48" s="284"/>
      <c r="K48" s="284"/>
      <c r="L48" s="282"/>
      <c r="M48" s="282"/>
      <c r="N48" s="282"/>
    </row>
    <row r="49" spans="3:14">
      <c r="D49" s="8"/>
      <c r="E49" s="8"/>
      <c r="F49" s="284"/>
      <c r="G49" s="284"/>
      <c r="H49" s="284"/>
      <c r="I49" s="284"/>
      <c r="J49" s="284"/>
      <c r="K49" s="284"/>
      <c r="L49" s="282"/>
      <c r="M49" s="282"/>
      <c r="N49" s="282"/>
    </row>
    <row r="50" spans="3:14">
      <c r="C50" s="263"/>
      <c r="D50" s="8"/>
      <c r="E50" s="8"/>
      <c r="F50" s="10"/>
      <c r="G50" s="10"/>
      <c r="H50" s="10"/>
      <c r="I50" s="10"/>
      <c r="J50" s="10"/>
      <c r="K50" s="10"/>
      <c r="L50" s="285"/>
      <c r="M50" s="285"/>
      <c r="N50" s="285"/>
    </row>
    <row r="51" spans="3:14">
      <c r="D51" s="8"/>
      <c r="E51" s="8"/>
      <c r="F51" s="284"/>
      <c r="G51" s="284"/>
      <c r="H51" s="284"/>
      <c r="I51" s="284"/>
      <c r="J51" s="284"/>
      <c r="K51" s="284"/>
      <c r="L51" s="282"/>
      <c r="M51" s="282"/>
      <c r="N51" s="282"/>
    </row>
    <row r="52" spans="3:14">
      <c r="D52" s="8"/>
      <c r="E52" s="8"/>
      <c r="F52" s="284"/>
      <c r="G52" s="284"/>
      <c r="H52" s="284"/>
      <c r="I52" s="284"/>
      <c r="J52" s="284"/>
      <c r="K52" s="284"/>
      <c r="L52" s="282"/>
      <c r="M52" s="282"/>
      <c r="N52" s="282"/>
    </row>
    <row r="53" spans="3:14">
      <c r="C53" s="263"/>
      <c r="D53" s="8"/>
      <c r="E53" s="8"/>
      <c r="F53" s="284"/>
      <c r="G53" s="284"/>
      <c r="H53" s="284"/>
      <c r="I53" s="284"/>
      <c r="J53" s="284"/>
      <c r="K53" s="284"/>
      <c r="L53" s="282"/>
      <c r="M53" s="282"/>
      <c r="N53" s="282"/>
    </row>
    <row r="54" spans="3:14">
      <c r="D54" s="12"/>
      <c r="E54" s="12"/>
      <c r="F54" s="283"/>
      <c r="G54" s="283"/>
      <c r="H54" s="283"/>
      <c r="I54" s="283"/>
      <c r="J54" s="283"/>
      <c r="K54" s="283"/>
      <c r="L54" s="282"/>
      <c r="M54" s="282"/>
      <c r="N54" s="282"/>
    </row>
    <row r="55" spans="3:14">
      <c r="D55" s="281"/>
      <c r="E55" s="281"/>
      <c r="F55" s="280"/>
      <c r="G55" s="280"/>
      <c r="H55" s="280"/>
      <c r="I55" s="280"/>
      <c r="J55" s="280"/>
      <c r="K55" s="280"/>
      <c r="L55" s="280"/>
      <c r="M55" s="280"/>
      <c r="N55" s="280"/>
    </row>
    <row r="58" spans="3:14">
      <c r="C58" s="263"/>
      <c r="D58" s="2"/>
      <c r="E58" s="2"/>
    </row>
    <row r="65" spans="3:5">
      <c r="C65" s="263"/>
      <c r="D65" s="2"/>
      <c r="E65" s="2"/>
    </row>
  </sheetData>
  <pageMargins left="0.7" right="0.7" top="0.75" bottom="0.75" header="0.3" footer="0.3"/>
  <pageSetup scale="53" orientation="landscape" r:id="rId1"/>
  <headerFooter>
    <oddHeader xml:space="preserve">&amp;RExh. JH-6
Dockets UE-200900-01-894
Page &amp;P of &amp;N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Z40"/>
  <sheetViews>
    <sheetView tabSelected="1" workbookViewId="0">
      <selection activeCell="I38" sqref="I38"/>
    </sheetView>
  </sheetViews>
  <sheetFormatPr defaultRowHeight="14.5"/>
  <cols>
    <col min="1" max="1" width="2.36328125" customWidth="1"/>
    <col min="2" max="2" width="14.7265625" customWidth="1"/>
    <col min="3" max="3" width="18.54296875" bestFit="1" customWidth="1"/>
    <col min="4" max="4" width="13.26953125" hidden="1" customWidth="1"/>
    <col min="5" max="8" width="13.26953125" bestFit="1" customWidth="1"/>
    <col min="9" max="9" width="12.1796875" customWidth="1"/>
    <col min="10" max="10" width="13.81640625" bestFit="1" customWidth="1"/>
    <col min="11" max="11" width="12.1796875" customWidth="1"/>
    <col min="12" max="12" width="12.453125" bestFit="1" customWidth="1"/>
    <col min="13" max="14" width="11.36328125" bestFit="1" customWidth="1"/>
    <col min="15" max="15" width="3.1796875" customWidth="1"/>
    <col min="16" max="17" width="11.36328125" bestFit="1" customWidth="1"/>
    <col min="19" max="19" width="12.453125" customWidth="1"/>
    <col min="20" max="20" width="10.90625" customWidth="1"/>
    <col min="21" max="21" width="16.6328125" customWidth="1"/>
    <col min="24" max="25" width="12.453125" bestFit="1" customWidth="1"/>
  </cols>
  <sheetData>
    <row r="1" spans="2:21" ht="18.5">
      <c r="B1" s="1" t="s">
        <v>24</v>
      </c>
    </row>
    <row r="2" spans="2:21" ht="18.5">
      <c r="B2" s="1"/>
    </row>
    <row r="3" spans="2:21">
      <c r="B3" s="40" t="s">
        <v>21</v>
      </c>
    </row>
    <row r="4" spans="2:21">
      <c r="B4" s="40" t="s">
        <v>80</v>
      </c>
    </row>
    <row r="5" spans="2:21">
      <c r="B5" s="40" t="s">
        <v>182</v>
      </c>
    </row>
    <row r="6" spans="2:21">
      <c r="B6" s="40" t="s">
        <v>23</v>
      </c>
    </row>
    <row r="7" spans="2:21">
      <c r="B7" s="16"/>
    </row>
    <row r="8" spans="2:21">
      <c r="B8" s="16"/>
    </row>
    <row r="9" spans="2:21">
      <c r="B9" s="16"/>
    </row>
    <row r="10" spans="2:21">
      <c r="M10" s="185" t="s">
        <v>155</v>
      </c>
      <c r="S10" t="s">
        <v>137</v>
      </c>
      <c r="T10" t="s">
        <v>138</v>
      </c>
    </row>
    <row r="11" spans="2:21" ht="29">
      <c r="B11" s="134"/>
      <c r="C11" s="135"/>
      <c r="D11" s="135"/>
      <c r="E11" s="135"/>
      <c r="F11" s="135"/>
      <c r="G11" s="135"/>
      <c r="H11" s="135"/>
      <c r="I11" s="136" t="s">
        <v>0</v>
      </c>
      <c r="J11" s="298"/>
      <c r="K11" s="136" t="s">
        <v>153</v>
      </c>
      <c r="L11" s="137" t="s">
        <v>154</v>
      </c>
      <c r="M11" t="s">
        <v>150</v>
      </c>
      <c r="P11" t="s">
        <v>2</v>
      </c>
      <c r="Q11" t="s">
        <v>175</v>
      </c>
      <c r="R11" t="s">
        <v>1</v>
      </c>
      <c r="S11" t="s">
        <v>149</v>
      </c>
      <c r="T11" t="s">
        <v>164</v>
      </c>
      <c r="U11" t="s">
        <v>141</v>
      </c>
    </row>
    <row r="12" spans="2:21" ht="13.75" customHeight="1">
      <c r="B12" s="138" t="s">
        <v>1</v>
      </c>
      <c r="C12" s="139" t="s">
        <v>2</v>
      </c>
      <c r="D12" s="139">
        <v>2014</v>
      </c>
      <c r="E12" s="139">
        <v>2015</v>
      </c>
      <c r="F12" s="139">
        <v>2016</v>
      </c>
      <c r="G12" s="139">
        <v>2017</v>
      </c>
      <c r="H12" s="139">
        <v>2018</v>
      </c>
      <c r="I12" s="139">
        <v>2019</v>
      </c>
      <c r="J12" s="130" t="s">
        <v>151</v>
      </c>
      <c r="K12" s="130" t="s">
        <v>25</v>
      </c>
      <c r="L12" s="140" t="s">
        <v>25</v>
      </c>
      <c r="M12" t="s">
        <v>25</v>
      </c>
    </row>
    <row r="13" spans="2:21" ht="13.75" customHeight="1">
      <c r="B13" s="138"/>
      <c r="C13" s="139"/>
      <c r="D13" s="139"/>
      <c r="E13" s="139"/>
      <c r="F13" s="139"/>
      <c r="G13" s="139"/>
      <c r="H13" s="139"/>
      <c r="I13" s="139"/>
      <c r="J13" s="139" t="s">
        <v>20</v>
      </c>
      <c r="K13" s="130"/>
      <c r="L13" s="140"/>
      <c r="P13" t="s">
        <v>142</v>
      </c>
      <c r="Q13" t="s">
        <v>176</v>
      </c>
      <c r="R13" t="s">
        <v>3</v>
      </c>
      <c r="S13" s="2">
        <v>21829251</v>
      </c>
      <c r="T13" s="2">
        <v>23540000</v>
      </c>
      <c r="U13" s="2">
        <v>1710749</v>
      </c>
    </row>
    <row r="14" spans="2:21">
      <c r="B14" s="141" t="s">
        <v>3</v>
      </c>
      <c r="C14" s="5" t="s">
        <v>4</v>
      </c>
      <c r="D14" s="131">
        <v>19323918</v>
      </c>
      <c r="E14" s="131">
        <v>20880989</v>
      </c>
      <c r="F14" s="131">
        <v>25789217</v>
      </c>
      <c r="G14" s="131">
        <v>22279529</v>
      </c>
      <c r="H14" s="6">
        <v>22645974</v>
      </c>
      <c r="I14" s="154">
        <v>21829251</v>
      </c>
      <c r="J14" s="6"/>
      <c r="K14" s="6">
        <v>23540000</v>
      </c>
      <c r="L14" s="178">
        <v>21829251</v>
      </c>
      <c r="M14" s="168">
        <v>25350000</v>
      </c>
      <c r="N14" s="168"/>
      <c r="O14" s="168"/>
      <c r="P14" s="168" t="s">
        <v>152</v>
      </c>
      <c r="Q14" s="169" t="s">
        <v>176</v>
      </c>
      <c r="R14">
        <v>926221</v>
      </c>
      <c r="S14" s="2">
        <v>1624667</v>
      </c>
      <c r="T14" s="2">
        <v>1570000</v>
      </c>
      <c r="U14" s="2">
        <v>-54667</v>
      </c>
    </row>
    <row r="15" spans="2:21">
      <c r="B15" s="142" t="s">
        <v>5</v>
      </c>
      <c r="C15" s="8" t="s">
        <v>6</v>
      </c>
      <c r="D15" s="132"/>
      <c r="E15" s="132"/>
      <c r="F15" s="132"/>
      <c r="G15" s="132">
        <v>976977</v>
      </c>
      <c r="H15" s="9">
        <v>1430306</v>
      </c>
      <c r="I15" s="154">
        <v>1624667</v>
      </c>
      <c r="J15" s="6"/>
      <c r="K15" s="9">
        <v>1570000</v>
      </c>
      <c r="L15" s="178">
        <v>1624667</v>
      </c>
      <c r="M15" s="169">
        <v>1500000</v>
      </c>
      <c r="P15" s="168" t="s">
        <v>177</v>
      </c>
      <c r="Q15" s="169" t="s">
        <v>176</v>
      </c>
      <c r="R15" t="s">
        <v>7</v>
      </c>
      <c r="S15" s="2">
        <v>8745377</v>
      </c>
      <c r="T15" s="2">
        <v>11800000</v>
      </c>
      <c r="U15" s="2">
        <v>3054623</v>
      </c>
    </row>
    <row r="16" spans="2:21">
      <c r="B16" s="142" t="s">
        <v>7</v>
      </c>
      <c r="C16" s="8" t="s">
        <v>8</v>
      </c>
      <c r="D16" s="132">
        <v>8142682</v>
      </c>
      <c r="E16" s="132">
        <v>9349596</v>
      </c>
      <c r="F16" s="132">
        <v>11411512</v>
      </c>
      <c r="G16" s="132">
        <v>9992979</v>
      </c>
      <c r="H16" s="9">
        <v>2868055</v>
      </c>
      <c r="I16" s="154">
        <v>8745377</v>
      </c>
      <c r="J16" s="6"/>
      <c r="K16" s="9">
        <v>11800000</v>
      </c>
      <c r="L16" s="178">
        <v>8745377</v>
      </c>
      <c r="M16" s="168">
        <v>2500000</v>
      </c>
      <c r="N16" s="168"/>
      <c r="O16" s="168"/>
      <c r="P16" s="168" t="s">
        <v>144</v>
      </c>
      <c r="Q16" s="169"/>
      <c r="S16" s="292">
        <v>32199295</v>
      </c>
      <c r="T16" s="292">
        <v>36910000</v>
      </c>
      <c r="U16" s="292">
        <v>4710705</v>
      </c>
    </row>
    <row r="17" spans="2:26">
      <c r="B17" s="142" t="s">
        <v>9</v>
      </c>
      <c r="C17" s="8" t="s">
        <v>10</v>
      </c>
      <c r="D17" s="132"/>
      <c r="E17" s="132"/>
      <c r="F17" s="132"/>
      <c r="G17" s="132"/>
      <c r="H17" s="10">
        <v>5673659</v>
      </c>
      <c r="I17" s="147"/>
      <c r="J17" s="6"/>
      <c r="K17" s="10"/>
      <c r="L17" s="179"/>
      <c r="M17" s="169">
        <v>6500000</v>
      </c>
      <c r="Q17" s="169"/>
      <c r="S17" s="2"/>
      <c r="T17" s="2"/>
      <c r="U17" s="2"/>
    </row>
    <row r="18" spans="2:26">
      <c r="B18" s="142" t="s">
        <v>11</v>
      </c>
      <c r="C18" s="8" t="s">
        <v>12</v>
      </c>
      <c r="D18" s="132">
        <v>6864360</v>
      </c>
      <c r="E18" s="132">
        <v>7928615</v>
      </c>
      <c r="F18" s="132">
        <v>8062842</v>
      </c>
      <c r="G18" s="132">
        <v>8205323</v>
      </c>
      <c r="H18" s="9">
        <v>9138892</v>
      </c>
      <c r="I18" s="154">
        <v>9270825</v>
      </c>
      <c r="J18" s="6"/>
      <c r="K18" s="9">
        <v>9827075</v>
      </c>
      <c r="L18" s="178">
        <v>9270825</v>
      </c>
      <c r="M18" s="168">
        <v>9800000</v>
      </c>
      <c r="N18" s="168"/>
      <c r="O18" s="168"/>
      <c r="P18" s="168" t="s">
        <v>12</v>
      </c>
      <c r="Q18" s="169" t="s">
        <v>176</v>
      </c>
      <c r="R18" t="s">
        <v>11</v>
      </c>
      <c r="S18" s="2">
        <v>9270825</v>
      </c>
      <c r="T18" s="2">
        <v>9827075</v>
      </c>
      <c r="U18" s="2">
        <v>556250</v>
      </c>
    </row>
    <row r="19" spans="2:26">
      <c r="B19" s="142" t="s">
        <v>13</v>
      </c>
      <c r="C19" s="8" t="s">
        <v>14</v>
      </c>
      <c r="D19" s="132">
        <v>48847</v>
      </c>
      <c r="E19" s="132">
        <v>280533</v>
      </c>
      <c r="F19" s="132">
        <v>492612</v>
      </c>
      <c r="G19" s="132">
        <v>690399</v>
      </c>
      <c r="H19" s="9">
        <v>905072</v>
      </c>
      <c r="I19" s="154">
        <v>1090687</v>
      </c>
      <c r="J19" s="6"/>
      <c r="K19" s="9">
        <v>1156128</v>
      </c>
      <c r="L19" s="178">
        <v>1090687</v>
      </c>
      <c r="M19" s="168">
        <v>1100000</v>
      </c>
      <c r="N19" s="168"/>
      <c r="O19" s="168"/>
      <c r="P19" s="168" t="s">
        <v>14</v>
      </c>
      <c r="Q19" s="169" t="s">
        <v>176</v>
      </c>
      <c r="R19" t="s">
        <v>13</v>
      </c>
      <c r="S19" s="2">
        <v>1090687</v>
      </c>
      <c r="T19" s="2">
        <v>1156128</v>
      </c>
      <c r="U19" s="2">
        <v>65441</v>
      </c>
    </row>
    <row r="20" spans="2:26">
      <c r="B20" s="142" t="s">
        <v>15</v>
      </c>
      <c r="C20" s="8" t="s">
        <v>16</v>
      </c>
      <c r="D20" s="132">
        <v>12634767</v>
      </c>
      <c r="E20" s="132">
        <v>24379430</v>
      </c>
      <c r="F20" s="132">
        <v>24649327</v>
      </c>
      <c r="G20" s="132">
        <v>23938095</v>
      </c>
      <c r="H20" s="9">
        <v>21595661</v>
      </c>
      <c r="I20" s="154">
        <v>24817445</v>
      </c>
      <c r="J20" s="6"/>
      <c r="K20" s="9">
        <v>23500000</v>
      </c>
      <c r="L20" s="178">
        <v>24817445</v>
      </c>
      <c r="M20" s="168">
        <v>18877454</v>
      </c>
      <c r="N20" s="168"/>
      <c r="O20" s="168"/>
      <c r="P20" s="168" t="s">
        <v>178</v>
      </c>
      <c r="Q20" s="169" t="s">
        <v>176</v>
      </c>
      <c r="R20" t="s">
        <v>15</v>
      </c>
      <c r="S20" s="2">
        <v>24817445</v>
      </c>
      <c r="T20" s="2">
        <v>23500000</v>
      </c>
      <c r="U20" s="2">
        <v>-1317445</v>
      </c>
    </row>
    <row r="21" spans="2:26">
      <c r="B21" s="143" t="s">
        <v>17</v>
      </c>
      <c r="C21" s="12" t="s">
        <v>18</v>
      </c>
      <c r="D21" s="12"/>
      <c r="E21" s="12"/>
      <c r="F21" s="12"/>
      <c r="G21" s="12"/>
      <c r="H21" s="13">
        <v>-984560</v>
      </c>
      <c r="I21" s="7"/>
      <c r="J21" s="6"/>
      <c r="K21" s="13"/>
      <c r="L21" s="144"/>
      <c r="M21" s="169">
        <v>7400000</v>
      </c>
      <c r="P21" t="s">
        <v>145</v>
      </c>
      <c r="Q21" s="169"/>
      <c r="S21" s="2">
        <v>35178957</v>
      </c>
      <c r="T21" s="2">
        <v>34483203</v>
      </c>
      <c r="U21" s="2">
        <v>-695754</v>
      </c>
    </row>
    <row r="22" spans="2:26">
      <c r="B22" s="145"/>
      <c r="C22" s="133"/>
      <c r="D22" s="133"/>
      <c r="E22" s="133"/>
      <c r="F22" s="133"/>
      <c r="G22" s="133"/>
      <c r="H22" s="7"/>
      <c r="I22" s="7"/>
      <c r="J22" s="7"/>
      <c r="K22" s="7"/>
      <c r="L22" s="146"/>
      <c r="S22" s="2"/>
      <c r="T22" s="2"/>
      <c r="U22" s="2"/>
    </row>
    <row r="23" spans="2:26">
      <c r="B23" s="174" t="s">
        <v>19</v>
      </c>
      <c r="C23" s="175"/>
      <c r="D23" s="177">
        <v>47014574</v>
      </c>
      <c r="E23" s="177">
        <f>SUM(E14:E21)</f>
        <v>62819163</v>
      </c>
      <c r="F23" s="177">
        <f>SUM(F14:F21)</f>
        <v>70405510</v>
      </c>
      <c r="G23" s="177">
        <f>SUM(G14:G21)</f>
        <v>66083302</v>
      </c>
      <c r="H23" s="177">
        <f>SUM(H14:H21)</f>
        <v>63273059</v>
      </c>
      <c r="I23" s="176">
        <f>SUM(I14:I21)</f>
        <v>67378252</v>
      </c>
      <c r="J23" s="177">
        <f>+AVERAGE(E23:I23)</f>
        <v>65991857.200000003</v>
      </c>
      <c r="K23" s="177">
        <f>SUM(K14:K21)</f>
        <v>71393203</v>
      </c>
      <c r="L23" s="184">
        <f>SUM(L14:L21)</f>
        <v>67378252</v>
      </c>
      <c r="M23" s="169">
        <v>73027454</v>
      </c>
      <c r="N23" s="169"/>
      <c r="O23" s="169"/>
      <c r="P23" s="169"/>
      <c r="Q23" s="169"/>
      <c r="R23" t="s">
        <v>126</v>
      </c>
      <c r="S23" s="292">
        <v>67378252</v>
      </c>
      <c r="T23" s="292">
        <v>71393203</v>
      </c>
      <c r="U23" s="292">
        <v>4014951</v>
      </c>
    </row>
    <row r="24" spans="2:26" ht="18.5">
      <c r="B24" s="197" t="s">
        <v>181</v>
      </c>
      <c r="C24" s="35"/>
      <c r="D24" s="35"/>
      <c r="E24" s="35"/>
      <c r="F24" s="35"/>
      <c r="G24" s="35"/>
      <c r="H24" s="35"/>
      <c r="I24" s="35"/>
      <c r="J24" s="195"/>
      <c r="K24" s="198">
        <f>+K23-I23</f>
        <v>4014951</v>
      </c>
      <c r="L24" s="299"/>
      <c r="M24" s="35"/>
      <c r="Q24" t="s">
        <v>179</v>
      </c>
      <c r="R24" t="s">
        <v>146</v>
      </c>
      <c r="S24" s="291">
        <v>0.57130000000000003</v>
      </c>
      <c r="T24" s="291">
        <v>0.57130000000000003</v>
      </c>
      <c r="U24" s="291">
        <v>0.57130000000000003</v>
      </c>
    </row>
    <row r="25" spans="2:26" ht="15" thickBot="1">
      <c r="B25" s="343" t="s">
        <v>183</v>
      </c>
      <c r="C25" s="300"/>
      <c r="D25" s="342"/>
      <c r="E25" s="342"/>
      <c r="F25" s="342"/>
      <c r="G25" s="342"/>
      <c r="H25" s="342"/>
      <c r="I25" s="301"/>
      <c r="J25" s="301"/>
      <c r="K25" s="165">
        <f>+K24/I23</f>
        <v>5.9588233307091433E-2</v>
      </c>
      <c r="L25" s="302"/>
      <c r="M25" s="35"/>
      <c r="R25" t="s">
        <v>147</v>
      </c>
      <c r="S25" s="293">
        <v>38493195</v>
      </c>
      <c r="T25" s="293">
        <v>40786937</v>
      </c>
      <c r="U25" s="293">
        <v>2293742</v>
      </c>
    </row>
    <row r="26" spans="2:26" ht="15" thickTop="1">
      <c r="F26" s="187"/>
      <c r="G26" s="187"/>
      <c r="H26" s="188"/>
      <c r="I26" s="188"/>
      <c r="J26" s="187"/>
      <c r="K26" s="35"/>
      <c r="L26" s="35"/>
      <c r="M26" s="35"/>
      <c r="S26" s="2"/>
      <c r="T26" s="2"/>
      <c r="U26" s="2"/>
    </row>
    <row r="27" spans="2:26">
      <c r="F27" s="189"/>
      <c r="G27" s="189"/>
      <c r="H27" s="187"/>
      <c r="I27" s="187"/>
      <c r="J27" s="187"/>
      <c r="K27" s="35"/>
      <c r="L27" s="35"/>
      <c r="M27" s="35"/>
      <c r="V27" s="3"/>
      <c r="W27" s="3"/>
      <c r="X27" s="4"/>
      <c r="Y27" s="4"/>
      <c r="Z27" s="4"/>
    </row>
    <row r="28" spans="2:26">
      <c r="F28" s="190"/>
      <c r="G28" s="190"/>
      <c r="H28" s="154"/>
      <c r="I28" s="154"/>
      <c r="J28" s="154"/>
      <c r="K28" s="35"/>
      <c r="L28" s="41"/>
      <c r="M28" s="35"/>
      <c r="V28" s="5"/>
      <c r="W28" s="5"/>
      <c r="X28" s="6"/>
      <c r="Y28" s="6"/>
      <c r="Z28" s="7"/>
    </row>
    <row r="29" spans="2:26">
      <c r="F29" s="190"/>
      <c r="G29" s="190"/>
      <c r="H29" s="154"/>
      <c r="I29" s="154"/>
      <c r="J29" s="154"/>
      <c r="K29" s="35"/>
      <c r="L29" s="41"/>
      <c r="M29" s="35"/>
      <c r="V29" s="8"/>
      <c r="W29" s="8"/>
      <c r="X29" s="9"/>
      <c r="Y29" s="9"/>
      <c r="Z29" s="7"/>
    </row>
    <row r="30" spans="2:26">
      <c r="F30" s="190"/>
      <c r="G30" s="190"/>
      <c r="H30" s="154"/>
      <c r="I30" s="154"/>
      <c r="J30" s="154"/>
      <c r="K30" s="35"/>
      <c r="L30" s="41"/>
      <c r="M30" s="35"/>
      <c r="V30" s="8"/>
      <c r="W30" s="8"/>
      <c r="X30" s="9"/>
      <c r="Y30" s="9"/>
      <c r="Z30" s="7"/>
    </row>
    <row r="31" spans="2:26">
      <c r="F31" s="191"/>
      <c r="G31" s="191"/>
      <c r="H31" s="192"/>
      <c r="I31" s="192"/>
      <c r="J31" s="192"/>
      <c r="K31" s="35"/>
      <c r="L31" s="193"/>
      <c r="M31" s="35"/>
      <c r="V31" s="8"/>
      <c r="W31" s="8"/>
      <c r="X31" s="10"/>
      <c r="Y31" s="10"/>
      <c r="Z31" s="11"/>
    </row>
    <row r="32" spans="2:26">
      <c r="F32" s="127"/>
      <c r="G32" s="127"/>
      <c r="H32" s="127"/>
      <c r="I32" s="127"/>
      <c r="J32" s="127"/>
      <c r="K32" s="35"/>
      <c r="L32" s="41"/>
      <c r="M32" s="35"/>
      <c r="V32" s="8"/>
      <c r="W32" s="8"/>
      <c r="X32" s="9"/>
      <c r="Y32" s="9"/>
      <c r="Z32" s="7"/>
    </row>
    <row r="33" spans="6:26">
      <c r="F33" s="190"/>
      <c r="G33" s="190"/>
      <c r="H33" s="154"/>
      <c r="I33" s="154"/>
      <c r="J33" s="154"/>
      <c r="K33" s="35"/>
      <c r="L33" s="41"/>
      <c r="M33" s="35"/>
      <c r="V33" s="8"/>
      <c r="W33" s="8"/>
      <c r="X33" s="9"/>
      <c r="Y33" s="9"/>
      <c r="Z33" s="7"/>
    </row>
    <row r="34" spans="6:26">
      <c r="F34" s="190"/>
      <c r="G34" s="190"/>
      <c r="H34" s="154"/>
      <c r="I34" s="154"/>
      <c r="J34" s="154"/>
      <c r="K34" s="35"/>
      <c r="L34" s="41"/>
      <c r="M34" s="35"/>
      <c r="V34" s="8"/>
      <c r="W34" s="8"/>
      <c r="X34" s="9"/>
      <c r="Y34" s="9"/>
      <c r="Z34" s="7"/>
    </row>
    <row r="35" spans="6:26">
      <c r="F35" s="190"/>
      <c r="G35" s="190"/>
      <c r="H35" s="154"/>
      <c r="I35" s="154"/>
      <c r="J35" s="154"/>
      <c r="K35" s="35"/>
      <c r="L35" s="41"/>
      <c r="M35" s="35"/>
      <c r="V35" s="12"/>
      <c r="W35" s="12"/>
      <c r="X35" s="13"/>
      <c r="Y35" s="13"/>
      <c r="Z35" s="7"/>
    </row>
    <row r="36" spans="6:26">
      <c r="F36" s="191"/>
      <c r="G36" s="191"/>
      <c r="H36" s="192"/>
      <c r="I36" s="192"/>
      <c r="J36" s="192"/>
      <c r="K36" s="35"/>
      <c r="L36" s="193"/>
      <c r="M36" s="35"/>
      <c r="V36" s="14"/>
      <c r="W36" s="14"/>
      <c r="X36" s="15"/>
      <c r="Y36" s="15"/>
      <c r="Z36" s="15"/>
    </row>
    <row r="37" spans="6:26">
      <c r="F37" s="191"/>
      <c r="G37" s="191"/>
      <c r="H37" s="192"/>
      <c r="I37" s="192"/>
      <c r="J37" s="192"/>
      <c r="K37" s="35"/>
      <c r="L37" s="41"/>
      <c r="M37" s="35"/>
    </row>
    <row r="38" spans="6:26">
      <c r="F38" s="191"/>
      <c r="G38" s="191"/>
      <c r="H38" s="192"/>
      <c r="I38" s="192"/>
      <c r="J38" s="192"/>
      <c r="K38" s="35"/>
      <c r="L38" s="41"/>
      <c r="M38" s="35"/>
    </row>
    <row r="39" spans="6:26">
      <c r="F39" s="127"/>
      <c r="G39" s="127"/>
      <c r="H39" s="194"/>
      <c r="I39" s="194"/>
      <c r="J39" s="194"/>
      <c r="K39" s="35"/>
      <c r="L39" s="195"/>
      <c r="M39" s="35"/>
    </row>
    <row r="40" spans="6:26">
      <c r="F40" s="127"/>
      <c r="G40" s="127"/>
      <c r="H40" s="166"/>
      <c r="I40" s="167"/>
      <c r="J40" s="166"/>
      <c r="K40" s="35"/>
      <c r="L40" s="193"/>
      <c r="M40" s="196"/>
    </row>
  </sheetData>
  <pageMargins left="0.7" right="0.7" top="0.75" bottom="0.75" header="0.3" footer="0.3"/>
  <pageSetup scale="89" orientation="landscape" r:id="rId1"/>
  <headerFooter>
    <oddHeader xml:space="preserve">&amp;RExh. JH-6
Dockets UE-200900-01-894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6A11-D789-48B1-94F3-53567AAF2575}">
  <dimension ref="A2:I37"/>
  <sheetViews>
    <sheetView workbookViewId="0">
      <selection activeCell="A42" sqref="A42"/>
    </sheetView>
  </sheetViews>
  <sheetFormatPr defaultRowHeight="14.5"/>
  <cols>
    <col min="1" max="1" width="39.6328125" bestFit="1" customWidth="1"/>
    <col min="2" max="2" width="13" bestFit="1" customWidth="1"/>
    <col min="3" max="4" width="12.36328125" bestFit="1" customWidth="1"/>
    <col min="5" max="5" width="11" bestFit="1" customWidth="1"/>
    <col min="7" max="7" width="12.36328125" bestFit="1" customWidth="1"/>
    <col min="8" max="8" width="12" bestFit="1" customWidth="1"/>
    <col min="9" max="9" width="12.7265625" customWidth="1"/>
  </cols>
  <sheetData>
    <row r="2" spans="1:9">
      <c r="B2" s="185" t="s">
        <v>155</v>
      </c>
      <c r="G2" s="185" t="s">
        <v>163</v>
      </c>
    </row>
    <row r="3" spans="1:9" ht="18.5">
      <c r="G3" s="1"/>
    </row>
    <row r="4" spans="1:9">
      <c r="A4" s="155"/>
      <c r="B4" s="155"/>
      <c r="C4" s="155" t="s">
        <v>137</v>
      </c>
      <c r="D4" s="155" t="s">
        <v>138</v>
      </c>
      <c r="E4" s="155"/>
      <c r="G4" t="s">
        <v>137</v>
      </c>
      <c r="H4" s="157" t="s">
        <v>138</v>
      </c>
      <c r="I4" s="157"/>
    </row>
    <row r="5" spans="1:9">
      <c r="A5" s="155"/>
      <c r="B5" s="155"/>
      <c r="C5" s="156" t="s">
        <v>148</v>
      </c>
      <c r="D5" s="156" t="s">
        <v>149</v>
      </c>
      <c r="E5" s="155" t="s">
        <v>141</v>
      </c>
      <c r="G5" t="s">
        <v>149</v>
      </c>
      <c r="H5" s="252" t="s">
        <v>164</v>
      </c>
      <c r="I5" s="157" t="s">
        <v>141</v>
      </c>
    </row>
    <row r="6" spans="1:9">
      <c r="A6" s="157" t="s">
        <v>2</v>
      </c>
      <c r="B6" s="157" t="s">
        <v>1</v>
      </c>
      <c r="C6" s="155"/>
      <c r="D6" s="155"/>
      <c r="E6" s="155"/>
      <c r="H6" s="153"/>
      <c r="I6" s="153"/>
    </row>
    <row r="7" spans="1:9">
      <c r="A7" s="158" t="s">
        <v>142</v>
      </c>
      <c r="B7" s="158" t="s">
        <v>3</v>
      </c>
      <c r="C7" s="153">
        <v>22645974</v>
      </c>
      <c r="D7" s="153">
        <v>25350000</v>
      </c>
      <c r="E7" s="153">
        <v>2704026</v>
      </c>
      <c r="G7" s="2">
        <v>21829251</v>
      </c>
      <c r="H7" s="153">
        <v>23540000</v>
      </c>
      <c r="I7" s="153">
        <f>+H7-G7</f>
        <v>1710749</v>
      </c>
    </row>
    <row r="8" spans="1:9">
      <c r="A8" s="158" t="s">
        <v>152</v>
      </c>
      <c r="B8" s="158">
        <v>926221</v>
      </c>
      <c r="C8" s="153">
        <v>1430306</v>
      </c>
      <c r="D8" s="153">
        <v>1500000</v>
      </c>
      <c r="E8" s="153">
        <v>69694</v>
      </c>
      <c r="G8" s="2">
        <v>1624667</v>
      </c>
      <c r="H8" s="153">
        <v>1570000</v>
      </c>
      <c r="I8" s="153">
        <f>+H8-G8</f>
        <v>-54667</v>
      </c>
    </row>
    <row r="9" spans="1:9">
      <c r="A9" s="158" t="s">
        <v>143</v>
      </c>
      <c r="B9" s="158" t="s">
        <v>7</v>
      </c>
      <c r="C9" s="159">
        <v>8541714</v>
      </c>
      <c r="D9" s="159">
        <v>9000000</v>
      </c>
      <c r="E9" s="159">
        <v>458286</v>
      </c>
      <c r="G9" s="160">
        <v>8745377</v>
      </c>
      <c r="H9" s="159">
        <v>11800000</v>
      </c>
      <c r="I9" s="159">
        <f>+H9-G9</f>
        <v>3054623</v>
      </c>
    </row>
    <row r="10" spans="1:9">
      <c r="A10" s="161" t="s">
        <v>144</v>
      </c>
      <c r="B10" s="161"/>
      <c r="C10" s="162">
        <v>32617994</v>
      </c>
      <c r="D10" s="162">
        <v>35850000</v>
      </c>
      <c r="E10" s="162">
        <v>3232006</v>
      </c>
      <c r="G10" s="163">
        <v>32199295</v>
      </c>
      <c r="H10" s="162">
        <v>36910000</v>
      </c>
      <c r="I10" s="162">
        <f>SUM(I7:I9)</f>
        <v>4710705</v>
      </c>
    </row>
    <row r="11" spans="1:9">
      <c r="A11" s="164"/>
      <c r="B11" s="164"/>
      <c r="C11" s="164"/>
      <c r="D11" s="164"/>
      <c r="E11" s="164"/>
      <c r="G11" s="2"/>
      <c r="H11" s="164"/>
      <c r="I11" s="164"/>
    </row>
    <row r="12" spans="1:9">
      <c r="A12" s="158" t="s">
        <v>12</v>
      </c>
      <c r="B12" s="158" t="s">
        <v>11</v>
      </c>
      <c r="C12" s="153">
        <v>9138892</v>
      </c>
      <c r="D12" s="153">
        <v>9800000</v>
      </c>
      <c r="E12" s="153">
        <v>661108</v>
      </c>
      <c r="G12" s="2">
        <v>9270825</v>
      </c>
      <c r="H12" s="153">
        <v>9827075</v>
      </c>
      <c r="I12" s="153">
        <f>+H12-G12</f>
        <v>556250</v>
      </c>
    </row>
    <row r="13" spans="1:9">
      <c r="A13" s="158" t="s">
        <v>14</v>
      </c>
      <c r="B13" s="158" t="s">
        <v>13</v>
      </c>
      <c r="C13" s="153">
        <v>905072</v>
      </c>
      <c r="D13" s="153">
        <v>1100000</v>
      </c>
      <c r="E13" s="153">
        <v>194928</v>
      </c>
      <c r="G13" s="2">
        <v>1090687</v>
      </c>
      <c r="H13" s="153">
        <v>1156128</v>
      </c>
      <c r="I13" s="153">
        <f>+H13-G13</f>
        <v>65441</v>
      </c>
    </row>
    <row r="14" spans="1:9">
      <c r="A14" s="158" t="s">
        <v>16</v>
      </c>
      <c r="B14" s="158" t="s">
        <v>15</v>
      </c>
      <c r="C14" s="159">
        <v>20611101</v>
      </c>
      <c r="D14" s="159">
        <v>26277454</v>
      </c>
      <c r="E14" s="159">
        <v>5666353</v>
      </c>
      <c r="G14" s="160">
        <v>24817445</v>
      </c>
      <c r="H14" s="159">
        <v>23500000</v>
      </c>
      <c r="I14" s="159">
        <f>+H14-G14</f>
        <v>-1317445</v>
      </c>
    </row>
    <row r="15" spans="1:9">
      <c r="A15" s="161" t="s">
        <v>145</v>
      </c>
      <c r="B15" s="161"/>
      <c r="C15" s="162">
        <v>30655065</v>
      </c>
      <c r="D15" s="162">
        <v>37177454</v>
      </c>
      <c r="E15" s="162">
        <v>6522389</v>
      </c>
      <c r="G15" s="163">
        <v>35178957</v>
      </c>
      <c r="H15" s="162">
        <v>34483203</v>
      </c>
      <c r="I15" s="162">
        <f>SUM(I12:I14)</f>
        <v>-695754</v>
      </c>
    </row>
    <row r="16" spans="1:9">
      <c r="A16" s="161"/>
      <c r="B16" s="161"/>
      <c r="C16" s="162"/>
      <c r="D16" s="162"/>
      <c r="E16" s="162"/>
      <c r="G16" s="2"/>
      <c r="H16" s="162"/>
      <c r="I16" s="162"/>
    </row>
    <row r="17" spans="1:9">
      <c r="A17" s="161"/>
      <c r="B17" s="161" t="s">
        <v>126</v>
      </c>
      <c r="C17" s="162">
        <v>63273059</v>
      </c>
      <c r="D17" s="162">
        <v>73027454</v>
      </c>
      <c r="E17" s="162">
        <v>9754395</v>
      </c>
      <c r="G17" s="2">
        <v>67378252</v>
      </c>
      <c r="H17" s="162">
        <v>71393203</v>
      </c>
      <c r="I17" s="153">
        <f>+H17-G17</f>
        <v>4014951</v>
      </c>
    </row>
    <row r="18" spans="1:9">
      <c r="A18" s="164"/>
      <c r="B18" s="164" t="s">
        <v>146</v>
      </c>
      <c r="C18" s="128">
        <v>0.56310000000000004</v>
      </c>
      <c r="D18" s="128">
        <v>0.56310000000000004</v>
      </c>
      <c r="E18" s="128">
        <v>0.56310000000000004</v>
      </c>
      <c r="G18" s="165">
        <v>0.57130000000000003</v>
      </c>
      <c r="H18" s="128">
        <v>0.57130000000000003</v>
      </c>
      <c r="I18" s="253">
        <v>0.57130000000000003</v>
      </c>
    </row>
    <row r="19" spans="1:9">
      <c r="A19" s="164"/>
      <c r="B19" s="164" t="s">
        <v>147</v>
      </c>
      <c r="C19" s="166">
        <v>35629059.5229</v>
      </c>
      <c r="D19" s="167">
        <v>41121759.347400002</v>
      </c>
      <c r="E19" s="166">
        <v>5492699.8245000001</v>
      </c>
      <c r="G19" s="163">
        <v>38493195</v>
      </c>
      <c r="H19" s="129">
        <v>40786937</v>
      </c>
      <c r="I19" s="254">
        <v>2293742</v>
      </c>
    </row>
    <row r="22" spans="1:9">
      <c r="A22" s="187"/>
      <c r="B22" s="187"/>
      <c r="C22" s="187"/>
      <c r="D22" s="189"/>
      <c r="E22" s="35"/>
      <c r="F22" s="35"/>
      <c r="G22" s="35"/>
    </row>
    <row r="23" spans="1:9">
      <c r="A23" s="189"/>
      <c r="B23" s="189"/>
      <c r="C23" s="189"/>
      <c r="D23" s="255"/>
      <c r="E23" s="35"/>
      <c r="F23" s="35"/>
      <c r="G23" s="35"/>
    </row>
    <row r="24" spans="1:9">
      <c r="A24" s="190"/>
      <c r="B24" s="190"/>
      <c r="C24" s="190"/>
      <c r="D24" s="154"/>
      <c r="E24" s="35"/>
      <c r="F24" s="35"/>
      <c r="G24" s="35"/>
    </row>
    <row r="25" spans="1:9">
      <c r="A25" s="190"/>
      <c r="B25" s="256"/>
      <c r="C25" s="257"/>
      <c r="D25" s="154"/>
      <c r="E25" s="35"/>
      <c r="F25" s="35"/>
      <c r="G25" s="35"/>
    </row>
    <row r="26" spans="1:9">
      <c r="A26" s="190"/>
      <c r="B26" s="256"/>
      <c r="C26" s="257"/>
      <c r="D26" s="154"/>
      <c r="E26" s="35"/>
      <c r="F26" s="35"/>
      <c r="G26" s="35"/>
    </row>
    <row r="27" spans="1:9">
      <c r="A27" s="190"/>
      <c r="B27" s="256"/>
      <c r="C27" s="257"/>
      <c r="D27" s="154"/>
      <c r="E27" s="35"/>
      <c r="F27" s="35"/>
      <c r="G27" s="35"/>
    </row>
    <row r="28" spans="1:9">
      <c r="A28" s="191"/>
      <c r="B28" s="256"/>
      <c r="C28" s="189"/>
      <c r="D28" s="192"/>
      <c r="E28" s="35"/>
      <c r="F28" s="35"/>
      <c r="G28" s="35"/>
    </row>
    <row r="29" spans="1:9">
      <c r="A29" s="127"/>
      <c r="B29" s="127"/>
      <c r="C29" s="258"/>
      <c r="D29" s="127"/>
      <c r="E29" s="35"/>
      <c r="F29" s="35"/>
      <c r="G29" s="35"/>
    </row>
    <row r="30" spans="1:9">
      <c r="A30" s="190"/>
      <c r="B30" s="256"/>
      <c r="C30" s="257"/>
      <c r="D30" s="154"/>
      <c r="E30" s="35"/>
      <c r="F30" s="35"/>
      <c r="G30" s="35"/>
    </row>
    <row r="31" spans="1:9">
      <c r="A31" s="190"/>
      <c r="B31" s="256"/>
      <c r="C31" s="257"/>
      <c r="D31" s="154"/>
      <c r="E31" s="35"/>
      <c r="F31" s="35"/>
      <c r="G31" s="35"/>
    </row>
    <row r="32" spans="1:9">
      <c r="A32" s="190"/>
      <c r="B32" s="256"/>
      <c r="C32" s="257"/>
      <c r="D32" s="154"/>
      <c r="E32" s="35"/>
      <c r="F32" s="35"/>
      <c r="G32" s="35"/>
    </row>
    <row r="33" spans="1:7">
      <c r="A33" s="191"/>
      <c r="B33" s="256"/>
      <c r="C33" s="189"/>
      <c r="D33" s="192"/>
      <c r="E33" s="35"/>
      <c r="F33" s="35"/>
      <c r="G33" s="35"/>
    </row>
    <row r="34" spans="1:7">
      <c r="A34" s="191"/>
      <c r="B34" s="191"/>
      <c r="C34" s="191"/>
      <c r="D34" s="192"/>
      <c r="E34" s="35"/>
      <c r="F34" s="35"/>
      <c r="G34" s="35"/>
    </row>
    <row r="35" spans="1:7">
      <c r="A35" s="191"/>
      <c r="B35" s="191"/>
      <c r="C35" s="191"/>
      <c r="D35" s="192"/>
      <c r="E35" s="35"/>
      <c r="F35" s="35"/>
      <c r="G35" s="195"/>
    </row>
    <row r="36" spans="1:7">
      <c r="A36" s="127"/>
      <c r="B36" s="256"/>
      <c r="C36" s="127"/>
      <c r="D36" s="194"/>
      <c r="E36" s="35"/>
      <c r="F36" s="35"/>
      <c r="G36" s="35"/>
    </row>
    <row r="37" spans="1:7">
      <c r="A37" s="127"/>
      <c r="B37" s="127"/>
      <c r="C37" s="127"/>
      <c r="D37" s="129"/>
      <c r="E37" s="35"/>
      <c r="F37" s="35"/>
      <c r="G37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37"/>
  <sheetViews>
    <sheetView topLeftCell="A10" workbookViewId="0">
      <selection activeCell="I12" sqref="I12"/>
    </sheetView>
  </sheetViews>
  <sheetFormatPr defaultRowHeight="14.5"/>
  <cols>
    <col min="3" max="4" width="12.54296875" bestFit="1" customWidth="1"/>
    <col min="5" max="5" width="10.1796875" bestFit="1" customWidth="1"/>
    <col min="8" max="8" width="12" bestFit="1" customWidth="1"/>
    <col min="9" max="9" width="11" bestFit="1" customWidth="1"/>
    <col min="10" max="11" width="12.54296875" bestFit="1" customWidth="1"/>
    <col min="12" max="12" width="10.1796875" bestFit="1" customWidth="1"/>
  </cols>
  <sheetData>
    <row r="2" spans="1:12">
      <c r="B2" s="118"/>
      <c r="G2" s="118" t="s">
        <v>163</v>
      </c>
    </row>
    <row r="3" spans="1:12">
      <c r="C3" s="118" t="s">
        <v>137</v>
      </c>
      <c r="D3" s="118" t="s">
        <v>138</v>
      </c>
      <c r="E3" s="118"/>
      <c r="H3" s="118"/>
      <c r="J3" s="118" t="s">
        <v>138</v>
      </c>
      <c r="K3" s="118" t="s">
        <v>138</v>
      </c>
      <c r="L3" s="118"/>
    </row>
    <row r="4" spans="1:12">
      <c r="A4" s="118"/>
      <c r="B4" s="118"/>
      <c r="C4" s="119" t="s">
        <v>139</v>
      </c>
      <c r="D4" s="119" t="s">
        <v>140</v>
      </c>
      <c r="E4" s="118" t="s">
        <v>141</v>
      </c>
      <c r="H4" s="157" t="s">
        <v>138</v>
      </c>
      <c r="I4" s="157"/>
      <c r="J4" s="119" t="s">
        <v>148</v>
      </c>
      <c r="K4" s="119" t="s">
        <v>149</v>
      </c>
      <c r="L4" s="118" t="s">
        <v>141</v>
      </c>
    </row>
    <row r="5" spans="1:12">
      <c r="A5" s="120" t="s">
        <v>2</v>
      </c>
      <c r="B5" s="120" t="s">
        <v>1</v>
      </c>
      <c r="C5" s="118"/>
      <c r="D5" s="118"/>
      <c r="E5" s="118"/>
      <c r="H5" s="252" t="s">
        <v>164</v>
      </c>
      <c r="I5" s="157" t="s">
        <v>141</v>
      </c>
      <c r="J5" s="118"/>
      <c r="K5" s="118"/>
      <c r="L5" s="118"/>
    </row>
    <row r="6" spans="1:12">
      <c r="A6" s="121"/>
      <c r="B6" s="121"/>
      <c r="C6" s="122"/>
      <c r="D6" s="122"/>
      <c r="E6" s="122"/>
      <c r="H6" s="153"/>
      <c r="I6" s="153"/>
      <c r="J6" s="122"/>
      <c r="K6" s="122"/>
      <c r="L6" s="122"/>
    </row>
    <row r="7" spans="1:12">
      <c r="A7" s="121" t="s">
        <v>142</v>
      </c>
      <c r="B7" s="121" t="s">
        <v>3</v>
      </c>
      <c r="C7" s="122">
        <v>25793217</v>
      </c>
      <c r="D7" s="122">
        <v>28535532</v>
      </c>
      <c r="E7" s="122">
        <v>2742315</v>
      </c>
      <c r="H7" s="153">
        <v>23540000</v>
      </c>
      <c r="I7" s="153">
        <f>+H7-G7</f>
        <v>23540000</v>
      </c>
      <c r="J7" s="122">
        <v>28535532</v>
      </c>
      <c r="K7" s="122">
        <v>28535532</v>
      </c>
      <c r="L7" s="122">
        <v>0</v>
      </c>
    </row>
    <row r="8" spans="1:12">
      <c r="A8" s="121" t="s">
        <v>143</v>
      </c>
      <c r="B8" s="121" t="s">
        <v>7</v>
      </c>
      <c r="C8" s="123">
        <v>11411512</v>
      </c>
      <c r="D8" s="124">
        <v>10400000</v>
      </c>
      <c r="E8" s="123">
        <v>-1011512</v>
      </c>
      <c r="H8" s="153">
        <v>1570000</v>
      </c>
      <c r="I8" s="153">
        <f>+H8-G8</f>
        <v>1570000</v>
      </c>
      <c r="J8" s="122">
        <v>10200000</v>
      </c>
      <c r="K8" s="124">
        <v>9800000</v>
      </c>
      <c r="L8" s="123">
        <v>-400000</v>
      </c>
    </row>
    <row r="9" spans="1:12">
      <c r="A9" s="125" t="s">
        <v>144</v>
      </c>
      <c r="B9" s="125"/>
      <c r="C9" s="126">
        <v>37204729</v>
      </c>
      <c r="D9" s="126">
        <v>38935532</v>
      </c>
      <c r="E9" s="126">
        <v>1730803</v>
      </c>
      <c r="H9" s="159">
        <v>11800000</v>
      </c>
      <c r="I9" s="159">
        <f>+H9-G9</f>
        <v>11800000</v>
      </c>
      <c r="J9" s="126">
        <v>38735532</v>
      </c>
      <c r="K9" s="126">
        <v>38335532</v>
      </c>
      <c r="L9" s="126">
        <v>-400000</v>
      </c>
    </row>
    <row r="10" spans="1:12">
      <c r="A10" s="127"/>
      <c r="B10" s="127"/>
      <c r="C10" s="127"/>
      <c r="D10" s="127"/>
      <c r="E10" s="127"/>
      <c r="H10" s="162">
        <v>36910000</v>
      </c>
      <c r="I10" s="162">
        <f>SUM(I7:I9)</f>
        <v>36910000</v>
      </c>
      <c r="J10" s="127"/>
      <c r="K10" s="127"/>
      <c r="L10" s="127"/>
    </row>
    <row r="11" spans="1:12">
      <c r="A11" s="121" t="s">
        <v>12</v>
      </c>
      <c r="B11" s="121" t="s">
        <v>11</v>
      </c>
      <c r="C11" s="122">
        <v>8062842</v>
      </c>
      <c r="D11" s="122">
        <v>8062842</v>
      </c>
      <c r="E11" s="122">
        <v>0</v>
      </c>
      <c r="H11" s="164"/>
      <c r="I11" s="164"/>
      <c r="J11" s="122">
        <v>8062842</v>
      </c>
      <c r="K11" s="122">
        <v>8062842</v>
      </c>
      <c r="L11" s="122">
        <v>0</v>
      </c>
    </row>
    <row r="12" spans="1:12">
      <c r="A12" s="121" t="s">
        <v>14</v>
      </c>
      <c r="B12" s="121" t="s">
        <v>13</v>
      </c>
      <c r="C12" s="122">
        <v>492612</v>
      </c>
      <c r="D12" s="122">
        <v>492612</v>
      </c>
      <c r="E12" s="122">
        <v>0</v>
      </c>
      <c r="H12" s="153">
        <v>9827075</v>
      </c>
      <c r="I12" s="153">
        <f>+H12-G12</f>
        <v>9827075</v>
      </c>
      <c r="J12" s="122">
        <v>492612</v>
      </c>
      <c r="K12" s="122">
        <v>492612</v>
      </c>
      <c r="L12" s="122">
        <v>0</v>
      </c>
    </row>
    <row r="13" spans="1:12">
      <c r="A13" s="121" t="s">
        <v>16</v>
      </c>
      <c r="B13" s="121" t="s">
        <v>15</v>
      </c>
      <c r="C13" s="123">
        <v>24649327</v>
      </c>
      <c r="D13" s="124">
        <v>23200000</v>
      </c>
      <c r="E13" s="123">
        <v>-1449327</v>
      </c>
      <c r="H13" s="153">
        <v>1156128</v>
      </c>
      <c r="I13" s="153">
        <f>+H13-G13</f>
        <v>1156128</v>
      </c>
      <c r="J13" s="124">
        <v>21800000</v>
      </c>
      <c r="K13" s="124">
        <v>20500000</v>
      </c>
      <c r="L13" s="123">
        <v>-1300000</v>
      </c>
    </row>
    <row r="14" spans="1:12">
      <c r="A14" s="125" t="s">
        <v>145</v>
      </c>
      <c r="B14" s="125"/>
      <c r="C14" s="126">
        <v>33204781</v>
      </c>
      <c r="D14" s="126">
        <v>31755454</v>
      </c>
      <c r="E14" s="126">
        <v>-1449327</v>
      </c>
      <c r="H14" s="159">
        <v>23500000</v>
      </c>
      <c r="I14" s="159">
        <f>+H14-G14</f>
        <v>23500000</v>
      </c>
      <c r="J14" s="126">
        <v>30355454</v>
      </c>
      <c r="K14" s="126">
        <v>29055454</v>
      </c>
      <c r="L14" s="126">
        <v>-1300000</v>
      </c>
    </row>
    <row r="15" spans="1:12">
      <c r="A15" s="125"/>
      <c r="B15" s="125"/>
      <c r="C15" s="126"/>
      <c r="D15" s="126"/>
      <c r="E15" s="126"/>
      <c r="H15" s="162">
        <v>34483203</v>
      </c>
      <c r="I15" s="162">
        <f>SUM(I12:I14)</f>
        <v>34483203</v>
      </c>
      <c r="J15" s="126"/>
      <c r="K15" s="126"/>
      <c r="L15" s="126"/>
    </row>
    <row r="16" spans="1:12">
      <c r="A16" s="125"/>
      <c r="B16" s="125" t="s">
        <v>126</v>
      </c>
      <c r="C16" s="126">
        <v>70409510</v>
      </c>
      <c r="D16" s="126">
        <v>70690986</v>
      </c>
      <c r="E16" s="126">
        <v>281476</v>
      </c>
      <c r="H16" s="162"/>
      <c r="I16" s="162"/>
      <c r="J16" s="126">
        <v>69090986</v>
      </c>
      <c r="K16" s="126">
        <v>67390986</v>
      </c>
      <c r="L16" s="126">
        <v>-1700000</v>
      </c>
    </row>
    <row r="17" spans="1:12">
      <c r="A17" s="127"/>
      <c r="B17" s="127" t="s">
        <v>146</v>
      </c>
      <c r="C17" s="128">
        <v>0.57579999999999998</v>
      </c>
      <c r="D17" s="128">
        <v>0.57579999999999998</v>
      </c>
      <c r="E17" s="128">
        <v>0.57579999999999998</v>
      </c>
      <c r="H17" s="162">
        <v>71393203</v>
      </c>
      <c r="I17" s="153">
        <f>+H17-G17</f>
        <v>71393203</v>
      </c>
      <c r="J17" s="128">
        <v>0.57579999999999998</v>
      </c>
      <c r="K17" s="128">
        <v>0.57579999999999998</v>
      </c>
      <c r="L17" s="128">
        <v>0.57579999999999998</v>
      </c>
    </row>
    <row r="18" spans="1:12">
      <c r="A18" s="127"/>
      <c r="B18" s="127" t="s">
        <v>147</v>
      </c>
      <c r="C18" s="129">
        <v>40541796</v>
      </c>
      <c r="D18" s="129">
        <v>40703870</v>
      </c>
      <c r="E18" s="129">
        <v>162074</v>
      </c>
      <c r="H18" s="128">
        <v>0.57130000000000003</v>
      </c>
      <c r="I18" s="253">
        <v>0.57130000000000003</v>
      </c>
      <c r="J18" s="129">
        <v>39782590</v>
      </c>
      <c r="K18" s="129">
        <v>38803730</v>
      </c>
      <c r="L18" s="129">
        <v>-978860</v>
      </c>
    </row>
    <row r="19" spans="1:12">
      <c r="H19" s="129">
        <v>40786937</v>
      </c>
      <c r="I19" s="254">
        <v>2293742</v>
      </c>
      <c r="J19" s="129">
        <v>39782590</v>
      </c>
      <c r="K19" s="127"/>
      <c r="L19" s="127"/>
    </row>
    <row r="21" spans="1:12">
      <c r="B21" s="232"/>
    </row>
    <row r="22" spans="1:12">
      <c r="A22" s="187"/>
      <c r="B22" s="187"/>
      <c r="C22" s="187"/>
      <c r="D22" s="189"/>
      <c r="E22" s="35"/>
      <c r="F22" s="35"/>
      <c r="G22" s="35"/>
    </row>
    <row r="23" spans="1:12">
      <c r="A23" s="189"/>
      <c r="B23" s="189"/>
      <c r="C23" s="189"/>
      <c r="D23" s="255"/>
      <c r="E23" s="35"/>
      <c r="F23" s="35"/>
      <c r="G23" s="35"/>
    </row>
    <row r="24" spans="1:12">
      <c r="A24" s="190"/>
      <c r="B24" s="190"/>
      <c r="C24" s="190"/>
      <c r="D24" s="154"/>
      <c r="E24" s="35"/>
      <c r="F24" s="35"/>
      <c r="G24" s="35"/>
    </row>
    <row r="25" spans="1:12">
      <c r="A25" s="190"/>
      <c r="B25" s="256"/>
      <c r="C25" s="257"/>
      <c r="D25" s="154"/>
      <c r="E25" s="35"/>
      <c r="F25" s="35"/>
      <c r="G25" s="35"/>
    </row>
    <row r="26" spans="1:12">
      <c r="A26" s="190"/>
      <c r="B26" s="256"/>
      <c r="C26" s="257"/>
      <c r="D26" s="154"/>
      <c r="E26" s="35"/>
      <c r="F26" s="35"/>
      <c r="G26" s="35"/>
    </row>
    <row r="27" spans="1:12">
      <c r="A27" s="190"/>
      <c r="B27" s="256"/>
      <c r="C27" s="257"/>
      <c r="D27" s="154"/>
      <c r="E27" s="35"/>
      <c r="F27" s="35"/>
      <c r="G27" s="35"/>
    </row>
    <row r="28" spans="1:12">
      <c r="A28" s="191"/>
      <c r="B28" s="256"/>
      <c r="C28" s="189"/>
      <c r="D28" s="192"/>
      <c r="E28" s="35"/>
      <c r="F28" s="35"/>
      <c r="G28" s="35"/>
    </row>
    <row r="29" spans="1:12">
      <c r="A29" s="127"/>
      <c r="B29" s="127"/>
      <c r="C29" s="258"/>
      <c r="D29" s="127"/>
      <c r="E29" s="35"/>
      <c r="F29" s="35"/>
      <c r="G29" s="35"/>
    </row>
    <row r="30" spans="1:12">
      <c r="A30" s="190"/>
      <c r="B30" s="256"/>
      <c r="C30" s="257"/>
      <c r="D30" s="154"/>
      <c r="E30" s="35"/>
      <c r="F30" s="35"/>
      <c r="G30" s="35"/>
    </row>
    <row r="31" spans="1:12">
      <c r="A31" s="190"/>
      <c r="B31" s="256"/>
      <c r="C31" s="257"/>
      <c r="D31" s="154"/>
      <c r="E31" s="35"/>
      <c r="F31" s="35"/>
      <c r="G31" s="35"/>
    </row>
    <row r="32" spans="1:12">
      <c r="A32" s="190"/>
      <c r="B32" s="256"/>
      <c r="C32" s="257"/>
      <c r="D32" s="154"/>
      <c r="E32" s="35"/>
      <c r="F32" s="35"/>
      <c r="G32" s="35"/>
    </row>
    <row r="33" spans="1:7">
      <c r="A33" s="191"/>
      <c r="B33" s="256"/>
      <c r="C33" s="189"/>
      <c r="D33" s="192"/>
      <c r="E33" s="35"/>
      <c r="F33" s="35"/>
      <c r="G33" s="35"/>
    </row>
    <row r="34" spans="1:7">
      <c r="A34" s="191"/>
      <c r="B34" s="191"/>
      <c r="C34" s="191"/>
      <c r="D34" s="192"/>
      <c r="E34" s="35"/>
      <c r="F34" s="35"/>
      <c r="G34" s="35"/>
    </row>
    <row r="35" spans="1:7">
      <c r="A35" s="191"/>
      <c r="B35" s="191"/>
      <c r="C35" s="191"/>
      <c r="D35" s="192"/>
      <c r="E35" s="35"/>
      <c r="F35" s="35"/>
      <c r="G35" s="195"/>
    </row>
    <row r="36" spans="1:7">
      <c r="A36" s="127"/>
      <c r="B36" s="256"/>
      <c r="C36" s="127"/>
      <c r="D36" s="194"/>
      <c r="E36" s="35"/>
      <c r="F36" s="35"/>
      <c r="G36" s="35"/>
    </row>
    <row r="37" spans="1:7">
      <c r="A37" s="127"/>
      <c r="B37" s="127"/>
      <c r="C37" s="127"/>
      <c r="D37" s="129"/>
      <c r="E37" s="35"/>
      <c r="F37" s="35"/>
      <c r="G37" s="3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7309-43DC-4305-8086-D735199418A5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56"/>
  <sheetViews>
    <sheetView zoomScaleNormal="100" workbookViewId="0">
      <selection activeCell="A21" sqref="A21"/>
    </sheetView>
  </sheetViews>
  <sheetFormatPr defaultColWidth="9.36328125" defaultRowHeight="13"/>
  <cols>
    <col min="1" max="1" width="9.36328125" style="42"/>
    <col min="2" max="2" width="17.36328125" style="42" customWidth="1"/>
    <col min="3" max="3" width="10.453125" style="42" customWidth="1"/>
    <col min="4" max="4" width="16.81640625" style="42" customWidth="1"/>
    <col min="5" max="5" width="12.08984375" style="42" customWidth="1"/>
    <col min="6" max="6" width="7.81640625" style="44" customWidth="1"/>
    <col min="7" max="7" width="17.81640625" style="42" customWidth="1"/>
    <col min="8" max="8" width="12" style="42" bestFit="1" customWidth="1"/>
    <col min="9" max="9" width="19.36328125" style="42" customWidth="1"/>
    <col min="10" max="10" width="14" style="42" customWidth="1"/>
    <col min="11" max="16384" width="9.36328125" style="42"/>
  </cols>
  <sheetData>
    <row r="1" spans="1:10" ht="15">
      <c r="C1" s="43" t="str">
        <f>[5]Summary!A1</f>
        <v>AVISTA UTILITIES</v>
      </c>
    </row>
    <row r="2" spans="1:10">
      <c r="A2" s="86"/>
      <c r="C2" s="44" t="str">
        <f>[5]Summary!A3</f>
        <v>12 Months Ending 09/30/15</v>
      </c>
      <c r="G2" s="42" t="s">
        <v>163</v>
      </c>
    </row>
    <row r="3" spans="1:10" ht="14.5">
      <c r="I3"/>
    </row>
    <row r="4" spans="1:10" ht="14.5">
      <c r="H4" s="157" t="s">
        <v>138</v>
      </c>
      <c r="I4" s="157"/>
    </row>
    <row r="5" spans="1:10" ht="14.5">
      <c r="C5" s="47"/>
      <c r="D5" s="47"/>
      <c r="E5" s="47"/>
      <c r="F5" s="108"/>
      <c r="G5" s="48" t="s">
        <v>131</v>
      </c>
      <c r="H5" s="252" t="s">
        <v>164</v>
      </c>
      <c r="I5" s="157" t="s">
        <v>141</v>
      </c>
      <c r="J5" s="49"/>
    </row>
    <row r="6" spans="1:10" ht="14.5">
      <c r="B6" s="54" t="s">
        <v>132</v>
      </c>
      <c r="C6" s="47"/>
      <c r="D6" s="47"/>
      <c r="E6" s="47"/>
      <c r="F6" s="108" t="s">
        <v>86</v>
      </c>
      <c r="G6" s="109">
        <f>[5]Expense!G13</f>
        <v>31435878</v>
      </c>
      <c r="H6" s="153"/>
      <c r="I6" s="153"/>
      <c r="J6" s="110"/>
    </row>
    <row r="7" spans="1:10" ht="14.5">
      <c r="B7" s="54" t="s">
        <v>133</v>
      </c>
      <c r="C7" s="111">
        <v>42277</v>
      </c>
      <c r="D7" s="47"/>
      <c r="E7" s="47"/>
      <c r="F7" s="108"/>
      <c r="G7" s="112">
        <f>-[5]Expense!D12</f>
        <v>-29295624</v>
      </c>
      <c r="H7" s="153">
        <v>23540000</v>
      </c>
      <c r="I7" s="153">
        <f>+H7-G7</f>
        <v>52835624</v>
      </c>
      <c r="J7" s="113"/>
    </row>
    <row r="8" spans="1:10" ht="14.5">
      <c r="B8" s="42" t="s">
        <v>134</v>
      </c>
      <c r="C8" s="47"/>
      <c r="D8" s="47"/>
      <c r="E8" s="47"/>
      <c r="F8" s="85">
        <v>2016</v>
      </c>
      <c r="G8" s="57">
        <f>SUM(G6:G7)</f>
        <v>2140254</v>
      </c>
      <c r="H8" s="153">
        <v>1570000</v>
      </c>
      <c r="I8" s="153">
        <f>+H8-G8</f>
        <v>-570254</v>
      </c>
      <c r="J8" s="58"/>
    </row>
    <row r="9" spans="1:10" ht="14.5">
      <c r="B9" s="42" t="s">
        <v>135</v>
      </c>
      <c r="C9" s="47"/>
      <c r="D9" s="47"/>
      <c r="E9" s="47"/>
      <c r="F9" s="108"/>
      <c r="G9" s="59">
        <f>'[5]Non-Util Benefit Calc'!E9</f>
        <v>0.57092904098394781</v>
      </c>
      <c r="H9" s="159">
        <v>11800000</v>
      </c>
      <c r="I9" s="159">
        <f>+H9-G9</f>
        <v>11799999.429070959</v>
      </c>
      <c r="J9" s="54"/>
    </row>
    <row r="10" spans="1:10" ht="14.5">
      <c r="B10" s="42" t="s">
        <v>136</v>
      </c>
      <c r="G10" s="57">
        <f>G8*G9</f>
        <v>1221933.1636820582</v>
      </c>
      <c r="H10" s="162">
        <v>36910000</v>
      </c>
      <c r="I10" s="162">
        <f>SUM(I7:I9)</f>
        <v>64065369.429070957</v>
      </c>
    </row>
    <row r="11" spans="1:10" s="60" customFormat="1" ht="14.5">
      <c r="F11" s="114"/>
      <c r="H11" s="164"/>
      <c r="I11" s="164"/>
    </row>
    <row r="12" spans="1:10" s="60" customFormat="1" ht="14.5">
      <c r="A12" s="61"/>
      <c r="F12" s="114"/>
      <c r="H12" s="153">
        <v>9827075</v>
      </c>
      <c r="I12" s="153">
        <f>+H12-G12</f>
        <v>9827075</v>
      </c>
      <c r="J12" s="62"/>
    </row>
    <row r="13" spans="1:10" s="60" customFormat="1" ht="14.5">
      <c r="A13" s="42" t="s">
        <v>92</v>
      </c>
      <c r="B13" s="72"/>
      <c r="C13" s="72"/>
      <c r="D13" s="115">
        <v>41149150</v>
      </c>
      <c r="E13" s="116"/>
      <c r="F13" s="114"/>
      <c r="H13" s="153">
        <v>1156128</v>
      </c>
      <c r="I13" s="153">
        <f>+H13-G13</f>
        <v>1156128</v>
      </c>
    </row>
    <row r="14" spans="1:10" s="60" customFormat="1" ht="15" thickBot="1">
      <c r="A14" s="42" t="s">
        <v>116</v>
      </c>
      <c r="B14" s="42"/>
      <c r="C14" s="117"/>
      <c r="D14" s="73">
        <f>D13+D17+D21+D25+D29</f>
        <v>61341621</v>
      </c>
      <c r="E14" s="54"/>
      <c r="F14" s="114"/>
      <c r="G14" s="69"/>
      <c r="H14" s="159">
        <v>23500000</v>
      </c>
      <c r="I14" s="159">
        <f>+H14-G14</f>
        <v>23500000</v>
      </c>
      <c r="J14" s="69"/>
    </row>
    <row r="15" spans="1:10" ht="15" thickBot="1">
      <c r="A15" s="42" t="s">
        <v>95</v>
      </c>
      <c r="D15" s="54"/>
      <c r="E15" s="70">
        <f>D13/D14</f>
        <v>0.67081940987506672</v>
      </c>
      <c r="G15" s="93">
        <f>G10*E15</f>
        <v>819696.48376797163</v>
      </c>
      <c r="H15" s="162">
        <v>34483203</v>
      </c>
      <c r="I15" s="162">
        <f>SUM(I12:I14)</f>
        <v>34483203</v>
      </c>
    </row>
    <row r="16" spans="1:10" ht="14.5">
      <c r="D16" s="54"/>
      <c r="E16" s="54"/>
      <c r="H16" s="162"/>
      <c r="I16" s="162"/>
    </row>
    <row r="17" spans="1:9" s="60" customFormat="1" ht="14.5">
      <c r="A17" s="42" t="s">
        <v>96</v>
      </c>
      <c r="B17" s="72"/>
      <c r="C17" s="72"/>
      <c r="D17" s="115">
        <v>20192471</v>
      </c>
      <c r="E17" s="116"/>
      <c r="F17" s="114"/>
      <c r="H17" s="162">
        <v>71393203</v>
      </c>
      <c r="I17" s="153">
        <f>+H17-G17</f>
        <v>71393203</v>
      </c>
    </row>
    <row r="18" spans="1:9" s="60" customFormat="1" ht="14.5">
      <c r="A18" s="42" t="str">
        <f>A14</f>
        <v>Total OPER Labor</v>
      </c>
      <c r="B18" s="42"/>
      <c r="C18" s="42"/>
      <c r="D18" s="73">
        <f>$D$14</f>
        <v>61341621</v>
      </c>
      <c r="E18" s="54"/>
      <c r="F18" s="114"/>
      <c r="H18" s="128">
        <v>0.57130000000000003</v>
      </c>
      <c r="I18" s="253">
        <v>0.57130000000000003</v>
      </c>
    </row>
    <row r="19" spans="1:9" ht="15" thickBot="1">
      <c r="A19" s="42" t="s">
        <v>95</v>
      </c>
      <c r="D19" s="54"/>
      <c r="E19" s="70">
        <f>D17/D18</f>
        <v>0.32918059012493328</v>
      </c>
      <c r="G19" s="71">
        <f>G10*E19</f>
        <v>402236.67991408659</v>
      </c>
      <c r="H19" s="129">
        <v>40786937</v>
      </c>
      <c r="I19" s="254">
        <v>2293742</v>
      </c>
    </row>
    <row r="20" spans="1:9" ht="13.5" thickTop="1">
      <c r="D20" s="54"/>
      <c r="E20" s="54"/>
    </row>
    <row r="21" spans="1:9" s="60" customFormat="1" ht="14.5">
      <c r="A21"/>
      <c r="B21"/>
      <c r="C21"/>
      <c r="D21"/>
      <c r="E21"/>
      <c r="F21"/>
      <c r="G21"/>
    </row>
    <row r="22" spans="1:9" s="60" customFormat="1" ht="15" thickBot="1">
      <c r="A22" s="187"/>
      <c r="B22" s="187"/>
      <c r="C22" s="187"/>
      <c r="D22" s="189"/>
      <c r="G22" s="35"/>
    </row>
    <row r="23" spans="1:9" ht="15" thickBot="1">
      <c r="A23" s="189"/>
      <c r="B23" s="189"/>
      <c r="C23" s="189"/>
      <c r="D23" s="255"/>
      <c r="E23" s="60"/>
      <c r="F23" s="114"/>
      <c r="G23" s="35"/>
      <c r="H23" s="94" t="e">
        <f>#REF!*H5</f>
        <v>#REF!</v>
      </c>
      <c r="I23" s="94" t="e">
        <f>G23+H23</f>
        <v>#REF!</v>
      </c>
    </row>
    <row r="24" spans="1:9" ht="14.5">
      <c r="A24" s="190"/>
      <c r="B24" s="190"/>
      <c r="C24" s="190"/>
      <c r="D24" s="154"/>
      <c r="E24" s="60"/>
      <c r="F24" s="114"/>
      <c r="G24" s="35"/>
    </row>
    <row r="25" spans="1:9" s="60" customFormat="1" ht="14.5">
      <c r="A25" s="190"/>
      <c r="B25" s="256"/>
      <c r="C25" s="257"/>
      <c r="D25" s="154"/>
      <c r="G25" s="35"/>
    </row>
    <row r="26" spans="1:9" s="60" customFormat="1" ht="14.5">
      <c r="A26" s="190"/>
      <c r="B26" s="256"/>
      <c r="C26" s="257"/>
      <c r="D26" s="154"/>
      <c r="G26" s="35"/>
    </row>
    <row r="27" spans="1:9" ht="15" thickBot="1">
      <c r="A27" s="190"/>
      <c r="B27" s="256"/>
      <c r="C27" s="257"/>
      <c r="D27" s="154"/>
      <c r="E27" s="60"/>
      <c r="F27" s="114"/>
      <c r="G27" s="35"/>
      <c r="H27" s="71" t="e">
        <f>#REF!*H9</f>
        <v>#REF!</v>
      </c>
      <c r="I27" s="71" t="e">
        <f>G27+H27</f>
        <v>#REF!</v>
      </c>
    </row>
    <row r="28" spans="1:9" s="60" customFormat="1" ht="15" thickTop="1">
      <c r="A28" s="191"/>
      <c r="B28" s="256"/>
      <c r="C28" s="189"/>
      <c r="D28" s="192"/>
      <c r="G28" s="35"/>
    </row>
    <row r="29" spans="1:9" ht="14.5">
      <c r="A29" s="127"/>
      <c r="B29" s="127"/>
      <c r="C29" s="258"/>
      <c r="D29" s="127"/>
      <c r="E29" s="60"/>
      <c r="F29" s="114"/>
      <c r="G29" s="35"/>
    </row>
    <row r="30" spans="1:9" ht="14.5">
      <c r="A30" s="190"/>
      <c r="B30" s="256"/>
      <c r="C30" s="257"/>
      <c r="D30" s="154"/>
      <c r="E30" s="60"/>
      <c r="F30" s="114"/>
      <c r="G30" s="35"/>
    </row>
    <row r="31" spans="1:9" ht="15" thickBot="1">
      <c r="A31" s="190"/>
      <c r="B31" s="256"/>
      <c r="C31" s="257"/>
      <c r="D31" s="154"/>
      <c r="E31" s="60"/>
      <c r="F31" s="114"/>
      <c r="G31" s="35"/>
      <c r="H31" s="71" t="e">
        <f>#REF!*H13</f>
        <v>#REF!</v>
      </c>
      <c r="I31" s="71" t="e">
        <f>G31+H31</f>
        <v>#REF!</v>
      </c>
    </row>
    <row r="32" spans="1:9" ht="15" thickTop="1">
      <c r="A32" s="190"/>
      <c r="B32" s="256"/>
      <c r="C32" s="257"/>
      <c r="D32" s="154"/>
      <c r="E32" s="60"/>
      <c r="F32" s="114"/>
      <c r="G32" s="35"/>
    </row>
    <row r="33" spans="1:9" ht="14.5">
      <c r="A33" s="191"/>
      <c r="B33" s="256"/>
      <c r="C33" s="189"/>
      <c r="D33" s="192"/>
      <c r="E33" s="60"/>
      <c r="F33" s="114"/>
      <c r="G33" s="35"/>
      <c r="H33" s="78" t="e">
        <f>#REF!+#REF!+H23+H27+H31</f>
        <v>#REF!</v>
      </c>
      <c r="I33" s="78" t="e">
        <f>#REF!+#REF!+I23+I27+I31</f>
        <v>#REF!</v>
      </c>
    </row>
    <row r="34" spans="1:9" ht="14.5">
      <c r="A34" s="191"/>
      <c r="B34" s="191"/>
      <c r="C34" s="191"/>
      <c r="D34" s="192"/>
      <c r="E34" s="60"/>
      <c r="F34" s="114"/>
      <c r="G34" s="35"/>
      <c r="H34" s="79"/>
      <c r="I34" s="79"/>
    </row>
    <row r="35" spans="1:9" ht="14.5">
      <c r="A35" s="191"/>
      <c r="B35" s="191"/>
      <c r="C35" s="191"/>
      <c r="D35" s="192"/>
      <c r="E35" s="60"/>
      <c r="F35" s="114"/>
      <c r="G35" s="195"/>
    </row>
    <row r="36" spans="1:9" ht="14.5">
      <c r="A36" s="127"/>
      <c r="B36" s="256"/>
      <c r="C36" s="127"/>
      <c r="D36" s="194"/>
      <c r="E36" s="60"/>
      <c r="F36" s="114"/>
      <c r="G36" s="35"/>
    </row>
    <row r="37" spans="1:9" ht="14.5">
      <c r="A37" s="127"/>
      <c r="B37" s="127"/>
      <c r="C37" s="127"/>
      <c r="D37" s="129"/>
      <c r="E37" s="60"/>
      <c r="F37" s="114"/>
      <c r="G37" s="35"/>
    </row>
    <row r="38" spans="1:9" ht="35.25" customHeight="1"/>
    <row r="39" spans="1:9">
      <c r="C39" s="83"/>
      <c r="D39" s="83"/>
      <c r="E39" s="83"/>
    </row>
    <row r="40" spans="1:9">
      <c r="C40" s="83"/>
      <c r="D40" s="83"/>
      <c r="E40" s="83"/>
    </row>
    <row r="41" spans="1:9">
      <c r="C41" s="83"/>
      <c r="D41" s="83"/>
      <c r="E41" s="83"/>
    </row>
    <row r="42" spans="1:9">
      <c r="C42" s="83"/>
      <c r="D42" s="83"/>
      <c r="E42" s="83"/>
    </row>
    <row r="43" spans="1:9" ht="25.5" customHeight="1">
      <c r="C43" s="83"/>
      <c r="D43" s="83"/>
      <c r="E43" s="83"/>
    </row>
    <row r="50" spans="2:7" ht="27" customHeight="1"/>
    <row r="52" spans="2:7">
      <c r="B52" s="42" t="s">
        <v>83</v>
      </c>
      <c r="D52" s="42" t="s">
        <v>128</v>
      </c>
      <c r="G52" s="83">
        <v>23600000</v>
      </c>
    </row>
    <row r="53" spans="2:7">
      <c r="D53" s="42" t="s">
        <v>129</v>
      </c>
      <c r="G53" s="83">
        <v>-2000000</v>
      </c>
    </row>
    <row r="54" spans="2:7">
      <c r="D54" s="42" t="s">
        <v>130</v>
      </c>
      <c r="G54" s="84">
        <v>220000</v>
      </c>
    </row>
    <row r="55" spans="2:7">
      <c r="D55" s="42" t="s">
        <v>126</v>
      </c>
      <c r="G55" s="83">
        <f>SUM(G52:G54)</f>
        <v>21820000</v>
      </c>
    </row>
    <row r="56" spans="2:7">
      <c r="G56" s="83"/>
    </row>
  </sheetData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62"/>
  <sheetViews>
    <sheetView zoomScaleNormal="100" workbookViewId="0">
      <selection activeCell="A21" sqref="A21"/>
    </sheetView>
  </sheetViews>
  <sheetFormatPr defaultColWidth="9.36328125" defaultRowHeight="13"/>
  <cols>
    <col min="1" max="1" width="9.36328125" style="42"/>
    <col min="2" max="2" width="17.36328125" style="42" customWidth="1"/>
    <col min="3" max="3" width="10.453125" style="42" customWidth="1"/>
    <col min="4" max="4" width="16.81640625" style="42" customWidth="1"/>
    <col min="5" max="5" width="12.08984375" style="42" customWidth="1"/>
    <col min="6" max="6" width="8.08984375" style="42" customWidth="1"/>
    <col min="7" max="7" width="16.08984375" style="42" customWidth="1"/>
    <col min="8" max="8" width="12" style="42" bestFit="1" customWidth="1"/>
    <col min="9" max="9" width="15" style="42" customWidth="1"/>
    <col min="10" max="10" width="6.08984375" style="42" customWidth="1"/>
    <col min="11" max="11" width="21.453125" style="42" customWidth="1"/>
    <col min="12" max="12" width="16.453125" style="42" customWidth="1"/>
    <col min="13" max="13" width="13.36328125" style="42" customWidth="1"/>
    <col min="14" max="16384" width="9.36328125" style="42"/>
  </cols>
  <sheetData>
    <row r="1" spans="1:11" ht="15">
      <c r="C1" s="43" t="str">
        <f>[6]Summary!A1</f>
        <v>AVISTA UTILITIES</v>
      </c>
    </row>
    <row r="2" spans="1:11">
      <c r="C2" s="44" t="str">
        <f>'[6]Exec Utility Split'!A3</f>
        <v>6 Months Ending 06/30/14</v>
      </c>
      <c r="G2" s="42" t="s">
        <v>163</v>
      </c>
    </row>
    <row r="3" spans="1:11" ht="29">
      <c r="I3" s="136" t="s">
        <v>150</v>
      </c>
    </row>
    <row r="4" spans="1:11" ht="14.5">
      <c r="H4" s="157" t="s">
        <v>138</v>
      </c>
      <c r="I4" s="157"/>
    </row>
    <row r="5" spans="1:11" ht="14.5">
      <c r="A5" s="46" t="s">
        <v>111</v>
      </c>
      <c r="C5" s="47"/>
      <c r="D5" s="47"/>
      <c r="E5" s="47"/>
      <c r="F5" s="47"/>
      <c r="G5" s="48" t="s">
        <v>82</v>
      </c>
      <c r="H5" s="252" t="s">
        <v>164</v>
      </c>
      <c r="I5" s="157" t="s">
        <v>141</v>
      </c>
      <c r="J5" s="49"/>
    </row>
    <row r="6" spans="1:11" ht="14.5">
      <c r="B6" s="50" t="s">
        <v>112</v>
      </c>
      <c r="C6" s="47"/>
      <c r="D6" s="47"/>
      <c r="E6" s="47"/>
      <c r="F6" s="47" t="s">
        <v>86</v>
      </c>
      <c r="G6" s="52">
        <f>G48</f>
        <v>28705200</v>
      </c>
      <c r="H6" s="153"/>
      <c r="I6" s="153"/>
      <c r="J6" s="53"/>
      <c r="K6" s="54"/>
    </row>
    <row r="7" spans="1:11" ht="14.5">
      <c r="B7" s="50" t="s">
        <v>113</v>
      </c>
      <c r="C7" s="47"/>
      <c r="D7" s="47"/>
      <c r="E7" s="47"/>
      <c r="F7" s="47"/>
      <c r="G7" s="55">
        <f>-15981353-6738113</f>
        <v>-22719466</v>
      </c>
      <c r="H7" s="153">
        <v>23540000</v>
      </c>
      <c r="I7" s="153">
        <f>+H7-G7</f>
        <v>46259466</v>
      </c>
      <c r="J7" s="56"/>
      <c r="K7" s="54"/>
    </row>
    <row r="8" spans="1:11" ht="14.5">
      <c r="B8" s="42" t="s">
        <v>88</v>
      </c>
      <c r="C8" s="47"/>
      <c r="D8" s="47"/>
      <c r="E8" s="47"/>
      <c r="F8" s="47"/>
      <c r="G8" s="57">
        <f>SUM(G6:G7)</f>
        <v>5985734</v>
      </c>
      <c r="H8" s="153">
        <v>1570000</v>
      </c>
      <c r="I8" s="153">
        <f>+H8-G8</f>
        <v>-4415734</v>
      </c>
      <c r="J8" s="58"/>
      <c r="K8" s="54"/>
    </row>
    <row r="9" spans="1:11" ht="14.5">
      <c r="B9" s="42" t="s">
        <v>89</v>
      </c>
      <c r="C9" s="47"/>
      <c r="D9" s="47"/>
      <c r="E9" s="47"/>
      <c r="F9" s="51"/>
      <c r="G9" s="59">
        <f>'[6]Non-Util Benefit Calc'!B9</f>
        <v>0.56999999999999995</v>
      </c>
      <c r="H9" s="159">
        <v>11800000</v>
      </c>
      <c r="I9" s="159">
        <f>+H9-G9</f>
        <v>11799999.43</v>
      </c>
      <c r="J9" s="54"/>
      <c r="K9" s="54"/>
    </row>
    <row r="10" spans="1:11" ht="14.5">
      <c r="B10" s="42" t="s">
        <v>90</v>
      </c>
      <c r="F10" s="85">
        <v>2016</v>
      </c>
      <c r="G10" s="57">
        <f>G8*G9</f>
        <v>3411868.38</v>
      </c>
      <c r="H10" s="162">
        <v>36910000</v>
      </c>
      <c r="I10" s="162">
        <f>SUM(I7:I9)</f>
        <v>53643731.43</v>
      </c>
    </row>
    <row r="11" spans="1:11" ht="14.5">
      <c r="C11" s="47"/>
      <c r="D11" s="47"/>
      <c r="E11" s="47"/>
      <c r="F11" s="85"/>
      <c r="G11" s="57"/>
      <c r="H11" s="164"/>
      <c r="I11" s="164"/>
      <c r="J11" s="58"/>
      <c r="K11" s="54"/>
    </row>
    <row r="12" spans="1:11" ht="14.5">
      <c r="B12" s="86" t="s">
        <v>114</v>
      </c>
      <c r="C12" s="87"/>
      <c r="D12" s="87"/>
      <c r="E12" s="87"/>
      <c r="F12" s="88">
        <v>2017</v>
      </c>
      <c r="G12" s="89">
        <f>I48</f>
        <v>-38996</v>
      </c>
      <c r="H12" s="153">
        <v>9827075</v>
      </c>
      <c r="I12" s="153">
        <f>+H12-G12</f>
        <v>9866071</v>
      </c>
      <c r="J12" s="58"/>
      <c r="K12" s="54"/>
    </row>
    <row r="13" spans="1:11" ht="14.5">
      <c r="B13" s="86" t="s">
        <v>89</v>
      </c>
      <c r="C13" s="87"/>
      <c r="D13" s="87"/>
      <c r="E13" s="87"/>
      <c r="F13" s="90"/>
      <c r="G13" s="91">
        <f>G9</f>
        <v>0.56999999999999995</v>
      </c>
      <c r="H13" s="153">
        <v>1156128</v>
      </c>
      <c r="I13" s="153">
        <f>+H13-G13</f>
        <v>1156127.43</v>
      </c>
      <c r="J13" s="54"/>
      <c r="K13" s="54"/>
    </row>
    <row r="14" spans="1:11" ht="14.5">
      <c r="B14" s="86" t="s">
        <v>90</v>
      </c>
      <c r="C14" s="86"/>
      <c r="D14" s="86"/>
      <c r="E14" s="86"/>
      <c r="F14" s="92"/>
      <c r="G14" s="89">
        <f>G12*G13</f>
        <v>-22227.719999999998</v>
      </c>
      <c r="H14" s="159">
        <v>23500000</v>
      </c>
      <c r="I14" s="159">
        <f>+H14-G14</f>
        <v>23522227.719999999</v>
      </c>
    </row>
    <row r="15" spans="1:11" s="60" customFormat="1" ht="14.5">
      <c r="H15" s="162">
        <v>34483203</v>
      </c>
      <c r="I15" s="162">
        <f>SUM(I12:I14)</f>
        <v>34544426.149999999</v>
      </c>
    </row>
    <row r="16" spans="1:11" s="60" customFormat="1" ht="14.5">
      <c r="A16" s="61" t="s">
        <v>115</v>
      </c>
      <c r="H16" s="162"/>
      <c r="I16" s="162"/>
      <c r="J16" s="62"/>
    </row>
    <row r="17" spans="1:14" s="60" customFormat="1" ht="23.25" customHeight="1">
      <c r="A17" s="63" t="s">
        <v>92</v>
      </c>
      <c r="B17" s="64"/>
      <c r="C17" s="64"/>
      <c r="D17" s="65">
        <f>'[6]Washington Electric'!E122</f>
        <v>37300870</v>
      </c>
      <c r="E17" s="66"/>
      <c r="H17" s="162">
        <v>71393203</v>
      </c>
      <c r="I17" s="153">
        <f>+H17-G17</f>
        <v>71393203</v>
      </c>
      <c r="J17" s="62"/>
    </row>
    <row r="18" spans="1:14" s="60" customFormat="1" ht="15" thickBot="1">
      <c r="A18" s="46" t="s">
        <v>116</v>
      </c>
      <c r="B18" s="42"/>
      <c r="C18" s="67"/>
      <c r="D18" s="68">
        <f>D17+D21+D25+D29+D33</f>
        <v>37300870</v>
      </c>
      <c r="E18" s="54"/>
      <c r="G18" s="69"/>
      <c r="H18" s="128">
        <v>0.57130000000000003</v>
      </c>
      <c r="I18" s="253">
        <v>0.57130000000000003</v>
      </c>
      <c r="J18" s="69"/>
    </row>
    <row r="19" spans="1:14" ht="15" thickBot="1">
      <c r="A19" s="42" t="s">
        <v>95</v>
      </c>
      <c r="D19" s="54"/>
      <c r="E19" s="70">
        <f>ROUND(D17/D18,6)</f>
        <v>1</v>
      </c>
      <c r="G19" s="93">
        <f>G14*E19</f>
        <v>-22227.719999999998</v>
      </c>
      <c r="H19" s="129">
        <v>40786937</v>
      </c>
      <c r="I19" s="254">
        <v>2293742</v>
      </c>
    </row>
    <row r="20" spans="1:14">
      <c r="D20" s="54"/>
      <c r="E20" s="54"/>
      <c r="L20" s="60"/>
      <c r="M20" s="60"/>
      <c r="N20" s="60"/>
    </row>
    <row r="21" spans="1:14" s="60" customFormat="1" ht="14.5">
      <c r="A21"/>
      <c r="B21"/>
      <c r="C21"/>
      <c r="D21"/>
      <c r="E21"/>
      <c r="F21"/>
      <c r="G21"/>
      <c r="L21" s="42"/>
      <c r="M21" s="42"/>
      <c r="N21" s="42"/>
    </row>
    <row r="22" spans="1:14" s="60" customFormat="1" ht="14.5">
      <c r="A22" s="187"/>
      <c r="B22" s="187"/>
      <c r="C22" s="187"/>
      <c r="D22" s="189"/>
      <c r="G22" s="35"/>
    </row>
    <row r="23" spans="1:14" ht="15" thickBot="1">
      <c r="A23" s="189"/>
      <c r="B23" s="189"/>
      <c r="C23" s="189"/>
      <c r="D23" s="255"/>
      <c r="E23" s="60"/>
      <c r="F23" s="60"/>
      <c r="G23" s="35"/>
      <c r="H23" s="71" t="e">
        <f>#REF!*H5</f>
        <v>#REF!</v>
      </c>
      <c r="I23" s="71" t="e">
        <f>G23+H23</f>
        <v>#REF!</v>
      </c>
    </row>
    <row r="24" spans="1:14" ht="15" thickTop="1">
      <c r="A24" s="190"/>
      <c r="B24" s="190"/>
      <c r="C24" s="190"/>
      <c r="D24" s="154"/>
      <c r="E24" s="60"/>
      <c r="F24" s="60"/>
      <c r="G24" s="35"/>
      <c r="L24" s="60"/>
      <c r="M24" s="60"/>
      <c r="N24" s="60"/>
    </row>
    <row r="25" spans="1:14" s="60" customFormat="1" ht="14.5">
      <c r="A25" s="190"/>
      <c r="B25" s="256"/>
      <c r="C25" s="257"/>
      <c r="D25" s="154"/>
      <c r="G25" s="35"/>
      <c r="L25" s="42"/>
      <c r="M25" s="42"/>
      <c r="N25" s="42"/>
    </row>
    <row r="26" spans="1:14" s="60" customFormat="1" ht="15" thickBot="1">
      <c r="A26" s="190"/>
      <c r="B26" s="256"/>
      <c r="C26" s="257"/>
      <c r="D26" s="154"/>
      <c r="G26" s="35"/>
    </row>
    <row r="27" spans="1:14" ht="15" thickBot="1">
      <c r="A27" s="190"/>
      <c r="B27" s="256"/>
      <c r="C27" s="257"/>
      <c r="D27" s="154"/>
      <c r="E27" s="60"/>
      <c r="F27" s="60"/>
      <c r="G27" s="35"/>
      <c r="H27" s="94" t="e">
        <f>#REF!*H9</f>
        <v>#REF!</v>
      </c>
      <c r="I27" s="94" t="e">
        <f>G27+H27</f>
        <v>#REF!</v>
      </c>
    </row>
    <row r="28" spans="1:14" ht="14.5">
      <c r="A28" s="191"/>
      <c r="B28" s="256"/>
      <c r="C28" s="189"/>
      <c r="D28" s="192"/>
      <c r="E28" s="60"/>
      <c r="F28" s="60"/>
      <c r="G28" s="35"/>
      <c r="L28" s="60"/>
      <c r="M28" s="60"/>
      <c r="N28" s="60"/>
    </row>
    <row r="29" spans="1:14" s="60" customFormat="1" ht="14.5">
      <c r="A29" s="127"/>
      <c r="B29" s="127"/>
      <c r="C29" s="258"/>
      <c r="D29" s="127"/>
      <c r="G29" s="35"/>
      <c r="L29" s="42"/>
      <c r="M29" s="42"/>
      <c r="N29" s="42"/>
    </row>
    <row r="30" spans="1:14" s="60" customFormat="1" ht="14.5">
      <c r="A30" s="190"/>
      <c r="B30" s="256"/>
      <c r="C30" s="257"/>
      <c r="D30" s="154"/>
      <c r="G30" s="35"/>
    </row>
    <row r="31" spans="1:14" ht="15" thickBot="1">
      <c r="A31" s="190"/>
      <c r="B31" s="256"/>
      <c r="C31" s="257"/>
      <c r="D31" s="154"/>
      <c r="E31" s="60"/>
      <c r="F31" s="60"/>
      <c r="G31" s="35"/>
      <c r="H31" s="71" t="e">
        <f>#REF!*H13</f>
        <v>#REF!</v>
      </c>
      <c r="I31" s="71" t="e">
        <f>G31+H31</f>
        <v>#REF!</v>
      </c>
    </row>
    <row r="32" spans="1:14" s="60" customFormat="1" ht="15" thickTop="1">
      <c r="A32" s="190"/>
      <c r="B32" s="256"/>
      <c r="C32" s="257"/>
      <c r="D32" s="154"/>
      <c r="G32" s="35"/>
    </row>
    <row r="33" spans="1:12" ht="14.5">
      <c r="A33" s="191"/>
      <c r="B33" s="256"/>
      <c r="C33" s="189"/>
      <c r="D33" s="192"/>
      <c r="E33" s="60"/>
      <c r="F33" s="60"/>
      <c r="G33" s="35"/>
    </row>
    <row r="34" spans="1:12" ht="14.5">
      <c r="A34" s="191"/>
      <c r="B34" s="191"/>
      <c r="C34" s="191"/>
      <c r="D34" s="192"/>
      <c r="E34" s="60"/>
      <c r="F34" s="60"/>
      <c r="G34" s="35"/>
    </row>
    <row r="35" spans="1:12" ht="15" thickBot="1">
      <c r="A35" s="191"/>
      <c r="B35" s="191"/>
      <c r="C35" s="191"/>
      <c r="D35" s="192"/>
      <c r="E35" s="60"/>
      <c r="F35" s="60"/>
      <c r="G35" s="195"/>
      <c r="H35" s="71" t="e">
        <f>#REF!*H17</f>
        <v>#REF!</v>
      </c>
      <c r="I35" s="71" t="e">
        <f>G35+H35</f>
        <v>#REF!</v>
      </c>
      <c r="L35" s="95"/>
    </row>
    <row r="36" spans="1:12" ht="15" thickTop="1">
      <c r="A36" s="127"/>
      <c r="B36" s="256"/>
      <c r="C36" s="127"/>
      <c r="D36" s="194"/>
      <c r="E36" s="60"/>
      <c r="F36" s="60"/>
      <c r="G36" s="35"/>
    </row>
    <row r="37" spans="1:12" ht="14.5">
      <c r="A37" s="127"/>
      <c r="B37" s="127"/>
      <c r="C37" s="127"/>
      <c r="D37" s="129"/>
      <c r="E37" s="60"/>
      <c r="F37" s="60"/>
      <c r="G37" s="35"/>
      <c r="H37" s="78" t="e">
        <f>#REF!+H23+H27+H31+H35</f>
        <v>#REF!</v>
      </c>
      <c r="I37" s="78" t="e">
        <f>#REF!+I23+I27+I31+I35</f>
        <v>#REF!</v>
      </c>
    </row>
    <row r="38" spans="1:12">
      <c r="D38" s="54"/>
      <c r="E38" s="349"/>
      <c r="F38" s="349"/>
      <c r="G38" s="79"/>
      <c r="H38" s="79"/>
      <c r="I38" s="79"/>
    </row>
    <row r="39" spans="1:12">
      <c r="D39" s="54"/>
      <c r="E39" s="96"/>
      <c r="F39" s="96"/>
      <c r="G39" s="79"/>
      <c r="H39" s="79"/>
      <c r="I39" s="79"/>
    </row>
    <row r="40" spans="1:12">
      <c r="D40" s="54"/>
      <c r="E40" s="96"/>
      <c r="F40" s="96"/>
      <c r="G40" s="79"/>
      <c r="H40" s="79"/>
      <c r="I40" s="79"/>
    </row>
    <row r="41" spans="1:12">
      <c r="D41" s="54"/>
      <c r="E41" s="96"/>
      <c r="F41" s="96"/>
      <c r="G41" s="79"/>
      <c r="H41" s="79"/>
      <c r="I41" s="79"/>
    </row>
    <row r="42" spans="1:12">
      <c r="D42" s="54"/>
      <c r="E42" s="96"/>
      <c r="F42" s="96"/>
      <c r="G42" s="79"/>
      <c r="H42" s="79"/>
      <c r="I42" s="79"/>
    </row>
    <row r="43" spans="1:12">
      <c r="A43" s="80" t="s">
        <v>102</v>
      </c>
      <c r="B43" s="42" t="s">
        <v>86</v>
      </c>
      <c r="F43" s="44"/>
      <c r="G43" s="97" t="s">
        <v>117</v>
      </c>
      <c r="H43" s="42" t="s">
        <v>118</v>
      </c>
      <c r="I43" s="42" t="s">
        <v>119</v>
      </c>
    </row>
    <row r="44" spans="1:12" ht="28.5" customHeight="1">
      <c r="A44" s="81" t="s">
        <v>86</v>
      </c>
      <c r="B44" s="98" t="s">
        <v>82</v>
      </c>
      <c r="C44" s="44" t="s">
        <v>120</v>
      </c>
      <c r="D44" s="350" t="s">
        <v>121</v>
      </c>
      <c r="E44" s="350"/>
      <c r="F44" s="96" t="s">
        <v>122</v>
      </c>
      <c r="G44" s="99">
        <f>21011200</f>
        <v>21011200</v>
      </c>
      <c r="H44" s="100">
        <v>20464000</v>
      </c>
      <c r="I44" s="100">
        <f>(H44-G44)/2</f>
        <v>-273600</v>
      </c>
    </row>
    <row r="45" spans="1:12" ht="16.5" customHeight="1">
      <c r="A45" s="81"/>
      <c r="B45" s="81" t="s">
        <v>123</v>
      </c>
      <c r="C45" s="96">
        <v>926230</v>
      </c>
      <c r="D45" s="101" t="s">
        <v>124</v>
      </c>
      <c r="E45" s="102"/>
      <c r="F45" s="96">
        <v>2016</v>
      </c>
      <c r="G45" s="103">
        <v>220000</v>
      </c>
      <c r="H45" s="103">
        <v>220001</v>
      </c>
      <c r="I45" s="103">
        <v>0</v>
      </c>
    </row>
    <row r="46" spans="1:12">
      <c r="A46" s="81"/>
      <c r="B46" s="81"/>
      <c r="C46" s="96">
        <v>926230</v>
      </c>
      <c r="D46" s="102"/>
      <c r="E46" s="102"/>
      <c r="F46" s="96">
        <v>2016</v>
      </c>
      <c r="G46" s="104">
        <f>SUM(G44:G45)</f>
        <v>21231200</v>
      </c>
      <c r="H46" s="104">
        <f>SUM(H44:H45)</f>
        <v>20684001</v>
      </c>
      <c r="I46" s="104">
        <f>SUM(I44:I45)</f>
        <v>-273600</v>
      </c>
    </row>
    <row r="47" spans="1:12" ht="26">
      <c r="A47" s="81"/>
      <c r="B47" s="81"/>
      <c r="C47" s="96"/>
      <c r="D47" s="101" t="s">
        <v>125</v>
      </c>
      <c r="E47" s="102"/>
      <c r="F47" s="96" t="s">
        <v>122</v>
      </c>
      <c r="G47" s="103">
        <f>7474000</f>
        <v>7474000</v>
      </c>
      <c r="H47" s="105">
        <v>7943208</v>
      </c>
      <c r="I47" s="105">
        <f>(H47-G47)/2</f>
        <v>234604</v>
      </c>
    </row>
    <row r="48" spans="1:12">
      <c r="A48" s="81"/>
      <c r="B48" s="81"/>
      <c r="C48" s="96"/>
      <c r="D48" s="102" t="s">
        <v>126</v>
      </c>
      <c r="E48" s="102"/>
      <c r="F48" s="96">
        <v>2016</v>
      </c>
      <c r="G48" s="104">
        <f>G46+G47</f>
        <v>28705200</v>
      </c>
      <c r="H48" s="104">
        <f>H46+H47</f>
        <v>28627209</v>
      </c>
      <c r="I48" s="104">
        <f>I46+I47</f>
        <v>-38996</v>
      </c>
    </row>
    <row r="49" spans="1:9" ht="17.25" customHeight="1">
      <c r="A49" s="81"/>
      <c r="B49" s="81"/>
      <c r="C49" s="96"/>
      <c r="D49" s="96"/>
      <c r="E49" s="96"/>
      <c r="F49" s="96"/>
      <c r="G49" s="106"/>
      <c r="H49" s="106"/>
      <c r="I49" s="106"/>
    </row>
    <row r="50" spans="1:9">
      <c r="B50" s="42" t="s">
        <v>105</v>
      </c>
      <c r="C50" s="96"/>
      <c r="D50" s="42" t="s">
        <v>107</v>
      </c>
      <c r="F50" s="44"/>
    </row>
    <row r="51" spans="1:9" ht="21.75" customHeight="1">
      <c r="B51" s="42" t="s">
        <v>127</v>
      </c>
      <c r="C51" s="44">
        <v>926220</v>
      </c>
      <c r="D51" s="42" t="s">
        <v>108</v>
      </c>
      <c r="F51" s="44">
        <v>2015</v>
      </c>
      <c r="G51" s="99">
        <f>G61</f>
        <v>21820000</v>
      </c>
      <c r="H51" s="99">
        <f>H61</f>
        <v>21820000</v>
      </c>
      <c r="I51" s="99">
        <v>0</v>
      </c>
    </row>
    <row r="52" spans="1:9">
      <c r="C52" s="44">
        <v>926220</v>
      </c>
      <c r="D52" s="42" t="s">
        <v>109</v>
      </c>
      <c r="F52" s="44">
        <v>2015</v>
      </c>
      <c r="G52" s="83">
        <v>507000</v>
      </c>
      <c r="H52" s="83">
        <v>507000</v>
      </c>
      <c r="I52" s="83">
        <v>0</v>
      </c>
    </row>
    <row r="53" spans="1:9" ht="26">
      <c r="C53" s="44">
        <v>926240</v>
      </c>
      <c r="D53" s="42" t="s">
        <v>8</v>
      </c>
      <c r="F53" s="96" t="s">
        <v>122</v>
      </c>
      <c r="G53" s="107">
        <v>8798000</v>
      </c>
      <c r="H53" s="107">
        <v>8458800</v>
      </c>
      <c r="I53" s="107">
        <f>(H53-G53)/2</f>
        <v>-169600</v>
      </c>
    </row>
    <row r="54" spans="1:9">
      <c r="C54" s="44">
        <v>926240</v>
      </c>
      <c r="D54" s="42" t="s">
        <v>124</v>
      </c>
      <c r="F54" s="44">
        <v>2016</v>
      </c>
      <c r="G54" s="84">
        <v>91000</v>
      </c>
      <c r="H54" s="84">
        <v>91000</v>
      </c>
      <c r="I54" s="84">
        <v>0</v>
      </c>
    </row>
    <row r="55" spans="1:9">
      <c r="F55" s="44"/>
      <c r="G55" s="83">
        <f>SUM(G51:G54)</f>
        <v>31216000</v>
      </c>
      <c r="H55" s="83">
        <f>SUM(H51:H54)</f>
        <v>30876800</v>
      </c>
      <c r="I55" s="83">
        <f>SUM(I51:I54)</f>
        <v>-169600</v>
      </c>
    </row>
    <row r="56" spans="1:9" ht="27" customHeight="1">
      <c r="F56" s="44"/>
    </row>
    <row r="57" spans="1:9">
      <c r="F57" s="44"/>
    </row>
    <row r="58" spans="1:9">
      <c r="B58" s="42" t="s">
        <v>83</v>
      </c>
      <c r="D58" s="42" t="s">
        <v>128</v>
      </c>
      <c r="F58" s="44"/>
      <c r="G58" s="83">
        <v>23600000</v>
      </c>
      <c r="H58" s="83">
        <v>23600000</v>
      </c>
      <c r="I58" s="83">
        <v>0</v>
      </c>
    </row>
    <row r="59" spans="1:9">
      <c r="D59" s="42" t="s">
        <v>129</v>
      </c>
      <c r="F59" s="44"/>
      <c r="G59" s="83">
        <v>-2000000</v>
      </c>
      <c r="H59" s="83">
        <v>-2000000</v>
      </c>
      <c r="I59" s="83">
        <v>0</v>
      </c>
    </row>
    <row r="60" spans="1:9">
      <c r="D60" s="42" t="s">
        <v>130</v>
      </c>
      <c r="F60" s="44"/>
      <c r="G60" s="84">
        <v>220000</v>
      </c>
      <c r="H60" s="84">
        <v>220000</v>
      </c>
      <c r="I60" s="84">
        <v>0</v>
      </c>
    </row>
    <row r="61" spans="1:9">
      <c r="D61" s="42" t="s">
        <v>126</v>
      </c>
      <c r="F61" s="44"/>
      <c r="G61" s="83">
        <f>SUM(G58:G60)</f>
        <v>21820000</v>
      </c>
      <c r="H61" s="83">
        <f>SUM(H58:H60)</f>
        <v>21820000</v>
      </c>
      <c r="I61" s="83">
        <f>SUM(I58:I60)</f>
        <v>0</v>
      </c>
    </row>
    <row r="62" spans="1:9">
      <c r="G62" s="83"/>
    </row>
  </sheetData>
  <mergeCells count="2">
    <mergeCell ref="E38:F38"/>
    <mergeCell ref="D44:E44"/>
  </mergeCells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3453CC-D1FB-4E8F-B478-F7A4BBE55F3D}">
  <ds:schemaRefs>
    <ds:schemaRef ds:uri="http://www.w3.org/XML/1998/namespace"/>
    <ds:schemaRef ds:uri="http://purl.org/dc/terms/"/>
    <ds:schemaRef ds:uri="24f70c62-691b-492e-ba59-9d389529a97e"/>
    <ds:schemaRef ds:uri="http://schemas.microsoft.com/sharepoint/v3/field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0689114-bdb9-4146-803a-240f5368dce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81253CC-3750-4530-80D7-5FAA7ABF2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2D888-FFAF-4160-ACFC-0AB2F9DC5FF9}"/>
</file>

<file path=customXml/itemProps4.xml><?xml version="1.0" encoding="utf-8"?>
<ds:datastoreItem xmlns:ds="http://schemas.openxmlformats.org/officeDocument/2006/customXml" ds:itemID="{122396EE-98B7-4960-8FD6-52C1E5EAB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Lead Sheet Ele</vt:lpstr>
      <vt:lpstr>Lead Sheet Gas</vt:lpstr>
      <vt:lpstr>Medical</vt:lpstr>
      <vt:lpstr>5-Y historical data </vt:lpstr>
      <vt:lpstr>UE-190034</vt:lpstr>
      <vt:lpstr>UE-170485 Pension and Medical</vt:lpstr>
      <vt:lpstr>Sheet1</vt:lpstr>
      <vt:lpstr>UE-160228 Retirement</vt:lpstr>
      <vt:lpstr>UE-150204 Pension &amp; Medical</vt:lpstr>
      <vt:lpstr>UE-140188 Pension &amp; Medical</vt:lpstr>
      <vt:lpstr>'5-Y historical data '!Print_Area</vt:lpstr>
      <vt:lpstr>'Lead Sheet Ele'!Print_Area</vt:lpstr>
      <vt:lpstr>'Lead Sheet Gas'!Print_Area</vt:lpstr>
      <vt:lpstr>Medical!Print_Area</vt:lpstr>
      <vt:lpstr>'UE-140188 Pension &amp; Medical'!Print_Area</vt:lpstr>
      <vt:lpstr>'UE-150204 Pension &amp; Medical'!Print_Area</vt:lpstr>
      <vt:lpstr>'UE-140188 Pension &amp; Medical'!Print_Titles</vt:lpstr>
      <vt:lpstr>'UE-150204 Pension &amp; Medical'!Print_Titles</vt:lpstr>
      <vt:lpstr>'UE-160228 Retirement'!Print_Titles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dc:description/>
  <cp:lastModifiedBy>Huang, Joanna (UTC)</cp:lastModifiedBy>
  <cp:lastPrinted>2021-04-15T19:21:56Z</cp:lastPrinted>
  <dcterms:created xsi:type="dcterms:W3CDTF">2019-08-28T17:37:08Z</dcterms:created>
  <dcterms:modified xsi:type="dcterms:W3CDTF">2021-04-15T19:22:10Z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