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2016\2016_WA_Elec_and_Gas_GRC\Direct Testimony &amp; Exhibits\Johnson\"/>
    </mc:Choice>
  </mc:AlternateContent>
  <bookViews>
    <workbookView xWindow="-15" yWindow="-15" windowWidth="9690" windowHeight="7290" tabRatio="731"/>
  </bookViews>
  <sheets>
    <sheet name="WGJ-2" sheetId="1" r:id="rId1"/>
    <sheet name="WGJ-4" sheetId="16" r:id="rId2"/>
    <sheet name="WGJ-5" sheetId="19" r:id="rId3"/>
    <sheet name="Index" sheetId="17" r:id="rId4"/>
    <sheet name="Aurora" sheetId="18" r:id="rId5"/>
  </sheets>
  <definedNames>
    <definedName name="_xlnm.Print_Area" localSheetId="3">Index!$A$23:$O$59</definedName>
    <definedName name="_xlnm.Print_Area" localSheetId="0">'WGJ-2'!$A$1:$J$116</definedName>
    <definedName name="_xlnm.Print_Area" localSheetId="1">'WGJ-4'!$A$1:$O$57</definedName>
    <definedName name="_xlnm.Print_Area" localSheetId="2">'WGJ-5'!$A$1:$N$44</definedName>
    <definedName name="_xlnm.Print_Titles" localSheetId="0">'WGJ-2'!$1:$7</definedName>
  </definedNames>
  <calcPr calcId="152511"/>
</workbook>
</file>

<file path=xl/calcChain.xml><?xml version="1.0" encoding="utf-8"?>
<calcChain xmlns="http://schemas.openxmlformats.org/spreadsheetml/2006/main">
  <c r="A43" i="19" l="1"/>
  <c r="E34" i="1" l="1"/>
  <c r="E94" i="1"/>
  <c r="E95" i="1"/>
  <c r="E93" i="1"/>
  <c r="E32" i="1"/>
  <c r="E33" i="1"/>
  <c r="E35" i="1"/>
  <c r="L72" i="1"/>
  <c r="M72" i="1"/>
  <c r="N72" i="1"/>
  <c r="O72" i="1"/>
  <c r="P72" i="1"/>
  <c r="K72" i="1"/>
  <c r="K53" i="1"/>
  <c r="L53" i="1"/>
  <c r="M53" i="1"/>
  <c r="N53" i="1"/>
  <c r="O53" i="1"/>
  <c r="P53" i="1"/>
  <c r="K48" i="1"/>
  <c r="L48" i="1"/>
  <c r="M48" i="1"/>
  <c r="N48" i="1"/>
  <c r="O48" i="1"/>
  <c r="P48" i="1"/>
  <c r="K50" i="1"/>
  <c r="L50" i="1"/>
  <c r="M50" i="1"/>
  <c r="N50" i="1"/>
  <c r="O50" i="1"/>
  <c r="P50" i="1"/>
  <c r="K41" i="1"/>
  <c r="L41" i="1"/>
  <c r="M41" i="1"/>
  <c r="N41" i="1"/>
  <c r="O41" i="1"/>
  <c r="P41" i="1"/>
  <c r="K43" i="1"/>
  <c r="L43" i="1"/>
  <c r="M43" i="1"/>
  <c r="N43" i="1"/>
  <c r="O43" i="1"/>
  <c r="P43" i="1"/>
  <c r="L28" i="1"/>
  <c r="M28" i="1"/>
  <c r="N28" i="1"/>
  <c r="O28" i="1"/>
  <c r="P28" i="1"/>
  <c r="K28" i="1"/>
  <c r="J88" i="1" l="1"/>
  <c r="E88" i="1" s="1"/>
  <c r="Q70" i="1"/>
  <c r="R70" i="1"/>
  <c r="S70" i="1"/>
  <c r="T70" i="1"/>
  <c r="U70" i="1"/>
  <c r="V70" i="1"/>
  <c r="Q64" i="1"/>
  <c r="R64" i="1"/>
  <c r="S64" i="1"/>
  <c r="T64" i="1"/>
  <c r="U64" i="1"/>
  <c r="V64" i="1"/>
  <c r="Q51" i="1"/>
  <c r="R51" i="1"/>
  <c r="S51" i="1"/>
  <c r="T51" i="1"/>
  <c r="U51" i="1"/>
  <c r="V51" i="1"/>
  <c r="Q53" i="1" l="1"/>
  <c r="R53" i="1"/>
  <c r="S53" i="1"/>
  <c r="T53" i="1"/>
  <c r="U53" i="1"/>
  <c r="V53" i="1"/>
  <c r="Q31" i="1" l="1"/>
  <c r="R31" i="1"/>
  <c r="S31" i="1"/>
  <c r="T31" i="1"/>
  <c r="U31" i="1"/>
  <c r="V31" i="1"/>
  <c r="E19" i="17" l="1"/>
  <c r="F19" i="17"/>
  <c r="G19" i="17"/>
  <c r="H19" i="17"/>
  <c r="I19" i="17"/>
  <c r="J19" i="17"/>
  <c r="K19" i="17"/>
  <c r="L19" i="17"/>
  <c r="M19" i="17"/>
  <c r="N19" i="17"/>
  <c r="O19" i="17"/>
  <c r="D19" i="17"/>
  <c r="D64" i="1" l="1"/>
  <c r="D10" i="1" l="1"/>
  <c r="Q99" i="1" l="1"/>
  <c r="R99" i="1"/>
  <c r="S99" i="1"/>
  <c r="T99" i="1"/>
  <c r="U99" i="1"/>
  <c r="V99" i="1"/>
  <c r="Q75" i="1"/>
  <c r="R75" i="1"/>
  <c r="S75" i="1"/>
  <c r="T75" i="1"/>
  <c r="U75" i="1"/>
  <c r="V75" i="1"/>
  <c r="J75" i="1" l="1"/>
  <c r="J99" i="1"/>
  <c r="C19" i="17"/>
  <c r="E20" i="17"/>
  <c r="E21" i="17" s="1"/>
  <c r="F20" i="17"/>
  <c r="F21" i="17" s="1"/>
  <c r="G20" i="17"/>
  <c r="G21" i="17" s="1"/>
  <c r="H20" i="17"/>
  <c r="H21" i="17" s="1"/>
  <c r="I20" i="17"/>
  <c r="I21" i="17" s="1"/>
  <c r="J20" i="17"/>
  <c r="J21" i="17" s="1"/>
  <c r="Q87" i="1" s="1"/>
  <c r="K20" i="17"/>
  <c r="K21" i="17" s="1"/>
  <c r="R87" i="1" s="1"/>
  <c r="L20" i="17"/>
  <c r="L21" i="17" s="1"/>
  <c r="S87" i="1" s="1"/>
  <c r="M20" i="17"/>
  <c r="M21" i="17" s="1"/>
  <c r="T87" i="1" s="1"/>
  <c r="N20" i="17"/>
  <c r="N21" i="17" s="1"/>
  <c r="U87" i="1" s="1"/>
  <c r="O20" i="17"/>
  <c r="O21" i="17" s="1"/>
  <c r="V87" i="1" s="1"/>
  <c r="D20" i="17"/>
  <c r="D21" i="17" s="1"/>
  <c r="C11" i="17"/>
  <c r="C21" i="17" l="1"/>
  <c r="F87" i="1" s="1"/>
  <c r="Q37" i="1" l="1"/>
  <c r="R37" i="1"/>
  <c r="S37" i="1"/>
  <c r="T37" i="1"/>
  <c r="U37" i="1"/>
  <c r="V37" i="1"/>
  <c r="J37" i="1" l="1"/>
  <c r="Q69" i="1" l="1"/>
  <c r="R69" i="1"/>
  <c r="S69" i="1"/>
  <c r="T69" i="1"/>
  <c r="U69" i="1"/>
  <c r="V69" i="1"/>
  <c r="Q63" i="1" l="1"/>
  <c r="R63" i="1"/>
  <c r="S63" i="1"/>
  <c r="T63" i="1"/>
  <c r="U63" i="1"/>
  <c r="V63" i="1"/>
  <c r="Q50" i="1" l="1"/>
  <c r="R50" i="1"/>
  <c r="S50" i="1"/>
  <c r="T50" i="1"/>
  <c r="U50" i="1"/>
  <c r="V50" i="1"/>
  <c r="Q41" i="1"/>
  <c r="R41" i="1"/>
  <c r="S41" i="1"/>
  <c r="T41" i="1"/>
  <c r="U41" i="1"/>
  <c r="V41" i="1"/>
  <c r="J24" i="1"/>
  <c r="E24" i="1" s="1"/>
  <c r="J25" i="1"/>
  <c r="E25" i="1" s="1"/>
  <c r="J26" i="1"/>
  <c r="E26" i="1" s="1"/>
  <c r="J27" i="1"/>
  <c r="E27" i="1" s="1"/>
  <c r="E26" i="17" l="1"/>
  <c r="F26" i="17"/>
  <c r="G26" i="17"/>
  <c r="H26" i="17"/>
  <c r="I26" i="17"/>
  <c r="J26" i="17"/>
  <c r="K26" i="17"/>
  <c r="L26" i="17"/>
  <c r="M26" i="17"/>
  <c r="N26" i="17"/>
  <c r="O26" i="17"/>
  <c r="D26" i="17"/>
  <c r="C10" i="17"/>
  <c r="E15" i="17" l="1"/>
  <c r="E16" i="17" s="1"/>
  <c r="F15" i="17"/>
  <c r="F16" i="17" s="1"/>
  <c r="G15" i="17"/>
  <c r="G16" i="17" s="1"/>
  <c r="M15" i="17"/>
  <c r="M16" i="17" s="1"/>
  <c r="N15" i="17"/>
  <c r="N16" i="17" s="1"/>
  <c r="E33" i="17" l="1"/>
  <c r="E56" i="17" s="1"/>
  <c r="F33" i="17"/>
  <c r="F56" i="17" s="1"/>
  <c r="G33" i="17"/>
  <c r="G56" i="17" s="1"/>
  <c r="H33" i="17"/>
  <c r="H56" i="17" s="1"/>
  <c r="I33" i="17"/>
  <c r="I56" i="17" s="1"/>
  <c r="J33" i="17"/>
  <c r="J56" i="17" s="1"/>
  <c r="K33" i="17"/>
  <c r="K56" i="17" s="1"/>
  <c r="L33" i="17"/>
  <c r="L56" i="17" s="1"/>
  <c r="M33" i="17"/>
  <c r="M56" i="17" s="1"/>
  <c r="N33" i="17"/>
  <c r="N56" i="17" s="1"/>
  <c r="O33" i="17"/>
  <c r="O56" i="17" s="1"/>
  <c r="D33" i="17"/>
  <c r="D56" i="17" s="1"/>
  <c r="E24" i="17" l="1"/>
  <c r="F24" i="17"/>
  <c r="G24" i="17"/>
  <c r="H24" i="17"/>
  <c r="I24" i="17"/>
  <c r="J24" i="17"/>
  <c r="K24" i="17"/>
  <c r="L24" i="17"/>
  <c r="M24" i="17"/>
  <c r="N24" i="17"/>
  <c r="O24" i="17"/>
  <c r="D24" i="17"/>
  <c r="D34" i="19"/>
  <c r="E34" i="19"/>
  <c r="F34" i="19"/>
  <c r="G34" i="19"/>
  <c r="H34" i="19"/>
  <c r="I34" i="19"/>
  <c r="J34" i="19"/>
  <c r="K34" i="19"/>
  <c r="L34" i="19"/>
  <c r="M34" i="19"/>
  <c r="N34" i="19"/>
  <c r="C34" i="19"/>
  <c r="D24" i="19" l="1"/>
  <c r="E24" i="19"/>
  <c r="F24" i="19"/>
  <c r="G24" i="19"/>
  <c r="H24" i="19"/>
  <c r="I24" i="19"/>
  <c r="J24" i="19"/>
  <c r="K24" i="19"/>
  <c r="L24" i="19"/>
  <c r="M24" i="19"/>
  <c r="N24" i="19"/>
  <c r="C24" i="19"/>
  <c r="J12" i="1" l="1"/>
  <c r="E12" i="1" s="1"/>
  <c r="J51" i="1" l="1"/>
  <c r="E51" i="1" s="1"/>
  <c r="J14" i="1"/>
  <c r="E14" i="1" s="1"/>
  <c r="B24" i="19"/>
  <c r="J82" i="1"/>
  <c r="E82" i="1" s="1"/>
  <c r="A9" i="1"/>
  <c r="A10" i="1" s="1"/>
  <c r="A11" i="1" s="1"/>
  <c r="A12" i="1" s="1"/>
  <c r="D33" i="16"/>
  <c r="E33" i="16"/>
  <c r="F33" i="16"/>
  <c r="G33" i="16"/>
  <c r="H33" i="16"/>
  <c r="I33" i="16"/>
  <c r="J33" i="16"/>
  <c r="Q18" i="1" s="1"/>
  <c r="K33" i="16"/>
  <c r="R18" i="1" s="1"/>
  <c r="L33" i="16"/>
  <c r="S18" i="1" s="1"/>
  <c r="M33" i="16"/>
  <c r="T18" i="1" s="1"/>
  <c r="N33" i="16"/>
  <c r="U18" i="1" s="1"/>
  <c r="O33" i="16"/>
  <c r="V18" i="1" s="1"/>
  <c r="D90" i="1"/>
  <c r="E36" i="17"/>
  <c r="D6" i="17"/>
  <c r="D15" i="17" s="1"/>
  <c r="D16" i="17" s="1"/>
  <c r="H6" i="17"/>
  <c r="H15" i="17" s="1"/>
  <c r="I6" i="17"/>
  <c r="I15" i="17" s="1"/>
  <c r="I16" i="17" s="1"/>
  <c r="J6" i="17"/>
  <c r="J15" i="17" s="1"/>
  <c r="K6" i="17"/>
  <c r="K15" i="17" s="1"/>
  <c r="K16" i="17" s="1"/>
  <c r="R84" i="1" s="1"/>
  <c r="L6" i="17"/>
  <c r="L15" i="17" s="1"/>
  <c r="O6" i="17"/>
  <c r="O15" i="17" s="1"/>
  <c r="O16" i="17" s="1"/>
  <c r="V84" i="1" s="1"/>
  <c r="E48" i="17"/>
  <c r="F36" i="17"/>
  <c r="G36" i="17"/>
  <c r="H36" i="17"/>
  <c r="I36" i="17"/>
  <c r="J36" i="17"/>
  <c r="K36" i="17"/>
  <c r="L36" i="17"/>
  <c r="M36" i="17"/>
  <c r="N36" i="17"/>
  <c r="O36" i="17"/>
  <c r="D36" i="17"/>
  <c r="E20" i="19"/>
  <c r="F20" i="19"/>
  <c r="G20" i="19"/>
  <c r="H20" i="19"/>
  <c r="Q72" i="1"/>
  <c r="I20" i="19" s="1"/>
  <c r="R72" i="1"/>
  <c r="J20" i="19" s="1"/>
  <c r="S72" i="1"/>
  <c r="K20" i="19" s="1"/>
  <c r="T72" i="1"/>
  <c r="L20" i="19" s="1"/>
  <c r="U72" i="1"/>
  <c r="M20" i="19" s="1"/>
  <c r="V72" i="1"/>
  <c r="N20" i="19" s="1"/>
  <c r="C20" i="19"/>
  <c r="B22" i="19"/>
  <c r="J89" i="1"/>
  <c r="E89" i="1" s="1"/>
  <c r="J81" i="1"/>
  <c r="E81" i="1" s="1"/>
  <c r="J17" i="1"/>
  <c r="E17" i="1" s="1"/>
  <c r="J19" i="1"/>
  <c r="E19" i="1" s="1"/>
  <c r="J11" i="1"/>
  <c r="E11" i="1" s="1"/>
  <c r="E35" i="16"/>
  <c r="L49" i="1" s="1"/>
  <c r="F35" i="16"/>
  <c r="M49" i="1" s="1"/>
  <c r="G35" i="16"/>
  <c r="N49" i="1" s="1"/>
  <c r="H35" i="16"/>
  <c r="O49" i="1" s="1"/>
  <c r="I35" i="16"/>
  <c r="P49" i="1" s="1"/>
  <c r="J35" i="16"/>
  <c r="Q49" i="1" s="1"/>
  <c r="K35" i="16"/>
  <c r="R49" i="1" s="1"/>
  <c r="L35" i="16"/>
  <c r="S49" i="1" s="1"/>
  <c r="M35" i="16"/>
  <c r="T49" i="1" s="1"/>
  <c r="N35" i="16"/>
  <c r="U49" i="1" s="1"/>
  <c r="O35" i="16"/>
  <c r="V49" i="1" s="1"/>
  <c r="D35" i="16"/>
  <c r="K49" i="1" s="1"/>
  <c r="J50" i="1"/>
  <c r="E50" i="1" s="1"/>
  <c r="C29" i="17"/>
  <c r="C28" i="17"/>
  <c r="D23" i="16"/>
  <c r="K42" i="1" s="1"/>
  <c r="D27" i="16"/>
  <c r="K40" i="1" s="1"/>
  <c r="D31" i="16"/>
  <c r="K47" i="1" s="1"/>
  <c r="D39" i="16"/>
  <c r="K56" i="1" s="1"/>
  <c r="D43" i="16"/>
  <c r="K57" i="1" s="1"/>
  <c r="D47" i="16"/>
  <c r="K54" i="1" s="1"/>
  <c r="D51" i="16"/>
  <c r="K55" i="1" s="1"/>
  <c r="E23" i="16"/>
  <c r="L42" i="1" s="1"/>
  <c r="E27" i="16"/>
  <c r="L40" i="1" s="1"/>
  <c r="E31" i="16"/>
  <c r="L47" i="1" s="1"/>
  <c r="E39" i="16"/>
  <c r="L56" i="1" s="1"/>
  <c r="E43" i="16"/>
  <c r="L57" i="1" s="1"/>
  <c r="E47" i="16"/>
  <c r="L54" i="1" s="1"/>
  <c r="E51" i="16"/>
  <c r="L55" i="1" s="1"/>
  <c r="F23" i="16"/>
  <c r="M42" i="1" s="1"/>
  <c r="F27" i="16"/>
  <c r="M40" i="1" s="1"/>
  <c r="F31" i="16"/>
  <c r="M47" i="1" s="1"/>
  <c r="F39" i="16"/>
  <c r="M56" i="1" s="1"/>
  <c r="F43" i="16"/>
  <c r="M57" i="1" s="1"/>
  <c r="F47" i="16"/>
  <c r="M54" i="1" s="1"/>
  <c r="F51" i="16"/>
  <c r="M55" i="1" s="1"/>
  <c r="G23" i="16"/>
  <c r="N42" i="1" s="1"/>
  <c r="G27" i="16"/>
  <c r="N40" i="1" s="1"/>
  <c r="G31" i="16"/>
  <c r="N47" i="1" s="1"/>
  <c r="G39" i="16"/>
  <c r="N56" i="1" s="1"/>
  <c r="G43" i="16"/>
  <c r="N57" i="1" s="1"/>
  <c r="G47" i="16"/>
  <c r="N54" i="1" s="1"/>
  <c r="G51" i="16"/>
  <c r="N55" i="1" s="1"/>
  <c r="H23" i="16"/>
  <c r="O42" i="1" s="1"/>
  <c r="H27" i="16"/>
  <c r="O40" i="1" s="1"/>
  <c r="H31" i="16"/>
  <c r="O47" i="1" s="1"/>
  <c r="H39" i="16"/>
  <c r="O56" i="1" s="1"/>
  <c r="H43" i="16"/>
  <c r="O57" i="1" s="1"/>
  <c r="H47" i="16"/>
  <c r="O54" i="1" s="1"/>
  <c r="H51" i="16"/>
  <c r="O55" i="1" s="1"/>
  <c r="I23" i="16"/>
  <c r="P42" i="1" s="1"/>
  <c r="I27" i="16"/>
  <c r="P40" i="1" s="1"/>
  <c r="I31" i="16"/>
  <c r="P47" i="1" s="1"/>
  <c r="I39" i="16"/>
  <c r="P56" i="1" s="1"/>
  <c r="I43" i="16"/>
  <c r="P57" i="1" s="1"/>
  <c r="I47" i="16"/>
  <c r="P54" i="1" s="1"/>
  <c r="I51" i="16"/>
  <c r="P55" i="1" s="1"/>
  <c r="J23" i="16"/>
  <c r="Q42" i="1" s="1"/>
  <c r="J27" i="16"/>
  <c r="Q40" i="1" s="1"/>
  <c r="J31" i="16"/>
  <c r="Q47" i="1" s="1"/>
  <c r="J39" i="16"/>
  <c r="Q56" i="1" s="1"/>
  <c r="J43" i="16"/>
  <c r="Q57" i="1" s="1"/>
  <c r="J47" i="16"/>
  <c r="Q54" i="1" s="1"/>
  <c r="J51" i="16"/>
  <c r="Q55" i="1" s="1"/>
  <c r="L23" i="16"/>
  <c r="S42" i="1" s="1"/>
  <c r="L27" i="16"/>
  <c r="S40" i="1" s="1"/>
  <c r="L31" i="16"/>
  <c r="L39" i="16"/>
  <c r="S56" i="1" s="1"/>
  <c r="L43" i="16"/>
  <c r="L47" i="16"/>
  <c r="S54" i="1" s="1"/>
  <c r="L51" i="16"/>
  <c r="S55" i="1" s="1"/>
  <c r="M23" i="16"/>
  <c r="T42" i="1" s="1"/>
  <c r="M27" i="16"/>
  <c r="M31" i="16"/>
  <c r="T47" i="1" s="1"/>
  <c r="M39" i="16"/>
  <c r="T56" i="1" s="1"/>
  <c r="M43" i="16"/>
  <c r="T57" i="1" s="1"/>
  <c r="M47" i="16"/>
  <c r="M51" i="16"/>
  <c r="T55" i="1" s="1"/>
  <c r="N23" i="16"/>
  <c r="U42" i="1" s="1"/>
  <c r="N27" i="16"/>
  <c r="U40" i="1" s="1"/>
  <c r="N31" i="16"/>
  <c r="N39" i="16"/>
  <c r="U56" i="1" s="1"/>
  <c r="N43" i="16"/>
  <c r="U57" i="1" s="1"/>
  <c r="N47" i="16"/>
  <c r="U54" i="1" s="1"/>
  <c r="N51" i="16"/>
  <c r="U55" i="1" s="1"/>
  <c r="O23" i="16"/>
  <c r="O27" i="16"/>
  <c r="V40" i="1" s="1"/>
  <c r="O31" i="16"/>
  <c r="V47" i="1" s="1"/>
  <c r="O39" i="16"/>
  <c r="O43" i="16"/>
  <c r="V57" i="1" s="1"/>
  <c r="O47" i="16"/>
  <c r="V54" i="1" s="1"/>
  <c r="O51" i="16"/>
  <c r="V55" i="1" s="1"/>
  <c r="K23" i="16"/>
  <c r="R42" i="1" s="1"/>
  <c r="K27" i="16"/>
  <c r="R40" i="1" s="1"/>
  <c r="K31" i="16"/>
  <c r="K39" i="16"/>
  <c r="R56" i="1" s="1"/>
  <c r="K43" i="16"/>
  <c r="K47" i="16"/>
  <c r="R54" i="1" s="1"/>
  <c r="K51" i="16"/>
  <c r="E44" i="17"/>
  <c r="C44" i="17" s="1"/>
  <c r="F44" i="17"/>
  <c r="G44" i="17"/>
  <c r="H44" i="17"/>
  <c r="I44" i="17"/>
  <c r="J44" i="17"/>
  <c r="K44" i="17"/>
  <c r="L44" i="17"/>
  <c r="M44" i="17"/>
  <c r="N44" i="17"/>
  <c r="O44" i="17"/>
  <c r="D44" i="17"/>
  <c r="B36" i="19"/>
  <c r="D21" i="16"/>
  <c r="E21" i="16"/>
  <c r="F21" i="16"/>
  <c r="G21" i="16"/>
  <c r="H21" i="16"/>
  <c r="I21" i="16"/>
  <c r="J21" i="16"/>
  <c r="K21" i="16"/>
  <c r="K22" i="16" s="1"/>
  <c r="L21" i="16"/>
  <c r="M21" i="16"/>
  <c r="N21" i="16"/>
  <c r="O21" i="16"/>
  <c r="D13" i="16"/>
  <c r="D9" i="16"/>
  <c r="K80" i="1" s="1"/>
  <c r="K90" i="1" s="1"/>
  <c r="E13" i="16"/>
  <c r="E9" i="16"/>
  <c r="L80" i="1" s="1"/>
  <c r="L90" i="1" s="1"/>
  <c r="F13" i="16"/>
  <c r="F9" i="16"/>
  <c r="M80" i="1" s="1"/>
  <c r="M90" i="1" s="1"/>
  <c r="G13" i="16"/>
  <c r="G9" i="16"/>
  <c r="N80" i="1" s="1"/>
  <c r="N90" i="1" s="1"/>
  <c r="H13" i="16"/>
  <c r="H9" i="16"/>
  <c r="O80" i="1" s="1"/>
  <c r="O90" i="1" s="1"/>
  <c r="I13" i="16"/>
  <c r="I9" i="16"/>
  <c r="P80" i="1" s="1"/>
  <c r="P90" i="1" s="1"/>
  <c r="J13" i="16"/>
  <c r="Q9" i="1" s="1"/>
  <c r="Q43" i="1"/>
  <c r="Q48" i="1"/>
  <c r="J9" i="16"/>
  <c r="Q80" i="1" s="1"/>
  <c r="Q85" i="1"/>
  <c r="Q86" i="1"/>
  <c r="K13" i="16"/>
  <c r="R9" i="1" s="1"/>
  <c r="R43" i="1"/>
  <c r="R47" i="1"/>
  <c r="R55" i="1"/>
  <c r="R57" i="1"/>
  <c r="R48" i="1"/>
  <c r="K9" i="16"/>
  <c r="R80" i="1" s="1"/>
  <c r="R85" i="1"/>
  <c r="R86" i="1"/>
  <c r="L13" i="16"/>
  <c r="S9" i="1" s="1"/>
  <c r="S43" i="1"/>
  <c r="S47" i="1"/>
  <c r="S57" i="1"/>
  <c r="S48" i="1"/>
  <c r="L9" i="16"/>
  <c r="S80" i="1" s="1"/>
  <c r="S85" i="1"/>
  <c r="S86" i="1"/>
  <c r="M13" i="16"/>
  <c r="T9" i="1" s="1"/>
  <c r="T40" i="1"/>
  <c r="T43" i="1"/>
  <c r="T54" i="1"/>
  <c r="T48" i="1"/>
  <c r="M9" i="16"/>
  <c r="T80" i="1" s="1"/>
  <c r="T84" i="1"/>
  <c r="T85" i="1"/>
  <c r="T86" i="1"/>
  <c r="N13" i="16"/>
  <c r="U9" i="1" s="1"/>
  <c r="U43" i="1"/>
  <c r="U47" i="1"/>
  <c r="U48" i="1"/>
  <c r="N9" i="16"/>
  <c r="U80" i="1" s="1"/>
  <c r="U84" i="1"/>
  <c r="U85" i="1"/>
  <c r="U86" i="1"/>
  <c r="O13" i="16"/>
  <c r="V9" i="1" s="1"/>
  <c r="V43" i="1"/>
  <c r="V56" i="1"/>
  <c r="V48" i="1"/>
  <c r="O9" i="16"/>
  <c r="V80" i="1" s="1"/>
  <c r="V85" i="1"/>
  <c r="V86" i="1"/>
  <c r="F37" i="1"/>
  <c r="F72" i="1"/>
  <c r="F96" i="1"/>
  <c r="D28" i="1"/>
  <c r="D37" i="1"/>
  <c r="E37" i="1" s="1"/>
  <c r="D44" i="1"/>
  <c r="D58" i="1"/>
  <c r="D72" i="1"/>
  <c r="D96" i="1"/>
  <c r="E96" i="1" s="1"/>
  <c r="J36" i="1"/>
  <c r="E36" i="1" s="1"/>
  <c r="J31" i="1"/>
  <c r="E31" i="1" s="1"/>
  <c r="J64" i="1"/>
  <c r="E64" i="1" s="1"/>
  <c r="J65" i="1"/>
  <c r="E65" i="1" s="1"/>
  <c r="J66" i="1"/>
  <c r="E66" i="1" s="1"/>
  <c r="J67" i="1"/>
  <c r="E67" i="1" s="1"/>
  <c r="J68" i="1"/>
  <c r="E68" i="1" s="1"/>
  <c r="J69" i="1"/>
  <c r="E69" i="1" s="1"/>
  <c r="J70" i="1"/>
  <c r="E70" i="1" s="1"/>
  <c r="J71" i="1"/>
  <c r="E71" i="1" s="1"/>
  <c r="J63" i="1"/>
  <c r="E63" i="1" s="1"/>
  <c r="J87" i="1"/>
  <c r="E87" i="1" s="1"/>
  <c r="J16" i="1"/>
  <c r="E16" i="1" s="1"/>
  <c r="J13" i="1"/>
  <c r="E13" i="1" s="1"/>
  <c r="J21" i="1"/>
  <c r="E21" i="1" s="1"/>
  <c r="J22" i="1"/>
  <c r="E22" i="1" s="1"/>
  <c r="J41" i="1"/>
  <c r="E41" i="1" s="1"/>
  <c r="E75" i="1"/>
  <c r="E99" i="1"/>
  <c r="N32" i="18"/>
  <c r="N33" i="18"/>
  <c r="N6" i="18"/>
  <c r="O6" i="18" s="1"/>
  <c r="N7" i="18"/>
  <c r="O7" i="18" s="1"/>
  <c r="N8" i="18"/>
  <c r="O8" i="18" s="1"/>
  <c r="N9" i="18"/>
  <c r="O9" i="18" s="1"/>
  <c r="N11" i="18"/>
  <c r="O11" i="18" s="1"/>
  <c r="N12" i="18"/>
  <c r="O12" i="18" s="1"/>
  <c r="N5" i="18"/>
  <c r="O5" i="18" s="1"/>
  <c r="N29" i="18"/>
  <c r="N28" i="18"/>
  <c r="N18" i="18"/>
  <c r="N19" i="18"/>
  <c r="O19" i="18" s="1"/>
  <c r="N20" i="18"/>
  <c r="O20" i="18" s="1"/>
  <c r="N21" i="18"/>
  <c r="O21" i="18" s="1"/>
  <c r="N23" i="18"/>
  <c r="N24" i="18"/>
  <c r="N17" i="18"/>
  <c r="P7" i="18"/>
  <c r="N30" i="18"/>
  <c r="O30" i="18" s="1"/>
  <c r="N15" i="18"/>
  <c r="E29" i="16"/>
  <c r="E30" i="16" s="1"/>
  <c r="F29" i="16"/>
  <c r="G29" i="16"/>
  <c r="H29" i="16"/>
  <c r="I29" i="16"/>
  <c r="J29" i="16"/>
  <c r="K29" i="16"/>
  <c r="K30" i="16" s="1"/>
  <c r="L29" i="16"/>
  <c r="L30" i="16" s="1"/>
  <c r="M29" i="16"/>
  <c r="N29" i="16"/>
  <c r="O29" i="16"/>
  <c r="D29" i="16"/>
  <c r="E10" i="16"/>
  <c r="F10" i="16"/>
  <c r="G10" i="16"/>
  <c r="H10" i="16"/>
  <c r="H11" i="16" s="1"/>
  <c r="I10" i="16"/>
  <c r="J10" i="16"/>
  <c r="K10" i="16"/>
  <c r="L10" i="16"/>
  <c r="L11" i="16" s="1"/>
  <c r="M10" i="16"/>
  <c r="M11" i="16" s="1"/>
  <c r="N10" i="16"/>
  <c r="O10" i="16"/>
  <c r="F11" i="16"/>
  <c r="E14" i="16"/>
  <c r="E16" i="16" s="1"/>
  <c r="F14" i="16"/>
  <c r="G14" i="16"/>
  <c r="G16" i="16" s="1"/>
  <c r="H14" i="16"/>
  <c r="H17" i="16" s="1"/>
  <c r="H18" i="16" s="1"/>
  <c r="I14" i="16"/>
  <c r="J14" i="16"/>
  <c r="K14" i="16"/>
  <c r="K16" i="16" s="1"/>
  <c r="L14" i="16"/>
  <c r="M14" i="16"/>
  <c r="N14" i="16"/>
  <c r="O14" i="16"/>
  <c r="O15" i="16" s="1"/>
  <c r="D14" i="16"/>
  <c r="D10" i="16"/>
  <c r="D37" i="16"/>
  <c r="E37" i="16"/>
  <c r="E38" i="16" s="1"/>
  <c r="F37" i="16"/>
  <c r="F38" i="16" s="1"/>
  <c r="G37" i="16"/>
  <c r="H37" i="16"/>
  <c r="I37" i="16"/>
  <c r="I38" i="16" s="1"/>
  <c r="J37" i="16"/>
  <c r="J38" i="16" s="1"/>
  <c r="K37" i="16"/>
  <c r="L37" i="16"/>
  <c r="M37" i="16"/>
  <c r="M38" i="16" s="1"/>
  <c r="N37" i="16"/>
  <c r="O37" i="16"/>
  <c r="O38" i="16" s="1"/>
  <c r="D41" i="16"/>
  <c r="E41" i="16"/>
  <c r="F41" i="16"/>
  <c r="G41" i="16"/>
  <c r="H41" i="16"/>
  <c r="I41" i="16"/>
  <c r="J41" i="16"/>
  <c r="K41" i="16"/>
  <c r="K42" i="16" s="1"/>
  <c r="L41" i="16"/>
  <c r="L42" i="16" s="1"/>
  <c r="M41" i="16"/>
  <c r="N41" i="16"/>
  <c r="O41" i="16"/>
  <c r="D45" i="16"/>
  <c r="D46" i="16" s="1"/>
  <c r="E45" i="16"/>
  <c r="F45" i="16"/>
  <c r="G45" i="16"/>
  <c r="H45" i="16"/>
  <c r="H46" i="16" s="1"/>
  <c r="I45" i="16"/>
  <c r="J45" i="16"/>
  <c r="J46" i="16" s="1"/>
  <c r="K45" i="16"/>
  <c r="L45" i="16"/>
  <c r="M45" i="16"/>
  <c r="N45" i="16"/>
  <c r="O45" i="16"/>
  <c r="D49" i="16"/>
  <c r="E49" i="16"/>
  <c r="F49" i="16"/>
  <c r="G49" i="16"/>
  <c r="G50" i="16" s="1"/>
  <c r="H49" i="16"/>
  <c r="I49" i="16"/>
  <c r="J49" i="16"/>
  <c r="K49" i="16"/>
  <c r="L49" i="16"/>
  <c r="M49" i="16"/>
  <c r="M50" i="16" s="1"/>
  <c r="N49" i="16"/>
  <c r="N50" i="16" s="1"/>
  <c r="O49" i="16"/>
  <c r="D25" i="16"/>
  <c r="D26" i="16" s="1"/>
  <c r="E25" i="16"/>
  <c r="F25" i="16"/>
  <c r="F26" i="16" s="1"/>
  <c r="G25" i="16"/>
  <c r="H25" i="16"/>
  <c r="H26" i="16" s="1"/>
  <c r="I25" i="16"/>
  <c r="J25" i="16"/>
  <c r="K25" i="16"/>
  <c r="L25" i="16"/>
  <c r="M25" i="16"/>
  <c r="M26" i="16" s="1"/>
  <c r="N25" i="16"/>
  <c r="O25" i="16"/>
  <c r="N42" i="16"/>
  <c r="I30" i="16"/>
  <c r="N30" i="16"/>
  <c r="I15" i="16"/>
  <c r="C9" i="17"/>
  <c r="D20" i="19"/>
  <c r="J10" i="1"/>
  <c r="E10" i="1" s="1"/>
  <c r="L16" i="16" l="1"/>
  <c r="J11" i="16"/>
  <c r="K46" i="16"/>
  <c r="G46" i="16"/>
  <c r="O42" i="16"/>
  <c r="M16" i="16"/>
  <c r="K34" i="16"/>
  <c r="M58" i="1"/>
  <c r="E14" i="19" s="1"/>
  <c r="O16" i="16"/>
  <c r="N58" i="1"/>
  <c r="F14" i="19" s="1"/>
  <c r="C37" i="16"/>
  <c r="P37" i="16" s="1"/>
  <c r="O26" i="16"/>
  <c r="O50" i="16"/>
  <c r="K50" i="16"/>
  <c r="K38" i="16"/>
  <c r="G38" i="16"/>
  <c r="O34" i="16"/>
  <c r="P58" i="1"/>
  <c r="H14" i="19" s="1"/>
  <c r="L58" i="1"/>
  <c r="I46" i="16"/>
  <c r="E46" i="16"/>
  <c r="M42" i="16"/>
  <c r="J26" i="16"/>
  <c r="L50" i="16"/>
  <c r="H38" i="16"/>
  <c r="D38" i="16"/>
  <c r="N17" i="16"/>
  <c r="N18" i="16" s="1"/>
  <c r="O58" i="1"/>
  <c r="K58" i="1"/>
  <c r="C14" i="19" s="1"/>
  <c r="P44" i="1"/>
  <c r="N44" i="1"/>
  <c r="L44" i="1"/>
  <c r="C14" i="16"/>
  <c r="F50" i="16"/>
  <c r="F42" i="16"/>
  <c r="D16" i="16"/>
  <c r="O44" i="1"/>
  <c r="M44" i="1"/>
  <c r="K44" i="1"/>
  <c r="C12" i="19" s="1"/>
  <c r="G19" i="16"/>
  <c r="G30" i="16"/>
  <c r="G22" i="16"/>
  <c r="I50" i="16"/>
  <c r="E50" i="16"/>
  <c r="I42" i="16"/>
  <c r="G42" i="16"/>
  <c r="E42" i="16"/>
  <c r="D12" i="16"/>
  <c r="I11" i="16"/>
  <c r="G11" i="16"/>
  <c r="E11" i="16"/>
  <c r="I22" i="16"/>
  <c r="E22" i="16"/>
  <c r="F17" i="16"/>
  <c r="F18" i="16" s="1"/>
  <c r="E15" i="16"/>
  <c r="E19" i="16"/>
  <c r="J17" i="16"/>
  <c r="J18" i="16" s="1"/>
  <c r="L12" i="16"/>
  <c r="L53" i="16"/>
  <c r="D15" i="16"/>
  <c r="L17" i="16"/>
  <c r="L18" i="16" s="1"/>
  <c r="C45" i="16"/>
  <c r="P45" i="16" s="1"/>
  <c r="C49" i="16"/>
  <c r="P49" i="16" s="1"/>
  <c r="F53" i="16"/>
  <c r="C15" i="17"/>
  <c r="D77" i="1"/>
  <c r="J48" i="1"/>
  <c r="E48" i="1" s="1"/>
  <c r="O37" i="17"/>
  <c r="M37" i="17"/>
  <c r="K37" i="17"/>
  <c r="I37" i="17"/>
  <c r="G37" i="17"/>
  <c r="E37" i="17"/>
  <c r="D37" i="17"/>
  <c r="N37" i="17"/>
  <c r="L37" i="17"/>
  <c r="J37" i="17"/>
  <c r="H37" i="17"/>
  <c r="F37" i="17"/>
  <c r="C10" i="16"/>
  <c r="O17" i="16"/>
  <c r="O18" i="16" s="1"/>
  <c r="K17" i="16"/>
  <c r="K18" i="16" s="1"/>
  <c r="I17" i="16"/>
  <c r="I18" i="16" s="1"/>
  <c r="J43" i="1"/>
  <c r="E43" i="1" s="1"/>
  <c r="J85" i="1"/>
  <c r="E85" i="1" s="1"/>
  <c r="I12" i="16"/>
  <c r="G15" i="16"/>
  <c r="E17" i="16"/>
  <c r="E18" i="16" s="1"/>
  <c r="G17" i="16"/>
  <c r="G18" i="16" s="1"/>
  <c r="M17" i="16"/>
  <c r="M18" i="16" s="1"/>
  <c r="I19" i="16"/>
  <c r="G12" i="16"/>
  <c r="L19" i="16"/>
  <c r="D17" i="16"/>
  <c r="D18" i="16" s="1"/>
  <c r="L15" i="16"/>
  <c r="J12" i="16"/>
  <c r="M34" i="16"/>
  <c r="C39" i="16"/>
  <c r="F56" i="1" s="1"/>
  <c r="C27" i="16"/>
  <c r="F40" i="1" s="1"/>
  <c r="C13" i="16"/>
  <c r="F9" i="1" s="1"/>
  <c r="F46" i="16"/>
  <c r="O46" i="16"/>
  <c r="M46" i="16"/>
  <c r="C47" i="16"/>
  <c r="F54" i="1" s="1"/>
  <c r="D34" i="16"/>
  <c r="N34" i="16"/>
  <c r="L34" i="16"/>
  <c r="H34" i="16"/>
  <c r="M22" i="16"/>
  <c r="F34" i="16"/>
  <c r="T44" i="1"/>
  <c r="L12" i="19" s="1"/>
  <c r="O22" i="16"/>
  <c r="N26" i="16"/>
  <c r="E53" i="16"/>
  <c r="C23" i="16"/>
  <c r="F42" i="1" s="1"/>
  <c r="V42" i="1"/>
  <c r="V44" i="1" s="1"/>
  <c r="D30" i="16"/>
  <c r="J30" i="16"/>
  <c r="H30" i="16"/>
  <c r="F30" i="16"/>
  <c r="N38" i="16"/>
  <c r="J42" i="16"/>
  <c r="N46" i="16"/>
  <c r="J50" i="16"/>
  <c r="H50" i="16"/>
  <c r="D50" i="16"/>
  <c r="L46" i="16"/>
  <c r="H42" i="16"/>
  <c r="D42" i="16"/>
  <c r="L38" i="16"/>
  <c r="C43" i="16"/>
  <c r="F57" i="1" s="1"/>
  <c r="C51" i="16"/>
  <c r="F55" i="1" s="1"/>
  <c r="J22" i="16"/>
  <c r="H22" i="16"/>
  <c r="F22" i="16"/>
  <c r="D22" i="16"/>
  <c r="J53" i="16"/>
  <c r="I53" i="16"/>
  <c r="N53" i="16"/>
  <c r="L26" i="16"/>
  <c r="K26" i="16"/>
  <c r="G26" i="16"/>
  <c r="E26" i="16"/>
  <c r="D12" i="19"/>
  <c r="U58" i="1"/>
  <c r="M14" i="19" s="1"/>
  <c r="R58" i="1"/>
  <c r="J14" i="19" s="1"/>
  <c r="Q58" i="1"/>
  <c r="I14" i="19" s="1"/>
  <c r="S58" i="1"/>
  <c r="K14" i="19" s="1"/>
  <c r="O53" i="16"/>
  <c r="G53" i="16"/>
  <c r="K53" i="16"/>
  <c r="I34" i="16"/>
  <c r="G34" i="16"/>
  <c r="E34" i="16"/>
  <c r="C35" i="16"/>
  <c r="F49" i="1" s="1"/>
  <c r="N22" i="16"/>
  <c r="L22" i="16"/>
  <c r="J34" i="16"/>
  <c r="L16" i="17"/>
  <c r="S84" i="1" s="1"/>
  <c r="S90" i="1" s="1"/>
  <c r="K16" i="19" s="1"/>
  <c r="J16" i="17"/>
  <c r="Q84" i="1" s="1"/>
  <c r="H16" i="17"/>
  <c r="G16" i="19" s="1"/>
  <c r="C25" i="16"/>
  <c r="P25" i="16" s="1"/>
  <c r="J57" i="1"/>
  <c r="E57" i="1" s="1"/>
  <c r="K15" i="16"/>
  <c r="M15" i="16"/>
  <c r="H16" i="16"/>
  <c r="F16" i="16"/>
  <c r="N19" i="16"/>
  <c r="J19" i="16"/>
  <c r="H19" i="16"/>
  <c r="F19" i="16"/>
  <c r="N12" i="16"/>
  <c r="H12" i="16"/>
  <c r="F12" i="16"/>
  <c r="N25" i="18"/>
  <c r="N13" i="18"/>
  <c r="O13" i="18" s="1"/>
  <c r="C21" i="16"/>
  <c r="C41" i="16"/>
  <c r="C29" i="16"/>
  <c r="P29" i="16" s="1"/>
  <c r="F15" i="16"/>
  <c r="H15" i="16"/>
  <c r="D11" i="16"/>
  <c r="N15" i="16"/>
  <c r="J15" i="16"/>
  <c r="N16" i="16"/>
  <c r="J16" i="16"/>
  <c r="D19" i="16"/>
  <c r="O19" i="16"/>
  <c r="M19" i="16"/>
  <c r="K19" i="16"/>
  <c r="O12" i="16"/>
  <c r="N11" i="16"/>
  <c r="O11" i="16"/>
  <c r="K11" i="16"/>
  <c r="N34" i="18"/>
  <c r="C6" i="17"/>
  <c r="J55" i="1"/>
  <c r="E55" i="1" s="1"/>
  <c r="D14" i="19"/>
  <c r="H53" i="16"/>
  <c r="D102" i="1"/>
  <c r="R44" i="1"/>
  <c r="J86" i="1"/>
  <c r="E86" i="1" s="1"/>
  <c r="J83" i="1"/>
  <c r="E83" i="1" s="1"/>
  <c r="J23" i="1"/>
  <c r="E23" i="1" s="1"/>
  <c r="J56" i="1"/>
  <c r="E56" i="1" s="1"/>
  <c r="J54" i="1"/>
  <c r="E54" i="1" s="1"/>
  <c r="J40" i="1"/>
  <c r="E40" i="1" s="1"/>
  <c r="J72" i="1"/>
  <c r="E72" i="1" s="1"/>
  <c r="S44" i="1"/>
  <c r="H16" i="19"/>
  <c r="F16" i="19"/>
  <c r="J47" i="1"/>
  <c r="E47" i="1" s="1"/>
  <c r="D53" i="16"/>
  <c r="M53" i="16"/>
  <c r="O30" i="16"/>
  <c r="M30" i="16"/>
  <c r="C31" i="16"/>
  <c r="F47" i="1" s="1"/>
  <c r="M48" i="17"/>
  <c r="V90" i="1"/>
  <c r="N16" i="19" s="1"/>
  <c r="I48" i="17"/>
  <c r="Q44" i="1"/>
  <c r="O48" i="17"/>
  <c r="K48" i="17"/>
  <c r="G48" i="17"/>
  <c r="D48" i="17"/>
  <c r="V58" i="1"/>
  <c r="N14" i="19" s="1"/>
  <c r="C16" i="19"/>
  <c r="C36" i="17"/>
  <c r="J49" i="1"/>
  <c r="E49" i="1" s="1"/>
  <c r="B20" i="19"/>
  <c r="U44" i="1"/>
  <c r="T90" i="1"/>
  <c r="L16" i="19" s="1"/>
  <c r="R90" i="1"/>
  <c r="J16" i="19" s="1"/>
  <c r="E16" i="19"/>
  <c r="N48" i="17"/>
  <c r="L48" i="17"/>
  <c r="J48" i="17"/>
  <c r="H48" i="17"/>
  <c r="F48" i="17"/>
  <c r="C33" i="16"/>
  <c r="C15" i="16"/>
  <c r="M12" i="16"/>
  <c r="K12" i="16"/>
  <c r="E12" i="16"/>
  <c r="C9" i="16"/>
  <c r="U90" i="1"/>
  <c r="M16" i="19" s="1"/>
  <c r="J80" i="1"/>
  <c r="E80" i="1" s="1"/>
  <c r="C56" i="17"/>
  <c r="D34" i="17" s="1"/>
  <c r="J18" i="1"/>
  <c r="J9" i="1"/>
  <c r="E9" i="1" s="1"/>
  <c r="C38" i="16" l="1"/>
  <c r="C46" i="16"/>
  <c r="J42" i="1"/>
  <c r="E42" i="1" s="1"/>
  <c r="C42" i="16"/>
  <c r="E18" i="1"/>
  <c r="F18" i="1"/>
  <c r="C17" i="16"/>
  <c r="C18" i="16" s="1"/>
  <c r="C19" i="16"/>
  <c r="C16" i="16"/>
  <c r="E34" i="17"/>
  <c r="F34" i="17" s="1"/>
  <c r="G34" i="17" s="1"/>
  <c r="H34" i="17" s="1"/>
  <c r="I34" i="17" s="1"/>
  <c r="J34" i="17" s="1"/>
  <c r="K34" i="17" s="1"/>
  <c r="L34" i="17" s="1"/>
  <c r="M34" i="17" s="1"/>
  <c r="N34" i="17" s="1"/>
  <c r="O34" i="17" s="1"/>
  <c r="C26" i="16"/>
  <c r="F44" i="1"/>
  <c r="C50" i="16"/>
  <c r="I12" i="19"/>
  <c r="K12" i="19"/>
  <c r="M12" i="19"/>
  <c r="G12" i="19"/>
  <c r="J12" i="19"/>
  <c r="H12" i="19"/>
  <c r="F12" i="19"/>
  <c r="N12" i="19"/>
  <c r="E12" i="19"/>
  <c r="J84" i="1"/>
  <c r="E84" i="1" s="1"/>
  <c r="Q90" i="1"/>
  <c r="I16" i="19" s="1"/>
  <c r="C16" i="17"/>
  <c r="F84" i="1" s="1"/>
  <c r="P41" i="16"/>
  <c r="Q37" i="16" s="1"/>
  <c r="N36" i="18"/>
  <c r="C37" i="17"/>
  <c r="C30" i="16"/>
  <c r="C22" i="16"/>
  <c r="P21" i="16"/>
  <c r="Q21" i="16" s="1"/>
  <c r="P33" i="16"/>
  <c r="D104" i="1"/>
  <c r="J44" i="1"/>
  <c r="E44" i="1" s="1"/>
  <c r="J53" i="1"/>
  <c r="E53" i="1" s="1"/>
  <c r="C53" i="16"/>
  <c r="C55" i="16" s="1"/>
  <c r="A13" i="1"/>
  <c r="A14" i="1" s="1"/>
  <c r="A15" i="1" s="1"/>
  <c r="A16" i="1" s="1"/>
  <c r="F58" i="1"/>
  <c r="C48" i="17"/>
  <c r="C34" i="16"/>
  <c r="F80" i="1"/>
  <c r="C11" i="16"/>
  <c r="C12" i="16"/>
  <c r="C58" i="17"/>
  <c r="D16" i="19"/>
  <c r="O39" i="17" l="1"/>
  <c r="M39" i="17"/>
  <c r="K39" i="17"/>
  <c r="I39" i="17"/>
  <c r="G39" i="17"/>
  <c r="E39" i="17"/>
  <c r="D39" i="17"/>
  <c r="N39" i="17"/>
  <c r="L39" i="17"/>
  <c r="J39" i="17"/>
  <c r="H39" i="17"/>
  <c r="F39" i="17"/>
  <c r="B12" i="19"/>
  <c r="B16" i="19"/>
  <c r="J90" i="1"/>
  <c r="A17" i="1"/>
  <c r="A18" i="1" s="1"/>
  <c r="A19" i="1" s="1"/>
  <c r="F49" i="17"/>
  <c r="H49" i="17"/>
  <c r="J49" i="17"/>
  <c r="L49" i="17"/>
  <c r="N49" i="17"/>
  <c r="D49" i="17"/>
  <c r="E49" i="17"/>
  <c r="G49" i="17"/>
  <c r="I49" i="17"/>
  <c r="K49" i="17"/>
  <c r="M49" i="17"/>
  <c r="O49" i="17"/>
  <c r="F45" i="17"/>
  <c r="F46" i="17" s="1"/>
  <c r="H45" i="17"/>
  <c r="J45" i="17"/>
  <c r="J46" i="17" s="1"/>
  <c r="L45" i="17"/>
  <c r="N45" i="17"/>
  <c r="D45" i="17"/>
  <c r="E45" i="17"/>
  <c r="E46" i="17" s="1"/>
  <c r="G45" i="17"/>
  <c r="G46" i="17" s="1"/>
  <c r="I45" i="17"/>
  <c r="I46" i="17" s="1"/>
  <c r="K45" i="17"/>
  <c r="M45" i="17"/>
  <c r="M46" i="17" s="1"/>
  <c r="O45" i="17"/>
  <c r="F90" i="1"/>
  <c r="F102" i="1" s="1"/>
  <c r="K46" i="17"/>
  <c r="O46" i="17"/>
  <c r="H46" i="17"/>
  <c r="L46" i="17"/>
  <c r="N46" i="17"/>
  <c r="D46" i="17"/>
  <c r="E90" i="1" l="1"/>
  <c r="J102" i="1"/>
  <c r="E102" i="1" s="1"/>
  <c r="A20" i="1"/>
  <c r="A21" i="1" s="1"/>
  <c r="A22" i="1" s="1"/>
  <c r="A23" i="1" s="1"/>
  <c r="A24" i="1" s="1"/>
  <c r="A25" i="1" s="1"/>
  <c r="A26" i="1" s="1"/>
  <c r="C46" i="17"/>
  <c r="L41" i="17"/>
  <c r="L50" i="17"/>
  <c r="H41" i="17"/>
  <c r="H50" i="17"/>
  <c r="D50" i="17"/>
  <c r="M41" i="17"/>
  <c r="M50" i="17"/>
  <c r="I41" i="17"/>
  <c r="I50" i="17"/>
  <c r="E41" i="17"/>
  <c r="E50" i="17"/>
  <c r="N41" i="17"/>
  <c r="N50" i="17"/>
  <c r="J41" i="17"/>
  <c r="J50" i="17"/>
  <c r="F41" i="17"/>
  <c r="F50" i="17"/>
  <c r="O41" i="17"/>
  <c r="O50" i="17"/>
  <c r="K41" i="17"/>
  <c r="K50" i="17"/>
  <c r="G41" i="17"/>
  <c r="G50" i="17"/>
  <c r="H53" i="17" l="1"/>
  <c r="L53" i="17"/>
  <c r="S15" i="1" s="1"/>
  <c r="G53" i="17"/>
  <c r="P110" i="1" s="1"/>
  <c r="P114" i="1" s="1"/>
  <c r="K53" i="17"/>
  <c r="R15" i="1" s="1"/>
  <c r="O53" i="17"/>
  <c r="V15" i="1" s="1"/>
  <c r="F53" i="17"/>
  <c r="O110" i="1" s="1"/>
  <c r="O114" i="1" s="1"/>
  <c r="J53" i="17"/>
  <c r="Q15" i="1" s="1"/>
  <c r="N53" i="17"/>
  <c r="U15" i="1" s="1"/>
  <c r="E53" i="17"/>
  <c r="N110" i="1" s="1"/>
  <c r="N114" i="1" s="1"/>
  <c r="I53" i="17"/>
  <c r="R110" i="1" s="1"/>
  <c r="R114" i="1" s="1"/>
  <c r="M53" i="17"/>
  <c r="T15" i="1" s="1"/>
  <c r="K42" i="17"/>
  <c r="F42" i="17"/>
  <c r="J42" i="17"/>
  <c r="N42" i="17"/>
  <c r="E42" i="17"/>
  <c r="I42" i="17"/>
  <c r="M42" i="17"/>
  <c r="H42" i="17"/>
  <c r="L42" i="17"/>
  <c r="C50" i="17"/>
  <c r="C51" i="17" s="1"/>
  <c r="G42" i="17"/>
  <c r="O42" i="17"/>
  <c r="C39" i="17"/>
  <c r="D41" i="17"/>
  <c r="D53" i="17" s="1"/>
  <c r="A27" i="1" l="1"/>
  <c r="G10" i="19"/>
  <c r="H10" i="19"/>
  <c r="H18" i="19" s="1"/>
  <c r="H26" i="19" s="1"/>
  <c r="H28" i="19" s="1"/>
  <c r="E10" i="19"/>
  <c r="E18" i="19" s="1"/>
  <c r="E26" i="19" s="1"/>
  <c r="E28" i="19" s="1"/>
  <c r="D42" i="17"/>
  <c r="C41" i="17"/>
  <c r="C42" i="17" s="1"/>
  <c r="F10" i="19"/>
  <c r="F18" i="19" s="1"/>
  <c r="F26" i="19" s="1"/>
  <c r="F28" i="19" s="1"/>
  <c r="D10" i="19"/>
  <c r="D18" i="19" s="1"/>
  <c r="D26" i="19" s="1"/>
  <c r="D28" i="19" s="1"/>
  <c r="A28" i="1" l="1"/>
  <c r="A31" i="1" s="1"/>
  <c r="A32" i="1" s="1"/>
  <c r="A33" i="1" s="1"/>
  <c r="A34" i="1" s="1"/>
  <c r="A35" i="1" s="1"/>
  <c r="A36" i="1" s="1"/>
  <c r="A37" i="1" s="1"/>
  <c r="A40" i="1" s="1"/>
  <c r="A41" i="1" s="1"/>
  <c r="A42" i="1" s="1"/>
  <c r="A43" i="1" s="1"/>
  <c r="A44" i="1" s="1"/>
  <c r="A47" i="1" s="1"/>
  <c r="A48" i="1" s="1"/>
  <c r="A49" i="1" s="1"/>
  <c r="A50" i="1" s="1"/>
  <c r="A51" i="1" s="1"/>
  <c r="A52" i="1" s="1"/>
  <c r="A53" i="1" s="1"/>
  <c r="A54" i="1" s="1"/>
  <c r="C53" i="17"/>
  <c r="F15" i="1" s="1"/>
  <c r="A55" i="1" l="1"/>
  <c r="A56" i="1" s="1"/>
  <c r="A57" i="1" s="1"/>
  <c r="A58" i="1" s="1"/>
  <c r="A63" i="1" s="1"/>
  <c r="J15" i="1"/>
  <c r="E15" i="1" s="1"/>
  <c r="C54" i="17"/>
  <c r="A64" i="1" l="1"/>
  <c r="A65" i="1" s="1"/>
  <c r="A66" i="1" s="1"/>
  <c r="A67" i="1" s="1"/>
  <c r="A68" i="1" s="1"/>
  <c r="A69" i="1" s="1"/>
  <c r="A70" i="1" s="1"/>
  <c r="A71" i="1" s="1"/>
  <c r="A72" i="1" s="1"/>
  <c r="A75" i="1" s="1"/>
  <c r="M110" i="1"/>
  <c r="M114" i="1" s="1"/>
  <c r="C10" i="19"/>
  <c r="C18" i="19" s="1"/>
  <c r="C26" i="19" s="1"/>
  <c r="C28" i="19" l="1"/>
  <c r="A77" i="1"/>
  <c r="A80" i="1" s="1"/>
  <c r="A81" i="1" s="1"/>
  <c r="A82" i="1" s="1"/>
  <c r="A83" i="1" s="1"/>
  <c r="A84" i="1" s="1"/>
  <c r="A85" i="1" s="1"/>
  <c r="A86" i="1" s="1"/>
  <c r="A87" i="1" l="1"/>
  <c r="A88" i="1" l="1"/>
  <c r="A89" i="1" s="1"/>
  <c r="A90" i="1" s="1"/>
  <c r="A93" i="1" s="1"/>
  <c r="A94" i="1" s="1"/>
  <c r="A95" i="1" s="1"/>
  <c r="A96" i="1" s="1"/>
  <c r="A99" i="1" s="1"/>
  <c r="A102" i="1" s="1"/>
  <c r="A104" i="1" s="1"/>
  <c r="Q110" i="1"/>
  <c r="Q114" i="1" s="1"/>
  <c r="J52" i="1"/>
  <c r="J58" i="1" l="1"/>
  <c r="E52" i="1"/>
  <c r="G14" i="19"/>
  <c r="G18" i="19" s="1"/>
  <c r="G26" i="19" s="1"/>
  <c r="T58" i="1"/>
  <c r="G28" i="19" l="1"/>
  <c r="E58" i="1"/>
  <c r="L14" i="19"/>
  <c r="B14" i="19" l="1"/>
  <c r="V20" i="1"/>
  <c r="V28" i="1" s="1"/>
  <c r="X110" i="1" s="1"/>
  <c r="X114" i="1" s="1"/>
  <c r="F28" i="1"/>
  <c r="S20" i="1"/>
  <c r="S28" i="1" s="1"/>
  <c r="U20" i="1"/>
  <c r="U28" i="1" s="1"/>
  <c r="W110" i="1" s="1"/>
  <c r="W114" i="1" s="1"/>
  <c r="R20" i="1"/>
  <c r="R28" i="1" s="1"/>
  <c r="T110" i="1" s="1"/>
  <c r="T114" i="1" s="1"/>
  <c r="T20" i="1"/>
  <c r="T28" i="1" s="1"/>
  <c r="V110" i="1" s="1"/>
  <c r="V114" i="1" s="1"/>
  <c r="Q20" i="1"/>
  <c r="J20" i="1" l="1"/>
  <c r="E20" i="1" s="1"/>
  <c r="F77" i="1"/>
  <c r="K10" i="19"/>
  <c r="K18" i="19" s="1"/>
  <c r="K26" i="19" s="1"/>
  <c r="K28" i="19" s="1"/>
  <c r="U110" i="1"/>
  <c r="U114" i="1" s="1"/>
  <c r="J10" i="19"/>
  <c r="J18" i="19" s="1"/>
  <c r="J26" i="19" s="1"/>
  <c r="J28" i="19" s="1"/>
  <c r="Q28" i="1"/>
  <c r="L10" i="19"/>
  <c r="L18" i="19" s="1"/>
  <c r="L26" i="19" s="1"/>
  <c r="L28" i="19" s="1"/>
  <c r="M10" i="19"/>
  <c r="M18" i="19" s="1"/>
  <c r="M26" i="19" s="1"/>
  <c r="M28" i="19" s="1"/>
  <c r="N10" i="19"/>
  <c r="N18" i="19" s="1"/>
  <c r="N26" i="19" s="1"/>
  <c r="N28" i="19" s="1"/>
  <c r="F104" i="1" l="1"/>
  <c r="E106" i="1" s="1"/>
  <c r="J28" i="1"/>
  <c r="S110" i="1"/>
  <c r="S114" i="1" s="1"/>
  <c r="L114" i="1" s="1"/>
  <c r="I10" i="19"/>
  <c r="E28" i="1" l="1"/>
  <c r="J77" i="1"/>
  <c r="L110" i="1"/>
  <c r="B10" i="19"/>
  <c r="I18" i="19"/>
  <c r="B18" i="19" l="1"/>
  <c r="I26" i="19"/>
  <c r="J104" i="1"/>
  <c r="E104" i="1" s="1"/>
  <c r="E77" i="1"/>
  <c r="I28" i="19" l="1"/>
  <c r="B28" i="19" s="1"/>
  <c r="B38" i="19" s="1"/>
  <c r="B26" i="19"/>
</calcChain>
</file>

<file path=xl/sharedStrings.xml><?xml version="1.0" encoding="utf-8"?>
<sst xmlns="http://schemas.openxmlformats.org/spreadsheetml/2006/main" count="288" uniqueCount="245">
  <si>
    <t>Line</t>
  </si>
  <si>
    <t>No.</t>
  </si>
  <si>
    <t>Actuals</t>
  </si>
  <si>
    <t>Adjustment</t>
  </si>
  <si>
    <t>555 PURCHASED POWER</t>
  </si>
  <si>
    <t>WNP-3</t>
  </si>
  <si>
    <t>Deer Lake-IP&amp;L</t>
  </si>
  <si>
    <t>Spokane-Upriver</t>
  </si>
  <si>
    <t>Total Account 555</t>
  </si>
  <si>
    <t xml:space="preserve"> </t>
  </si>
  <si>
    <t>565 TRANSMISSION OF ELECTRICITY BY OTHERS</t>
  </si>
  <si>
    <t>Total Account 565</t>
  </si>
  <si>
    <t>Broker Commission Fees</t>
  </si>
  <si>
    <t>Total Account 557</t>
  </si>
  <si>
    <t>536 WATER FOR POWER</t>
  </si>
  <si>
    <t>TOTAL EXPENSE</t>
  </si>
  <si>
    <t>447 SALES FOR RESALE</t>
  </si>
  <si>
    <t>Total Account 447</t>
  </si>
  <si>
    <t>456 OTHER ELECTRIC REVENUE</t>
  </si>
  <si>
    <t>Total Account 456</t>
  </si>
  <si>
    <t>TOTAL REVENUE</t>
  </si>
  <si>
    <t>Kettle Falls</t>
  </si>
  <si>
    <t>Total Account 501</t>
  </si>
  <si>
    <t>Colstrip</t>
  </si>
  <si>
    <t>BPA Townsend-Garrison Wheeling</t>
  </si>
  <si>
    <t>Upstream Storage Revenue</t>
  </si>
  <si>
    <t>557 OTHER EXPENSES</t>
  </si>
  <si>
    <t>453 SALES OF WATER AND WATER POWER</t>
  </si>
  <si>
    <t>PGE Firm Wheeling</t>
  </si>
  <si>
    <t>Nichols Pumping Sale</t>
  </si>
  <si>
    <t>Pend Oreille DES &amp; Spinning</t>
  </si>
  <si>
    <t>Avista Corp.</t>
  </si>
  <si>
    <t>Total</t>
  </si>
  <si>
    <t>Colstrip MWh</t>
  </si>
  <si>
    <t>Colstrip Fuel Cost</t>
  </si>
  <si>
    <t>Kettle Falls MWh</t>
  </si>
  <si>
    <t>Kettle Falls Fuel Cost</t>
  </si>
  <si>
    <t>Rathdrum MWh</t>
  </si>
  <si>
    <t>Rathdrum Fuel Cost</t>
  </si>
  <si>
    <t>Total Fuel Expense</t>
  </si>
  <si>
    <t>Nichols Pumping</t>
  </si>
  <si>
    <t>Sales</t>
  </si>
  <si>
    <t>Northeast MWh</t>
  </si>
  <si>
    <t>Northeast Fuel Cost</t>
  </si>
  <si>
    <t>Total Account 547</t>
  </si>
  <si>
    <t>Kettle Falls - Wood Fuel</t>
  </si>
  <si>
    <t>Colstrip - Coal</t>
  </si>
  <si>
    <t>501 THERMAL FUEL EXPENSE</t>
  </si>
  <si>
    <t>547 OTHER FUEL EXPENSE</t>
  </si>
  <si>
    <t xml:space="preserve">Non-Monetary </t>
  </si>
  <si>
    <t>$</t>
  </si>
  <si>
    <t>Secondary Sales - MWh</t>
  </si>
  <si>
    <t>Secondary Purchase - MWh</t>
  </si>
  <si>
    <t>Boulder Park Fuel Cost</t>
  </si>
  <si>
    <t>Boulder Park MWh</t>
  </si>
  <si>
    <t>Kettle Falls CT Fuel Cost</t>
  </si>
  <si>
    <t>Kettle Falls CT MWh</t>
  </si>
  <si>
    <t>Coyote Springs Gas</t>
  </si>
  <si>
    <t>Boulder Park Gas</t>
  </si>
  <si>
    <t>Kettle Falls CT Gas</t>
  </si>
  <si>
    <t>Northeast CT Gas</t>
  </si>
  <si>
    <t>Rathdrum  Gas</t>
  </si>
  <si>
    <t>Scenario 1</t>
  </si>
  <si>
    <t>ANNUAL</t>
  </si>
  <si>
    <t>GENERATION (GWh)</t>
  </si>
  <si>
    <t>Boulder Park</t>
  </si>
  <si>
    <t>Coyote Springs</t>
  </si>
  <si>
    <t>Kettle Falls CT</t>
  </si>
  <si>
    <t>Northeast</t>
  </si>
  <si>
    <t>Rathdrum</t>
  </si>
  <si>
    <t>FUEL COST ($000)</t>
  </si>
  <si>
    <t>MARKET (GWh)</t>
  </si>
  <si>
    <t>Market Purch</t>
  </si>
  <si>
    <t>Market Sale</t>
  </si>
  <si>
    <t>MARKET ($000)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</si>
  <si>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</si>
  <si>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</si>
  <si>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</si>
  <si>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</si>
  <si>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</si>
  <si>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</si>
  <si>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</si>
  <si>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</si>
  <si>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</si>
  <si>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</si>
  <si>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</si>
  <si>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</si>
  <si>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Coyote Springs Fuel Cost</t>
  </si>
  <si>
    <t>Net Fuel and Purchase Expense</t>
  </si>
  <si>
    <t>Coyote Springs  MWh</t>
  </si>
  <si>
    <t>(GWh)</t>
  </si>
  <si>
    <t>NET POWER SUPPLY COST ($000)</t>
  </si>
  <si>
    <t>MWh</t>
  </si>
  <si>
    <t>Kootenai for Worley</t>
  </si>
  <si>
    <t>Avista on BPA - Borderline</t>
  </si>
  <si>
    <t>Gas Not Consumed Sales Revenue</t>
  </si>
  <si>
    <t>Rathdrum Fuel Cost $/MWh</t>
  </si>
  <si>
    <t>Northeast Fuel Cost $/MWh</t>
  </si>
  <si>
    <t>Coyote Springs Fuel Cost  $/MWh</t>
  </si>
  <si>
    <t>Boulder Park Fuel Cost $/MWh</t>
  </si>
  <si>
    <t>Kettle Falls Fuel Cost $/MWh</t>
  </si>
  <si>
    <t>Colstrip Fuel Cost $/MWh</t>
  </si>
  <si>
    <t>Kettle Falls CT Fuel Cost $/MWh</t>
  </si>
  <si>
    <t>Headwater Benefits Payments</t>
  </si>
  <si>
    <t>Revenue</t>
  </si>
  <si>
    <t>Average Market Sales Price -$/ MWh</t>
  </si>
  <si>
    <t>Market Sales - Dollars</t>
  </si>
  <si>
    <t>Market Sales - MWh</t>
  </si>
  <si>
    <t>Market Purchases - Dollars</t>
  </si>
  <si>
    <t>Net Market Purchases (Sales) MWh</t>
  </si>
  <si>
    <t>Average Market Purchase Price - $/MWh</t>
  </si>
  <si>
    <t>Net Market Purchases (Sales) aMW</t>
  </si>
  <si>
    <t>Market Purchases - MWh</t>
  </si>
  <si>
    <t>Average Sale and Purchase Price - $/MWh</t>
  </si>
  <si>
    <t>Peaker (PGE) Capacity Sale</t>
  </si>
  <si>
    <t>normal $0</t>
  </si>
  <si>
    <t>Comment</t>
  </si>
  <si>
    <t>Market Purchases and Sales, Plant Generation and Fuel Cost Summary</t>
  </si>
  <si>
    <t>Sovereign/Kaiser DES</t>
  </si>
  <si>
    <t>Douglas Settlement</t>
  </si>
  <si>
    <t>index</t>
  </si>
  <si>
    <t>model</t>
  </si>
  <si>
    <t>only gas burned modeled</t>
  </si>
  <si>
    <t>modeled MWh x new contract rate</t>
  </si>
  <si>
    <t>Sagle-Northern Lights</t>
  </si>
  <si>
    <t>Jan 06 - Dec 06</t>
  </si>
  <si>
    <t>Authorized</t>
  </si>
  <si>
    <t>Small Power</t>
  </si>
  <si>
    <t>Priest Rapids Meaningful Priority, MWh</t>
  </si>
  <si>
    <t>Priest Rapids Meaningful Priority Expense</t>
  </si>
  <si>
    <t>Reasonable Portion Revenue</t>
  </si>
  <si>
    <t>Net Meaningful Priority Cost</t>
  </si>
  <si>
    <t>Net Meaningful Priority Cost per MWh</t>
  </si>
  <si>
    <t>includes Mean Pri &amp; Reas Port</t>
  </si>
  <si>
    <t xml:space="preserve">  Meaningful Priority</t>
  </si>
  <si>
    <t xml:space="preserve">  Surplus Conversion</t>
  </si>
  <si>
    <t>Surplus Conversion Cost</t>
  </si>
  <si>
    <t>Surplus Conversion MWh</t>
  </si>
  <si>
    <t xml:space="preserve">  Avista Total Slice</t>
  </si>
  <si>
    <t>Power Supply Expense</t>
  </si>
  <si>
    <t>TOTAL NET EXPENSE</t>
  </si>
  <si>
    <t>Ancillary Services</t>
  </si>
  <si>
    <t>Account 447 - Sale for Resale</t>
  </si>
  <si>
    <t>Account 501 - Thermal Fuel</t>
  </si>
  <si>
    <t>Account 555 - Purchased Power</t>
  </si>
  <si>
    <t>Stimson</t>
  </si>
  <si>
    <t xml:space="preserve">  Grant's Share of Reasonable Portion Revenue</t>
  </si>
  <si>
    <t>Priest Rapids Project Cost</t>
  </si>
  <si>
    <t>Priest Rapids Project</t>
  </si>
  <si>
    <t>Surplus Conversion Cost per MWh</t>
  </si>
  <si>
    <t>Total Priest Rapids Product Cost</t>
  </si>
  <si>
    <t>Total Priest Rapids Product Cost per MWh</t>
  </si>
  <si>
    <t>Modeled Short-Term Market Sales</t>
  </si>
  <si>
    <t>Pro forma</t>
  </si>
  <si>
    <t>Natural Gas Fuel Purchases</t>
  </si>
  <si>
    <t>Avista Corp</t>
  </si>
  <si>
    <t>new rate</t>
  </si>
  <si>
    <t>check energy</t>
  </si>
  <si>
    <t>modeled MWh x Actual</t>
  </si>
  <si>
    <t xml:space="preserve">  Surplus</t>
  </si>
  <si>
    <t>Priest Rapids, MWh</t>
  </si>
  <si>
    <t>Wanpum, MWh</t>
  </si>
  <si>
    <t>Surplus MWh</t>
  </si>
  <si>
    <t>Surplus Cost</t>
  </si>
  <si>
    <t>Lancaster Gas</t>
  </si>
  <si>
    <t>Lancaster</t>
  </si>
  <si>
    <t>Lancaster  MWh</t>
  </si>
  <si>
    <t>Lancaster Fuel Cost  $/MWh</t>
  </si>
  <si>
    <t>Lancaster Fuel Cost</t>
  </si>
  <si>
    <t>Lancaster Variable O&amp;M Payments</t>
  </si>
  <si>
    <t>Lancaster Capacity Payment</t>
  </si>
  <si>
    <t>Kettle Falls - Start-up Gas</t>
  </si>
  <si>
    <t>Power Supply Pro forma - Washington Jurisdiction</t>
  </si>
  <si>
    <t>ERM Authorized Expense and Retail Sales</t>
  </si>
  <si>
    <t>Transmission Expense</t>
  </si>
  <si>
    <t>Wells - Avista Share</t>
  </si>
  <si>
    <t>Wells - Colville Tribe's Share</t>
  </si>
  <si>
    <t>Lancaster Gas Transportation</t>
  </si>
  <si>
    <t>Coyote Springs 2 Gas Transportation</t>
  </si>
  <si>
    <t>Actual ST Market Sales - Financial M-to-M</t>
  </si>
  <si>
    <t>Actual ST Market Sales - Physical</t>
  </si>
  <si>
    <t>Broker Fees</t>
  </si>
  <si>
    <t>/MWh</t>
  </si>
  <si>
    <t>Actual Financial Gas Transactions M-to-M</t>
  </si>
  <si>
    <t>Account 547 - Natural Gas Fuel</t>
  </si>
  <si>
    <t>ERM Authorized Power Supply Expense - System Numbers (1)</t>
  </si>
  <si>
    <t>Rocky Reach/Rock Island Purchase</t>
  </si>
  <si>
    <t>Total Priest Rapids Product MWh</t>
  </si>
  <si>
    <t>Gas Transportation for BP, NE and KFCT</t>
  </si>
  <si>
    <t>Total Priest RapidsCost per MWh</t>
  </si>
  <si>
    <t>Colstrip - Oil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</si>
  <si>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</si>
  <si>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</si>
  <si>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</si>
  <si>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</si>
  <si>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</si>
  <si>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</si>
  <si>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</si>
  <si>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</si>
  <si>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</si>
  <si>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</si>
  <si>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</si>
  <si>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BPA PTP for Colstrip, Coyote &amp; Lancaster</t>
  </si>
  <si>
    <t>Northwestern for Colstrip</t>
  </si>
  <si>
    <t>Palouse Wind</t>
  </si>
  <si>
    <t>Spokane Waste-to-Energy</t>
  </si>
  <si>
    <t>Non-WA EIA REC Sales</t>
  </si>
  <si>
    <t>WA EIA REC Purchase - 100% WA Allocation</t>
  </si>
  <si>
    <t>Gas Transpot Optimization</t>
  </si>
  <si>
    <t>Pro Forma</t>
  </si>
  <si>
    <t>****LOAD NEW PRICES*****</t>
  </si>
  <si>
    <t>Modeled HLH Electric Price</t>
  </si>
  <si>
    <t>Modeled LLH Electric Price</t>
  </si>
  <si>
    <t>Predicted Auction Price</t>
  </si>
  <si>
    <t>ERM Authorized Washington Retail Sales (2)</t>
  </si>
  <si>
    <t>Modeled ST Market Purchases</t>
  </si>
  <si>
    <t>Actual ST Market Purchases</t>
  </si>
  <si>
    <t>Actual ST Purchases - Financial M-to-M</t>
  </si>
  <si>
    <t>Transmission Revenue</t>
  </si>
  <si>
    <t>Total Retail Sales, MWh (2)</t>
  </si>
  <si>
    <t>Intracompany Generation</t>
  </si>
  <si>
    <t>Short-term Transmission Purchases</t>
  </si>
  <si>
    <t>WA EIA REC Sales</t>
  </si>
  <si>
    <t>Pullman Battery</t>
  </si>
  <si>
    <t>Modeled Flat Electric Price</t>
  </si>
  <si>
    <t>Rate (Mid C plus $3/MWh)</t>
  </si>
  <si>
    <t>Energy America</t>
  </si>
  <si>
    <t>Test Year Load</t>
  </si>
  <si>
    <t>ERM Accounts</t>
  </si>
  <si>
    <t>All Accounts</t>
  </si>
  <si>
    <t>Oct 14 - Sep 15</t>
  </si>
  <si>
    <t>SMUD/Energy America</t>
  </si>
  <si>
    <t>Rathdrum Solar, Buck-a-Block</t>
  </si>
  <si>
    <t>REC Expenses (offset to REC Revenue)</t>
  </si>
  <si>
    <t>COB Optimization</t>
  </si>
  <si>
    <t>Jul 17 - Jun 18</t>
  </si>
  <si>
    <t>System Numbers - Oct 2014 - Sep 2015 Actual and July 2017 - June 2018 Pro Forma</t>
  </si>
  <si>
    <t>Spokane Energy Capacity Payment Adjustment</t>
  </si>
  <si>
    <t xml:space="preserve">Total </t>
  </si>
  <si>
    <t>WA Share of System Costs</t>
  </si>
  <si>
    <t>(2) Twelve months ended September 2015 normalized monthly WA Retail Sales.</t>
  </si>
  <si>
    <t>October 2014 - September 2015 Historic Normalized Loads</t>
  </si>
  <si>
    <t>Pro forma July 2017 - June 2018</t>
  </si>
  <si>
    <t>Washington Pro Forma July 2017 - June 2018</t>
  </si>
  <si>
    <t>Retail Revenue Adjustment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</si>
</sst>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164" formatCode="#,##0\ ;\(#,##0\)"/>
    <numFmt numFmtId="165" formatCode="&quot;$&quot;#,##0"/>
    <numFmt numFmtId="166" formatCode="&quot;$&quot;#,##0.00"/>
    <numFmt numFmtId="167" formatCode="#,##0.0_);[Red]\(#,##0.0\)"/>
    <numFmt numFmtId="168" formatCode="#,##0.0"/>
  </numFmts>
  <fonts count="15">
    <font>
      <sz val="10"/>
      <name val="Geneva"/>
    </font>
    <font>
      <b/>
      <sz val="10"/>
      <name val="Geneva"/>
    </font>
    <font>
      <sz val="10"/>
      <name val="Geneva"/>
    </font>
    <font>
      <u/>
      <sz val="10"/>
      <name val="Geneva"/>
    </font>
    <font>
      <sz val="10"/>
      <name val="Geneva"/>
    </font>
    <font>
      <sz val="9"/>
      <name val="Geneva"/>
    </font>
    <font>
      <sz val="8"/>
      <name val="Geneva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name val="Geneva"/>
    </font>
    <font>
      <b/>
      <u/>
      <sz val="10"/>
      <name val="Geneva"/>
    </font>
    <font>
      <b/>
      <sz val="12"/>
      <name val="Geneva"/>
    </font>
    <font>
      <b/>
      <sz val="10"/>
      <color rgb="FFFF0000"/>
      <name val="Geneva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53">
    <xf numFmtId="0" fontId="0" fillId="0" borderId="0" xfId="0"/>
    <xf numFmtId="0" fontId="0" fillId="0" borderId="1" xfId="0" applyBorder="1" applyAlignment="1">
      <alignment horizontal="center"/>
    </xf>
    <xf numFmtId="0" fontId="1" fillId="0" borderId="0" xfId="0" applyFont="1"/>
    <xf numFmtId="3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/>
    <xf numFmtId="14" fontId="0" fillId="0" borderId="0" xfId="0" applyNumberFormat="1" applyAlignment="1">
      <alignment horizontal="left"/>
    </xf>
    <xf numFmtId="3" fontId="0" fillId="0" borderId="0" xfId="0" applyNumberFormat="1" applyBorder="1"/>
    <xf numFmtId="14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0" fillId="0" borderId="1" xfId="0" applyBorder="1"/>
    <xf numFmtId="165" fontId="0" fillId="0" borderId="0" xfId="0" applyNumberFormat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2" xfId="0" applyNumberForma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0" fillId="0" borderId="3" xfId="0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0" xfId="0" applyNumberFormat="1"/>
    <xf numFmtId="164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166" fontId="0" fillId="0" borderId="0" xfId="0" applyNumberFormat="1"/>
    <xf numFmtId="165" fontId="1" fillId="0" borderId="3" xfId="0" applyNumberFormat="1" applyFont="1" applyBorder="1" applyAlignment="1">
      <alignment horizontal="center"/>
    </xf>
    <xf numFmtId="5" fontId="0" fillId="0" borderId="2" xfId="0" applyNumberFormat="1" applyBorder="1"/>
    <xf numFmtId="165" fontId="0" fillId="0" borderId="2" xfId="0" applyNumberFormat="1" applyBorder="1"/>
    <xf numFmtId="165" fontId="0" fillId="0" borderId="0" xfId="0" applyNumberFormat="1" applyBorder="1"/>
    <xf numFmtId="3" fontId="0" fillId="0" borderId="5" xfId="0" applyNumberFormat="1" applyBorder="1"/>
    <xf numFmtId="0" fontId="0" fillId="0" borderId="6" xfId="0" applyBorder="1"/>
    <xf numFmtId="5" fontId="0" fillId="0" borderId="0" xfId="0" applyNumberFormat="1" applyBorder="1"/>
    <xf numFmtId="0" fontId="6" fillId="0" borderId="0" xfId="0" applyFont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right"/>
    </xf>
    <xf numFmtId="0" fontId="0" fillId="0" borderId="1" xfId="0" applyNumberFormat="1" applyBorder="1" applyAlignment="1">
      <alignment horizontal="center"/>
    </xf>
    <xf numFmtId="0" fontId="1" fillId="0" borderId="5" xfId="0" applyFont="1" applyBorder="1"/>
    <xf numFmtId="3" fontId="0" fillId="0" borderId="6" xfId="0" applyNumberForma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6" fillId="0" borderId="0" xfId="0" applyFont="1"/>
    <xf numFmtId="17" fontId="0" fillId="0" borderId="1" xfId="0" applyNumberFormat="1" applyBorder="1"/>
    <xf numFmtId="17" fontId="0" fillId="0" borderId="0" xfId="0" applyNumberFormat="1" applyBorder="1"/>
    <xf numFmtId="166" fontId="2" fillId="0" borderId="0" xfId="0" applyNumberFormat="1" applyFont="1"/>
    <xf numFmtId="0" fontId="0" fillId="0" borderId="8" xfId="0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5" fontId="1" fillId="0" borderId="3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2" borderId="0" xfId="0" applyFill="1"/>
    <xf numFmtId="1" fontId="0" fillId="0" borderId="0" xfId="0" applyNumberFormat="1" applyAlignment="1">
      <alignment horizontal="right"/>
    </xf>
    <xf numFmtId="1" fontId="0" fillId="0" borderId="0" xfId="0" applyNumberFormat="1"/>
    <xf numFmtId="167" fontId="8" fillId="0" borderId="9" xfId="0" applyNumberFormat="1" applyFont="1" applyBorder="1"/>
    <xf numFmtId="167" fontId="0" fillId="0" borderId="9" xfId="0" applyNumberFormat="1" applyBorder="1"/>
    <xf numFmtId="167" fontId="7" fillId="0" borderId="9" xfId="0" applyNumberFormat="1" applyFont="1" applyBorder="1"/>
    <xf numFmtId="167" fontId="0" fillId="0" borderId="0" xfId="0" applyNumberFormat="1"/>
    <xf numFmtId="167" fontId="9" fillId="0" borderId="0" xfId="0" applyNumberFormat="1" applyFont="1"/>
    <xf numFmtId="167" fontId="7" fillId="0" borderId="0" xfId="0" applyNumberFormat="1" applyFont="1"/>
    <xf numFmtId="38" fontId="10" fillId="0" borderId="0" xfId="0" applyNumberFormat="1" applyFont="1" applyAlignment="1">
      <alignment horizontal="center"/>
    </xf>
    <xf numFmtId="167" fontId="10" fillId="0" borderId="0" xfId="0" applyNumberFormat="1" applyFont="1" applyAlignment="1">
      <alignment horizontal="center"/>
    </xf>
    <xf numFmtId="167" fontId="0" fillId="0" borderId="0" xfId="0" applyNumberFormat="1" applyAlignment="1">
      <alignment horizontal="right"/>
    </xf>
    <xf numFmtId="38" fontId="0" fillId="0" borderId="0" xfId="0" applyNumberFormat="1"/>
    <xf numFmtId="38" fontId="7" fillId="0" borderId="0" xfId="0" applyNumberFormat="1" applyFont="1"/>
    <xf numFmtId="38" fontId="9" fillId="0" borderId="0" xfId="0" applyNumberFormat="1" applyFont="1"/>
    <xf numFmtId="38" fontId="9" fillId="0" borderId="0" xfId="0" applyNumberFormat="1" applyFont="1" applyAlignment="1">
      <alignment horizontal="right"/>
    </xf>
    <xf numFmtId="167" fontId="0" fillId="0" borderId="0" xfId="0" applyNumberFormat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166" fontId="0" fillId="0" borderId="10" xfId="0" applyNumberFormat="1" applyBorder="1" applyAlignment="1">
      <alignment horizontal="center"/>
    </xf>
    <xf numFmtId="167" fontId="9" fillId="0" borderId="0" xfId="0" applyNumberFormat="1" applyFont="1" applyAlignment="1">
      <alignment horizontal="left"/>
    </xf>
    <xf numFmtId="167" fontId="7" fillId="0" borderId="0" xfId="0" applyNumberFormat="1" applyFont="1" applyAlignment="1">
      <alignment horizontal="center"/>
    </xf>
    <xf numFmtId="166" fontId="0" fillId="0" borderId="1" xfId="0" applyNumberFormat="1" applyBorder="1"/>
    <xf numFmtId="3" fontId="2" fillId="0" borderId="0" xfId="0" applyNumberFormat="1" applyFont="1" applyAlignment="1">
      <alignment horizontal="right"/>
    </xf>
    <xf numFmtId="166" fontId="1" fillId="0" borderId="4" xfId="0" applyNumberFormat="1" applyFont="1" applyBorder="1" applyAlignment="1">
      <alignment horizontal="center"/>
    </xf>
    <xf numFmtId="5" fontId="0" fillId="0" borderId="0" xfId="0" applyNumberFormat="1"/>
    <xf numFmtId="165" fontId="0" fillId="0" borderId="0" xfId="0" applyNumberFormat="1" applyAlignment="1">
      <alignment horizontal="right"/>
    </xf>
    <xf numFmtId="0" fontId="0" fillId="0" borderId="0" xfId="0" applyBorder="1" applyAlignment="1">
      <alignment horizontal="right"/>
    </xf>
    <xf numFmtId="0" fontId="5" fillId="0" borderId="0" xfId="0" applyFont="1" applyBorder="1" applyAlignment="1">
      <alignment horizontal="right"/>
    </xf>
    <xf numFmtId="168" fontId="0" fillId="0" borderId="0" xfId="0" applyNumberFormat="1"/>
    <xf numFmtId="0" fontId="2" fillId="0" borderId="1" xfId="0" applyFont="1" applyBorder="1" applyAlignment="1">
      <alignment horizontal="center"/>
    </xf>
    <xf numFmtId="0" fontId="11" fillId="0" borderId="0" xfId="0" applyFont="1"/>
    <xf numFmtId="3" fontId="0" fillId="0" borderId="0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0" fillId="0" borderId="0" xfId="0" applyNumberFormat="1" applyFill="1" applyBorder="1" applyAlignment="1">
      <alignment horizontal="left"/>
    </xf>
    <xf numFmtId="3" fontId="0" fillId="0" borderId="0" xfId="0" applyNumberFormat="1" applyAlignment="1">
      <alignment horizontal="left"/>
    </xf>
    <xf numFmtId="3" fontId="0" fillId="0" borderId="0" xfId="0" applyNumberFormat="1" applyBorder="1" applyAlignment="1">
      <alignment horizontal="left"/>
    </xf>
    <xf numFmtId="165" fontId="0" fillId="0" borderId="0" xfId="0" applyNumberFormat="1" applyBorder="1" applyAlignment="1">
      <alignment horizontal="left"/>
    </xf>
    <xf numFmtId="168" fontId="0" fillId="0" borderId="0" xfId="0" applyNumberFormat="1" applyBorder="1" applyAlignment="1">
      <alignment horizontal="left"/>
    </xf>
    <xf numFmtId="3" fontId="0" fillId="0" borderId="0" xfId="0" applyNumberFormat="1" applyFill="1" applyAlignment="1">
      <alignment horizontal="right"/>
    </xf>
    <xf numFmtId="166" fontId="0" fillId="2" borderId="0" xfId="1" applyNumberFormat="1" applyFont="1" applyFill="1"/>
    <xf numFmtId="165" fontId="0" fillId="0" borderId="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10" fontId="0" fillId="0" borderId="0" xfId="2" applyNumberFormat="1" applyFont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1" fontId="0" fillId="0" borderId="1" xfId="0" applyNumberFormat="1" applyBorder="1"/>
    <xf numFmtId="0" fontId="2" fillId="0" borderId="1" xfId="0" applyFont="1" applyBorder="1"/>
    <xf numFmtId="3" fontId="0" fillId="0" borderId="2" xfId="0" applyNumberFormat="1" applyFill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0" fontId="12" fillId="0" borderId="0" xfId="0" applyFont="1"/>
    <xf numFmtId="3" fontId="0" fillId="0" borderId="0" xfId="0" applyNumberFormat="1" applyFill="1" applyBorder="1" applyAlignment="1">
      <alignment horizontal="center"/>
    </xf>
    <xf numFmtId="9" fontId="0" fillId="2" borderId="0" xfId="2" applyNumberFormat="1" applyFont="1" applyFill="1" applyBorder="1" applyAlignment="1">
      <alignment horizontal="center"/>
    </xf>
    <xf numFmtId="165" fontId="0" fillId="2" borderId="0" xfId="0" applyNumberFormat="1" applyFill="1"/>
    <xf numFmtId="166" fontId="0" fillId="2" borderId="0" xfId="0" applyNumberFormat="1" applyFill="1"/>
    <xf numFmtId="17" fontId="3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9" fontId="0" fillId="0" borderId="0" xfId="2" applyFont="1"/>
    <xf numFmtId="168" fontId="0" fillId="0" borderId="4" xfId="0" applyNumberFormat="1" applyBorder="1" applyAlignment="1">
      <alignment horizontal="center"/>
    </xf>
    <xf numFmtId="0" fontId="0" fillId="0" borderId="0" xfId="0" applyFill="1"/>
    <xf numFmtId="0" fontId="12" fillId="0" borderId="0" xfId="0" applyFont="1" applyFill="1"/>
    <xf numFmtId="3" fontId="0" fillId="0" borderId="0" xfId="0" applyNumberFormat="1" applyFill="1" applyAlignment="1">
      <alignment horizontal="left"/>
    </xf>
    <xf numFmtId="10" fontId="0" fillId="0" borderId="0" xfId="2" applyNumberFormat="1" applyFont="1" applyAlignment="1">
      <alignment horizontal="center"/>
    </xf>
    <xf numFmtId="165" fontId="2" fillId="0" borderId="0" xfId="0" applyNumberFormat="1" applyFont="1" applyFill="1"/>
    <xf numFmtId="165" fontId="0" fillId="0" borderId="1" xfId="0" applyNumberFormat="1" applyBorder="1"/>
    <xf numFmtId="3" fontId="0" fillId="4" borderId="0" xfId="0" applyNumberForma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65" fontId="2" fillId="4" borderId="0" xfId="0" applyNumberFormat="1" applyFont="1" applyFill="1" applyBorder="1" applyAlignment="1">
      <alignment horizontal="center"/>
    </xf>
    <xf numFmtId="165" fontId="0" fillId="4" borderId="0" xfId="0" applyNumberFormat="1" applyFill="1" applyBorder="1" applyAlignment="1">
      <alignment horizontal="center"/>
    </xf>
    <xf numFmtId="0" fontId="14" fillId="0" borderId="0" xfId="0" applyFont="1" applyAlignment="1">
      <alignment horizontal="center"/>
    </xf>
    <xf numFmtId="3" fontId="0" fillId="5" borderId="0" xfId="0" applyNumberFormat="1" applyFill="1"/>
    <xf numFmtId="3" fontId="0" fillId="0" borderId="0" xfId="0" applyNumberFormat="1" applyFont="1" applyFill="1" applyBorder="1" applyAlignment="1">
      <alignment horizontal="right"/>
    </xf>
    <xf numFmtId="17" fontId="0" fillId="0" borderId="1" xfId="0" applyNumberFormat="1" applyFill="1" applyBorder="1" applyAlignment="1">
      <alignment horizontal="center"/>
    </xf>
    <xf numFmtId="165" fontId="0" fillId="0" borderId="0" xfId="2" applyNumberFormat="1" applyFont="1" applyAlignment="1">
      <alignment horizontal="right"/>
    </xf>
    <xf numFmtId="165" fontId="0" fillId="0" borderId="0" xfId="0" applyNumberFormat="1" applyBorder="1" applyProtection="1">
      <protection locked="0"/>
    </xf>
    <xf numFmtId="3" fontId="0" fillId="0" borderId="0" xfId="0" applyNumberFormat="1" applyFill="1"/>
    <xf numFmtId="0" fontId="1" fillId="0" borderId="0" xfId="0" applyFont="1" applyFill="1"/>
    <xf numFmtId="0" fontId="13" fillId="0" borderId="0" xfId="0" applyFont="1" applyFill="1"/>
    <xf numFmtId="0" fontId="0" fillId="0" borderId="0" xfId="0" applyFont="1" applyFill="1"/>
    <xf numFmtId="0" fontId="3" fillId="0" borderId="0" xfId="0" applyFont="1" applyFill="1" applyAlignment="1">
      <alignment horizontal="center"/>
    </xf>
    <xf numFmtId="17" fontId="3" fillId="0" borderId="0" xfId="0" applyNumberFormat="1" applyFont="1" applyFill="1" applyAlignment="1">
      <alignment horizontal="center"/>
    </xf>
    <xf numFmtId="165" fontId="0" fillId="0" borderId="0" xfId="0" applyNumberFormat="1" applyFill="1"/>
    <xf numFmtId="0" fontId="0" fillId="0" borderId="1" xfId="0" applyFill="1" applyBorder="1"/>
    <xf numFmtId="165" fontId="0" fillId="0" borderId="1" xfId="0" applyNumberFormat="1" applyFill="1" applyBorder="1"/>
    <xf numFmtId="0" fontId="0" fillId="0" borderId="0" xfId="0" quotePrefix="1" applyFill="1"/>
    <xf numFmtId="3" fontId="2" fillId="0" borderId="1" xfId="0" applyNumberFormat="1" applyFont="1" applyFill="1" applyBorder="1" applyAlignment="1">
      <alignment horizontal="right"/>
    </xf>
    <xf numFmtId="10" fontId="0" fillId="0" borderId="0" xfId="2" applyNumberFormat="1" applyFont="1"/>
    <xf numFmtId="3" fontId="0" fillId="0" borderId="0" xfId="1" applyNumberFormat="1" applyFont="1"/>
    <xf numFmtId="3" fontId="0" fillId="0" borderId="0" xfId="1" applyNumberFormat="1" applyFont="1" applyBorder="1" applyAlignment="1">
      <alignment horizontal="right"/>
    </xf>
    <xf numFmtId="3" fontId="0" fillId="0" borderId="1" xfId="1" applyNumberFormat="1" applyFont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0" fontId="1" fillId="0" borderId="1" xfId="0" applyFont="1" applyFill="1" applyBorder="1" applyAlignment="1">
      <alignment horizontal="center"/>
    </xf>
    <xf numFmtId="3" fontId="0" fillId="0" borderId="1" xfId="0" applyNumberFormat="1" applyFill="1" applyBorder="1"/>
    <xf numFmtId="3" fontId="0" fillId="0" borderId="7" xfId="0" applyNumberFormat="1" applyFill="1" applyBorder="1" applyAlignment="1">
      <alignment horizontal="right"/>
    </xf>
    <xf numFmtId="9" fontId="0" fillId="0" borderId="0" xfId="2" applyFont="1" applyFill="1"/>
    <xf numFmtId="10" fontId="0" fillId="0" borderId="0" xfId="2" applyNumberFormat="1" applyFont="1" applyFill="1"/>
    <xf numFmtId="166" fontId="0" fillId="0" borderId="0" xfId="0" applyNumberForma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685"/>
  <sheetViews>
    <sheetView tabSelected="1" view="pageBreakPreview" zoomScale="130" zoomScaleNormal="100" zoomScaleSheetLayoutView="130" workbookViewId="0">
      <selection activeCell="C4" sqref="C4"/>
    </sheetView>
  </sheetViews>
  <sheetFormatPr defaultColWidth="11.42578125" defaultRowHeight="12.75"/>
  <cols>
    <col min="1" max="1" width="6.140625" style="4" customWidth="1"/>
    <col min="2" max="2" width="39.140625" customWidth="1"/>
    <col min="3" max="3" width="9" customWidth="1"/>
    <col min="4" max="4" width="15.28515625" customWidth="1"/>
    <col min="5" max="5" width="13" customWidth="1"/>
    <col min="6" max="6" width="0.140625" style="3" customWidth="1"/>
    <col min="7" max="7" width="13.140625" style="3" hidden="1" customWidth="1"/>
    <col min="8" max="8" width="14.7109375" style="3" hidden="1" customWidth="1"/>
    <col min="9" max="9" width="18.7109375" style="20" hidden="1" customWidth="1"/>
    <col min="10" max="10" width="16.5703125" customWidth="1"/>
    <col min="11" max="11" width="13.5703125" customWidth="1"/>
    <col min="12" max="12" width="12.28515625" customWidth="1"/>
  </cols>
  <sheetData>
    <row r="1" spans="1:22">
      <c r="A1" s="8"/>
      <c r="B1" s="8"/>
      <c r="C1" s="14" t="s">
        <v>31</v>
      </c>
      <c r="F1"/>
      <c r="G1"/>
      <c r="H1"/>
      <c r="I1"/>
    </row>
    <row r="2" spans="1:22">
      <c r="A2" s="8"/>
      <c r="B2" s="8"/>
      <c r="C2" s="14" t="s">
        <v>172</v>
      </c>
      <c r="F2"/>
      <c r="G2"/>
      <c r="H2"/>
      <c r="I2"/>
    </row>
    <row r="3" spans="1:22">
      <c r="A3" s="10"/>
      <c r="B3" s="8"/>
      <c r="C3" s="14" t="s">
        <v>236</v>
      </c>
      <c r="F3"/>
      <c r="G3"/>
      <c r="H3"/>
      <c r="I3" s="71"/>
    </row>
    <row r="4" spans="1:22">
      <c r="A4" s="10"/>
      <c r="B4" s="8"/>
      <c r="C4" s="14" t="s">
        <v>227</v>
      </c>
      <c r="F4"/>
      <c r="G4"/>
      <c r="H4"/>
      <c r="I4" s="71"/>
    </row>
    <row r="5" spans="1:22" ht="12.75" customHeight="1">
      <c r="A5" s="5"/>
      <c r="C5" s="123"/>
      <c r="D5" s="11"/>
      <c r="E5" s="11"/>
      <c r="F5" s="11"/>
      <c r="G5" s="11"/>
      <c r="H5" s="11" t="s">
        <v>126</v>
      </c>
      <c r="I5" s="80"/>
      <c r="K5">
        <v>744</v>
      </c>
      <c r="L5">
        <v>672</v>
      </c>
      <c r="M5">
        <v>744</v>
      </c>
      <c r="N5">
        <v>719</v>
      </c>
      <c r="O5">
        <v>744</v>
      </c>
      <c r="P5">
        <v>720</v>
      </c>
      <c r="Q5">
        <v>744</v>
      </c>
      <c r="R5">
        <v>744</v>
      </c>
      <c r="S5">
        <v>720</v>
      </c>
      <c r="T5">
        <v>745</v>
      </c>
      <c r="U5">
        <v>720</v>
      </c>
      <c r="V5">
        <v>744</v>
      </c>
    </row>
    <row r="6" spans="1:22">
      <c r="A6" s="5" t="s">
        <v>0</v>
      </c>
      <c r="D6" s="11" t="s">
        <v>230</v>
      </c>
      <c r="E6" s="11"/>
      <c r="F6" s="11">
        <v>2017</v>
      </c>
      <c r="G6" s="52"/>
      <c r="H6" s="52" t="s">
        <v>125</v>
      </c>
      <c r="I6" s="81"/>
      <c r="J6" s="144" t="s">
        <v>235</v>
      </c>
    </row>
    <row r="7" spans="1:22">
      <c r="A7" s="44" t="s">
        <v>1</v>
      </c>
      <c r="D7" s="15" t="s">
        <v>2</v>
      </c>
      <c r="E7" s="1" t="s">
        <v>3</v>
      </c>
      <c r="F7" s="15" t="s">
        <v>209</v>
      </c>
      <c r="G7" s="15"/>
      <c r="H7" s="15" t="s">
        <v>153</v>
      </c>
      <c r="I7" s="83" t="s">
        <v>116</v>
      </c>
      <c r="J7" s="147" t="s">
        <v>209</v>
      </c>
      <c r="K7" s="46">
        <v>41639</v>
      </c>
      <c r="L7" s="46">
        <v>41670</v>
      </c>
      <c r="M7" s="46">
        <v>41698</v>
      </c>
      <c r="N7" s="46">
        <v>41729</v>
      </c>
      <c r="O7" s="46">
        <v>41759</v>
      </c>
      <c r="P7" s="46">
        <v>41790</v>
      </c>
      <c r="Q7" s="46">
        <v>41455</v>
      </c>
      <c r="R7" s="46">
        <v>41486</v>
      </c>
      <c r="S7" s="46">
        <v>41517</v>
      </c>
      <c r="T7" s="46">
        <v>41547</v>
      </c>
      <c r="U7" s="46">
        <v>41578</v>
      </c>
      <c r="V7" s="46">
        <v>41608</v>
      </c>
    </row>
    <row r="8" spans="1:22">
      <c r="A8" s="5"/>
      <c r="B8" s="7" t="s">
        <v>4</v>
      </c>
      <c r="D8" s="9"/>
      <c r="E8" s="12"/>
      <c r="F8" s="9"/>
      <c r="G8" s="9"/>
      <c r="H8" s="9"/>
      <c r="I8" s="19"/>
      <c r="J8" s="145"/>
    </row>
    <row r="9" spans="1:22">
      <c r="A9" s="5">
        <f t="shared" ref="A9:A16" si="0">A8+1</f>
        <v>1</v>
      </c>
      <c r="B9" t="s">
        <v>215</v>
      </c>
      <c r="D9" s="18">
        <v>0</v>
      </c>
      <c r="E9" s="18">
        <f>J9-D9</f>
        <v>6683.3133186692939</v>
      </c>
      <c r="F9" s="18">
        <f>'WGJ-4'!C13/1000</f>
        <v>6683.3133186692939</v>
      </c>
      <c r="G9" s="18"/>
      <c r="H9" s="18">
        <v>20917.018981429192</v>
      </c>
      <c r="I9" s="91" t="s">
        <v>121</v>
      </c>
      <c r="J9" s="146">
        <f t="shared" ref="J9:J14" si="1">SUM(K9:V9)/1000</f>
        <v>6683.3133186692939</v>
      </c>
      <c r="K9" s="55">
        <v>329410.52457690198</v>
      </c>
      <c r="L9" s="55">
        <v>451593.33092570299</v>
      </c>
      <c r="M9" s="55">
        <v>369314.35238942498</v>
      </c>
      <c r="N9" s="55">
        <v>42611.814026627602</v>
      </c>
      <c r="O9" s="55">
        <v>21971.3058832567</v>
      </c>
      <c r="P9" s="55">
        <v>410806.03456403996</v>
      </c>
      <c r="Q9" s="55">
        <f>'WGJ-4'!J13</f>
        <v>704803.26130390097</v>
      </c>
      <c r="R9" s="55">
        <f>'WGJ-4'!K13</f>
        <v>1638561.01512908</v>
      </c>
      <c r="S9" s="55">
        <f>'WGJ-4'!L13</f>
        <v>763024.433270865</v>
      </c>
      <c r="T9" s="55">
        <f>'WGJ-4'!M13</f>
        <v>849668.47098618699</v>
      </c>
      <c r="U9" s="55">
        <f>'WGJ-4'!N13</f>
        <v>675421.80030345905</v>
      </c>
      <c r="V9" s="55">
        <f>'WGJ-4'!O13</f>
        <v>426126.97530984797</v>
      </c>
    </row>
    <row r="10" spans="1:22">
      <c r="A10" s="5">
        <f t="shared" si="0"/>
        <v>2</v>
      </c>
      <c r="B10" t="s">
        <v>216</v>
      </c>
      <c r="D10" s="85">
        <f>84386+1</f>
        <v>84387</v>
      </c>
      <c r="E10" s="142">
        <f t="shared" ref="E10:E28" si="2">J10-D10</f>
        <v>-84387</v>
      </c>
      <c r="F10" s="125">
        <v>0</v>
      </c>
      <c r="G10" s="18"/>
      <c r="H10" s="18"/>
      <c r="I10" s="91"/>
      <c r="J10" s="146">
        <f t="shared" si="1"/>
        <v>0</v>
      </c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</row>
    <row r="11" spans="1:22">
      <c r="A11" s="5">
        <f t="shared" si="0"/>
        <v>3</v>
      </c>
      <c r="B11" t="s">
        <v>217</v>
      </c>
      <c r="D11" s="85">
        <v>0</v>
      </c>
      <c r="E11" s="142">
        <f t="shared" si="2"/>
        <v>0</v>
      </c>
      <c r="F11" s="125">
        <v>0</v>
      </c>
      <c r="G11" s="18"/>
      <c r="H11" s="18"/>
      <c r="I11" s="91"/>
      <c r="J11" s="146">
        <f t="shared" si="1"/>
        <v>0</v>
      </c>
      <c r="K11" s="55">
        <v>0</v>
      </c>
      <c r="L11" s="55">
        <v>0</v>
      </c>
      <c r="M11" s="55">
        <v>0</v>
      </c>
      <c r="N11" s="55"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55">
        <v>0</v>
      </c>
      <c r="V11" s="55">
        <v>0</v>
      </c>
    </row>
    <row r="12" spans="1:22">
      <c r="A12" s="5">
        <f t="shared" si="0"/>
        <v>4</v>
      </c>
      <c r="B12" t="s">
        <v>186</v>
      </c>
      <c r="D12" s="85">
        <v>13315</v>
      </c>
      <c r="E12" s="142">
        <f t="shared" si="2"/>
        <v>923.17459999999846</v>
      </c>
      <c r="F12" s="85">
        <v>13873</v>
      </c>
      <c r="G12" s="22"/>
      <c r="H12" s="22"/>
      <c r="I12" s="19"/>
      <c r="J12" s="146">
        <f t="shared" si="1"/>
        <v>14238.174599999998</v>
      </c>
      <c r="K12" s="54">
        <v>1216938</v>
      </c>
      <c r="L12" s="54">
        <v>1216938</v>
      </c>
      <c r="M12" s="54">
        <v>1216938</v>
      </c>
      <c r="N12" s="54">
        <v>1216938</v>
      </c>
      <c r="O12" s="54">
        <v>1216938</v>
      </c>
      <c r="P12" s="54">
        <v>1216938</v>
      </c>
      <c r="Q12" s="54">
        <v>1156091.0999999999</v>
      </c>
      <c r="R12" s="54">
        <v>1156091.0999999999</v>
      </c>
      <c r="S12" s="54">
        <v>1156091.0999999999</v>
      </c>
      <c r="T12" s="54">
        <v>1156091.0999999999</v>
      </c>
      <c r="U12" s="54">
        <v>1156091.0999999999</v>
      </c>
      <c r="V12" s="54">
        <v>1156091.0999999999</v>
      </c>
    </row>
    <row r="13" spans="1:22">
      <c r="A13" s="5">
        <f t="shared" si="0"/>
        <v>5</v>
      </c>
      <c r="B13" t="s">
        <v>175</v>
      </c>
      <c r="D13" s="85">
        <v>1703</v>
      </c>
      <c r="E13" s="142">
        <f t="shared" si="2"/>
        <v>164.04084666666677</v>
      </c>
      <c r="F13" s="85">
        <v>1858</v>
      </c>
      <c r="G13" s="22"/>
      <c r="H13" s="22">
        <v>1177</v>
      </c>
      <c r="I13" s="19"/>
      <c r="J13" s="146">
        <f t="shared" si="1"/>
        <v>1867.0408466666668</v>
      </c>
      <c r="K13" s="54">
        <v>155841.38</v>
      </c>
      <c r="L13" s="54">
        <v>155841.38</v>
      </c>
      <c r="M13" s="54">
        <v>155841.38</v>
      </c>
      <c r="N13" s="54">
        <v>155841.38</v>
      </c>
      <c r="O13" s="54">
        <v>155841.38</v>
      </c>
      <c r="P13" s="54">
        <v>155841.38</v>
      </c>
      <c r="Q13" s="54">
        <v>154313.52333333335</v>
      </c>
      <c r="R13" s="54">
        <v>154313.52333333335</v>
      </c>
      <c r="S13" s="54">
        <v>155841.38</v>
      </c>
      <c r="T13" s="54">
        <v>155841.38</v>
      </c>
      <c r="U13" s="54">
        <v>155841.38</v>
      </c>
      <c r="V13" s="54">
        <v>155841.38</v>
      </c>
    </row>
    <row r="14" spans="1:22">
      <c r="A14" s="5">
        <f t="shared" si="0"/>
        <v>6</v>
      </c>
      <c r="B14" t="s">
        <v>176</v>
      </c>
      <c r="D14" s="85">
        <v>2482</v>
      </c>
      <c r="E14" s="142">
        <f t="shared" si="2"/>
        <v>-2482</v>
      </c>
      <c r="F14" s="87">
        <v>0</v>
      </c>
      <c r="G14" s="22"/>
      <c r="H14" s="22"/>
      <c r="I14" s="19"/>
      <c r="J14" s="146">
        <f t="shared" si="1"/>
        <v>0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1:22">
      <c r="A15" s="5">
        <f t="shared" si="0"/>
        <v>7</v>
      </c>
      <c r="B15" t="s">
        <v>148</v>
      </c>
      <c r="D15" s="85">
        <v>7118</v>
      </c>
      <c r="E15" s="142">
        <f t="shared" si="2"/>
        <v>1271.9626456272399</v>
      </c>
      <c r="F15" s="85">
        <f>Index!C53/1000</f>
        <v>8134.9285251992287</v>
      </c>
      <c r="G15" s="90"/>
      <c r="H15" s="19">
        <v>0</v>
      </c>
      <c r="I15" s="90" t="s">
        <v>133</v>
      </c>
      <c r="J15" s="146">
        <f t="shared" ref="J15:J28" si="3">SUM(K15:V15)/1000</f>
        <v>8389.9626456272399</v>
      </c>
      <c r="K15" s="54">
        <v>868794.0253883315</v>
      </c>
      <c r="L15" s="54">
        <v>699549.6593401517</v>
      </c>
      <c r="M15" s="54">
        <v>680785.29441771482</v>
      </c>
      <c r="N15" s="54">
        <v>680667.60678487003</v>
      </c>
      <c r="O15" s="54">
        <v>779033.53512966365</v>
      </c>
      <c r="P15" s="54">
        <v>730873.45949243766</v>
      </c>
      <c r="Q15" s="54">
        <f>Index!J53</f>
        <v>786956.62444236467</v>
      </c>
      <c r="R15" s="54">
        <f>Index!K53</f>
        <v>715082.86621149303</v>
      </c>
      <c r="S15" s="54">
        <f>Index!L53</f>
        <v>502724.70419096563</v>
      </c>
      <c r="T15" s="54">
        <f>Index!M53</f>
        <v>484744.19688655477</v>
      </c>
      <c r="U15" s="54">
        <f>Index!N53</f>
        <v>658302.51697176613</v>
      </c>
      <c r="V15" s="54">
        <f>Index!O53</f>
        <v>802448.15637092548</v>
      </c>
    </row>
    <row r="16" spans="1:22">
      <c r="A16" s="5">
        <f t="shared" si="0"/>
        <v>8</v>
      </c>
      <c r="B16" t="s">
        <v>119</v>
      </c>
      <c r="D16" s="85">
        <v>1211</v>
      </c>
      <c r="E16" s="142">
        <f t="shared" si="2"/>
        <v>23.789946999999984</v>
      </c>
      <c r="F16" s="85">
        <v>1235</v>
      </c>
      <c r="G16" s="85" t="s">
        <v>157</v>
      </c>
      <c r="H16" s="87">
        <v>5512</v>
      </c>
      <c r="I16" s="19"/>
      <c r="J16" s="146">
        <f t="shared" si="3"/>
        <v>1234.789947</v>
      </c>
      <c r="K16" s="54">
        <v>49152.672000000006</v>
      </c>
      <c r="L16" s="54">
        <v>37218.239999999998</v>
      </c>
      <c r="M16" s="54">
        <v>87602.553</v>
      </c>
      <c r="N16" s="54">
        <v>156229.92000000001</v>
      </c>
      <c r="O16" s="54">
        <v>194293.34399999998</v>
      </c>
      <c r="P16" s="54">
        <v>210072.24</v>
      </c>
      <c r="Q16" s="54">
        <v>178908</v>
      </c>
      <c r="R16" s="54">
        <v>127452.74400000001</v>
      </c>
      <c r="S16" s="54">
        <v>52231.44</v>
      </c>
      <c r="T16" s="54">
        <v>57140.423999999999</v>
      </c>
      <c r="U16" s="54">
        <v>39909.713999999993</v>
      </c>
      <c r="V16" s="54">
        <v>44578.656000000003</v>
      </c>
    </row>
    <row r="17" spans="1:22">
      <c r="A17" s="5">
        <f t="shared" ref="A17:A27" si="4">A16+1</f>
        <v>9</v>
      </c>
      <c r="B17" t="s">
        <v>170</v>
      </c>
      <c r="D17" s="85">
        <v>22737</v>
      </c>
      <c r="E17" s="142">
        <f t="shared" si="2"/>
        <v>1028.4791069999919</v>
      </c>
      <c r="F17" s="87">
        <v>23586</v>
      </c>
      <c r="G17" s="87"/>
      <c r="H17" s="87"/>
      <c r="I17" s="19"/>
      <c r="J17" s="146">
        <f t="shared" si="3"/>
        <v>23765.479106999992</v>
      </c>
      <c r="K17" s="54">
        <v>1995426.5217500001</v>
      </c>
      <c r="L17" s="54">
        <v>1995426.5217500001</v>
      </c>
      <c r="M17" s="54">
        <v>1995426.5217500001</v>
      </c>
      <c r="N17" s="54">
        <v>1995426.5217500001</v>
      </c>
      <c r="O17" s="54">
        <v>1995426.5217500001</v>
      </c>
      <c r="P17" s="54">
        <v>1995426.5217500001</v>
      </c>
      <c r="Q17" s="54">
        <v>1965486.6627500001</v>
      </c>
      <c r="R17" s="54">
        <v>1965486.6627500001</v>
      </c>
      <c r="S17" s="54">
        <v>1965486.6627500001</v>
      </c>
      <c r="T17" s="54">
        <v>1965486.6627500001</v>
      </c>
      <c r="U17" s="54">
        <v>1965486.6627500001</v>
      </c>
      <c r="V17" s="54">
        <v>1965486.6627500001</v>
      </c>
    </row>
    <row r="18" spans="1:22">
      <c r="A18" s="5">
        <f t="shared" si="4"/>
        <v>10</v>
      </c>
      <c r="B18" t="s">
        <v>169</v>
      </c>
      <c r="D18" s="85">
        <v>2745</v>
      </c>
      <c r="E18" s="142">
        <f t="shared" si="2"/>
        <v>762.15479170696653</v>
      </c>
      <c r="F18" s="87">
        <f>J18</f>
        <v>3507.1547917069665</v>
      </c>
      <c r="G18" s="87"/>
      <c r="H18" s="87"/>
      <c r="I18" s="19"/>
      <c r="J18" s="146">
        <f t="shared" si="3"/>
        <v>3507.1547917069665</v>
      </c>
      <c r="K18" s="54">
        <v>395967.04874299298</v>
      </c>
      <c r="L18" s="54">
        <v>316210.00777281355</v>
      </c>
      <c r="M18" s="54">
        <v>343618.43608929246</v>
      </c>
      <c r="N18" s="54">
        <v>279587.75108589901</v>
      </c>
      <c r="O18" s="54">
        <v>156014.79918469235</v>
      </c>
      <c r="P18" s="54">
        <v>103733.39108530863</v>
      </c>
      <c r="Q18" s="54">
        <f>'WGJ-4'!J33*2.134</f>
        <v>228847.3785321039</v>
      </c>
      <c r="R18" s="54">
        <f>'WGJ-4'!K33*2.134</f>
        <v>302142.65800038952</v>
      </c>
      <c r="S18" s="54">
        <f>'WGJ-4'!L33*2.134</f>
        <v>316676.68846601452</v>
      </c>
      <c r="T18" s="54">
        <f>'WGJ-4'!M33*2.134</f>
        <v>337829.67879374995</v>
      </c>
      <c r="U18" s="54">
        <f>'WGJ-4'!N33*2.134</f>
        <v>338235.01042031246</v>
      </c>
      <c r="V18" s="54">
        <f>'WGJ-4'!O33*2.134</f>
        <v>388291.94353339786</v>
      </c>
    </row>
    <row r="19" spans="1:22">
      <c r="A19" s="5">
        <f t="shared" si="4"/>
        <v>11</v>
      </c>
      <c r="B19" t="s">
        <v>5</v>
      </c>
      <c r="D19" s="85">
        <v>13302</v>
      </c>
      <c r="E19" s="142">
        <f t="shared" si="2"/>
        <v>4848.9469102080038</v>
      </c>
      <c r="F19" s="85">
        <v>17858</v>
      </c>
      <c r="G19" s="19" t="s">
        <v>157</v>
      </c>
      <c r="H19" s="19">
        <v>-2690</v>
      </c>
      <c r="I19" s="92" t="s">
        <v>158</v>
      </c>
      <c r="J19" s="146">
        <f t="shared" si="3"/>
        <v>18150.946910208004</v>
      </c>
      <c r="K19" s="55">
        <v>3728181.012480001</v>
      </c>
      <c r="L19" s="55">
        <v>3346858.5984000009</v>
      </c>
      <c r="M19" s="55">
        <v>1856454.9135360003</v>
      </c>
      <c r="N19" s="55">
        <v>1822940.6054400003</v>
      </c>
      <c r="O19" s="55"/>
      <c r="P19" s="55"/>
      <c r="Q19" s="55"/>
      <c r="R19" s="55"/>
      <c r="S19" s="55"/>
      <c r="T19" s="55"/>
      <c r="U19" s="55">
        <v>3638840.005632001</v>
      </c>
      <c r="V19" s="55">
        <v>3757671.774720001</v>
      </c>
    </row>
    <row r="20" spans="1:22">
      <c r="A20" s="5">
        <f t="shared" si="4"/>
        <v>12</v>
      </c>
      <c r="B20" t="s">
        <v>6</v>
      </c>
      <c r="D20" s="85">
        <v>7</v>
      </c>
      <c r="E20" s="142">
        <f t="shared" si="2"/>
        <v>0</v>
      </c>
      <c r="F20" s="19">
        <v>7</v>
      </c>
      <c r="G20" s="19"/>
      <c r="H20" s="19">
        <v>6679.5</v>
      </c>
      <c r="I20" s="19"/>
      <c r="J20" s="146">
        <f t="shared" si="3"/>
        <v>6.9999999999999991</v>
      </c>
      <c r="K20" s="54">
        <v>583.33333333333337</v>
      </c>
      <c r="L20" s="54">
        <v>583.33333333333337</v>
      </c>
      <c r="M20" s="54">
        <v>583.33333333333337</v>
      </c>
      <c r="N20" s="54">
        <v>583.33333333333337</v>
      </c>
      <c r="O20" s="54">
        <v>583.33333333333337</v>
      </c>
      <c r="P20" s="54">
        <v>583.33333333333337</v>
      </c>
      <c r="Q20" s="54">
        <f t="shared" ref="Q20:V20" si="5">$F20/12*1000</f>
        <v>583.33333333333337</v>
      </c>
      <c r="R20" s="54">
        <f t="shared" si="5"/>
        <v>583.33333333333337</v>
      </c>
      <c r="S20" s="54">
        <f t="shared" si="5"/>
        <v>583.33333333333337</v>
      </c>
      <c r="T20" s="54">
        <f t="shared" si="5"/>
        <v>583.33333333333337</v>
      </c>
      <c r="U20" s="54">
        <f t="shared" si="5"/>
        <v>583.33333333333337</v>
      </c>
      <c r="V20" s="54">
        <f t="shared" si="5"/>
        <v>583.33333333333337</v>
      </c>
    </row>
    <row r="21" spans="1:22">
      <c r="A21" s="5">
        <f t="shared" si="4"/>
        <v>13</v>
      </c>
      <c r="B21" t="s">
        <v>127</v>
      </c>
      <c r="D21" s="85">
        <v>1290</v>
      </c>
      <c r="E21" s="142">
        <f t="shared" si="2"/>
        <v>68.464124490446238</v>
      </c>
      <c r="F21" s="87">
        <v>1358</v>
      </c>
      <c r="G21" s="19" t="s">
        <v>157</v>
      </c>
      <c r="H21" s="87">
        <v>6132</v>
      </c>
      <c r="I21" s="19"/>
      <c r="J21" s="146">
        <f t="shared" si="3"/>
        <v>1358.4641244904462</v>
      </c>
      <c r="K21" s="54">
        <v>101777.21716415261</v>
      </c>
      <c r="L21" s="54">
        <v>122124.18402414545</v>
      </c>
      <c r="M21" s="54">
        <v>156259.97529834532</v>
      </c>
      <c r="N21" s="54">
        <v>174470.60051249905</v>
      </c>
      <c r="O21" s="54">
        <v>168952.86594441361</v>
      </c>
      <c r="P21" s="54">
        <v>147730.86448487977</v>
      </c>
      <c r="Q21" s="54">
        <v>128692.68468434841</v>
      </c>
      <c r="R21" s="54">
        <v>78476.746595809935</v>
      </c>
      <c r="S21" s="54">
        <v>53427.096850076006</v>
      </c>
      <c r="T21" s="54">
        <v>57263.917042848785</v>
      </c>
      <c r="U21" s="54">
        <v>75352.367671043787</v>
      </c>
      <c r="V21" s="54">
        <v>93935.604217883098</v>
      </c>
    </row>
    <row r="22" spans="1:22">
      <c r="A22" s="5">
        <f t="shared" si="4"/>
        <v>14</v>
      </c>
      <c r="B22" t="s">
        <v>145</v>
      </c>
      <c r="D22" s="85">
        <v>1346</v>
      </c>
      <c r="E22" s="142">
        <f t="shared" si="2"/>
        <v>696.99746635497945</v>
      </c>
      <c r="F22" s="125">
        <v>2043</v>
      </c>
      <c r="G22" s="19" t="s">
        <v>157</v>
      </c>
      <c r="H22" s="85">
        <v>6132</v>
      </c>
      <c r="I22" s="92" t="s">
        <v>123</v>
      </c>
      <c r="J22" s="146">
        <f t="shared" si="3"/>
        <v>2042.9974663549795</v>
      </c>
      <c r="K22" s="54">
        <v>185068.50880371063</v>
      </c>
      <c r="L22" s="54">
        <v>161879.95904296878</v>
      </c>
      <c r="M22" s="54">
        <v>126130.54419433593</v>
      </c>
      <c r="N22" s="54">
        <v>112531.4590283203</v>
      </c>
      <c r="O22" s="54">
        <v>140145.05048583957</v>
      </c>
      <c r="P22" s="54">
        <v>107399.74097167968</v>
      </c>
      <c r="Q22" s="54">
        <v>200653.23071777317</v>
      </c>
      <c r="R22" s="54">
        <v>218186.04287109381</v>
      </c>
      <c r="S22" s="54">
        <v>183340.37119628876</v>
      </c>
      <c r="T22" s="54">
        <v>206497.5014355469</v>
      </c>
      <c r="U22" s="54">
        <v>194180.53760742192</v>
      </c>
      <c r="V22" s="54">
        <v>206984.52000000002</v>
      </c>
    </row>
    <row r="23" spans="1:22">
      <c r="A23" s="5">
        <f t="shared" si="4"/>
        <v>15</v>
      </c>
      <c r="B23" t="s">
        <v>7</v>
      </c>
      <c r="D23" s="85">
        <v>2330</v>
      </c>
      <c r="E23" s="142">
        <f t="shared" si="2"/>
        <v>626.30729323730611</v>
      </c>
      <c r="F23" s="85">
        <v>2870</v>
      </c>
      <c r="G23" s="19" t="s">
        <v>157</v>
      </c>
      <c r="H23" s="19">
        <v>6953.25</v>
      </c>
      <c r="I23" s="19"/>
      <c r="J23" s="146">
        <f t="shared" si="3"/>
        <v>2956.3072932373061</v>
      </c>
      <c r="K23" s="54">
        <v>365420.60972656251</v>
      </c>
      <c r="L23" s="54">
        <v>365277.35884277383</v>
      </c>
      <c r="M23" s="54">
        <v>491994.36247070343</v>
      </c>
      <c r="N23" s="54">
        <v>384599.63503133139</v>
      </c>
      <c r="O23" s="54">
        <v>356577.5050394698</v>
      </c>
      <c r="P23" s="54">
        <v>275141.46287190786</v>
      </c>
      <c r="Q23" s="54">
        <v>94880.820286458329</v>
      </c>
      <c r="R23" s="54">
        <v>-33904.298968098956</v>
      </c>
      <c r="S23" s="54">
        <v>8925.8123209635414</v>
      </c>
      <c r="T23" s="54">
        <v>107947.21971354166</v>
      </c>
      <c r="U23" s="54">
        <v>205954.81366699244</v>
      </c>
      <c r="V23" s="54">
        <v>333491.99223470083</v>
      </c>
    </row>
    <row r="24" spans="1:22">
      <c r="A24" s="5">
        <f t="shared" si="4"/>
        <v>16</v>
      </c>
      <c r="B24" t="s">
        <v>205</v>
      </c>
      <c r="D24" s="85">
        <v>5562</v>
      </c>
      <c r="E24" s="142">
        <f t="shared" si="2"/>
        <v>755.00991812254415</v>
      </c>
      <c r="F24" s="85">
        <v>6317</v>
      </c>
      <c r="G24" s="19" t="s">
        <v>157</v>
      </c>
      <c r="H24" s="19"/>
      <c r="I24" s="19"/>
      <c r="J24" s="146">
        <f t="shared" si="3"/>
        <v>6317.0099181225441</v>
      </c>
      <c r="K24" s="54">
        <v>507486.46364587406</v>
      </c>
      <c r="L24" s="54">
        <v>504989.29648803675</v>
      </c>
      <c r="M24" s="54">
        <v>461586.11395788298</v>
      </c>
      <c r="N24" s="54">
        <v>472591.65381969843</v>
      </c>
      <c r="O24" s="54">
        <v>488344.6847548809</v>
      </c>
      <c r="P24" s="54">
        <v>427274.59018847457</v>
      </c>
      <c r="Q24" s="54">
        <v>533290.85440172988</v>
      </c>
      <c r="R24" s="54">
        <v>619305.51740234368</v>
      </c>
      <c r="S24" s="54">
        <v>574355.96270507807</v>
      </c>
      <c r="T24" s="54">
        <v>636508.46778320312</v>
      </c>
      <c r="U24" s="54">
        <v>549383.94918945315</v>
      </c>
      <c r="V24" s="54">
        <v>541892.36378588679</v>
      </c>
    </row>
    <row r="25" spans="1:22">
      <c r="A25" s="5">
        <f t="shared" si="4"/>
        <v>17</v>
      </c>
      <c r="B25" t="s">
        <v>49</v>
      </c>
      <c r="D25" s="85">
        <v>34</v>
      </c>
      <c r="E25" s="142">
        <f t="shared" si="2"/>
        <v>-34</v>
      </c>
      <c r="F25" s="19">
        <v>0</v>
      </c>
      <c r="G25" s="19"/>
      <c r="H25" s="19">
        <v>921</v>
      </c>
      <c r="I25" s="90" t="s">
        <v>115</v>
      </c>
      <c r="J25" s="146">
        <f t="shared" si="3"/>
        <v>0</v>
      </c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</row>
    <row r="26" spans="1:22">
      <c r="A26" s="5">
        <f t="shared" si="4"/>
        <v>18</v>
      </c>
      <c r="B26" t="s">
        <v>141</v>
      </c>
      <c r="D26" s="85">
        <v>1654</v>
      </c>
      <c r="E26" s="142">
        <f t="shared" si="2"/>
        <v>-1654</v>
      </c>
      <c r="F26" s="19">
        <v>0</v>
      </c>
      <c r="G26" s="19"/>
      <c r="H26" s="19"/>
      <c r="I26" s="19"/>
      <c r="J26" s="146">
        <f t="shared" si="3"/>
        <v>0</v>
      </c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</row>
    <row r="27" spans="1:22">
      <c r="A27" s="5">
        <f t="shared" si="4"/>
        <v>19</v>
      </c>
      <c r="B27" s="17" t="s">
        <v>204</v>
      </c>
      <c r="C27" s="17"/>
      <c r="D27" s="86">
        <v>16541</v>
      </c>
      <c r="E27" s="143">
        <f t="shared" si="2"/>
        <v>4387.6500848437499</v>
      </c>
      <c r="F27" s="86">
        <v>20722</v>
      </c>
      <c r="G27" s="19" t="s">
        <v>157</v>
      </c>
      <c r="H27" s="19"/>
      <c r="I27" s="19"/>
      <c r="J27" s="148">
        <f t="shared" si="3"/>
        <v>20928.65008484375</v>
      </c>
      <c r="K27" s="54">
        <v>2365116.7749999999</v>
      </c>
      <c r="L27" s="54">
        <v>1846581.94921875</v>
      </c>
      <c r="M27" s="54">
        <v>2166356.1828124998</v>
      </c>
      <c r="N27" s="54">
        <v>1851863.41015625</v>
      </c>
      <c r="O27" s="54">
        <v>1629617.2453124998</v>
      </c>
      <c r="P27" s="54">
        <v>1306909.246875</v>
      </c>
      <c r="Q27" s="54">
        <v>1098639.9450000001</v>
      </c>
      <c r="R27" s="54">
        <v>1155240.9984375001</v>
      </c>
      <c r="S27" s="54">
        <v>1332899.80078125</v>
      </c>
      <c r="T27" s="54">
        <v>1638197.4740625003</v>
      </c>
      <c r="U27" s="54">
        <v>2113291.4765625</v>
      </c>
      <c r="V27" s="54">
        <v>2423935.5806249999</v>
      </c>
    </row>
    <row r="28" spans="1:22">
      <c r="A28" s="5">
        <f>A27+1</f>
        <v>20</v>
      </c>
      <c r="B28" t="s">
        <v>8</v>
      </c>
      <c r="D28" s="85">
        <f>SUM(D9:D27)</f>
        <v>177764</v>
      </c>
      <c r="E28" s="142">
        <f t="shared" si="2"/>
        <v>-66316.708946072788</v>
      </c>
      <c r="F28" s="19">
        <f>SUM(F9:F27)</f>
        <v>110052.3966355755</v>
      </c>
      <c r="G28" s="19"/>
      <c r="H28" s="19">
        <v>0</v>
      </c>
      <c r="I28" s="19"/>
      <c r="J28" s="146">
        <f t="shared" si="3"/>
        <v>111447.29105392721</v>
      </c>
      <c r="K28" s="25">
        <f>SUM(K9:K27)</f>
        <v>12265164.09261186</v>
      </c>
      <c r="L28" s="25">
        <f t="shared" ref="L28:P28" si="6">SUM(L9:L27)</f>
        <v>11221071.819138678</v>
      </c>
      <c r="M28" s="25">
        <f t="shared" si="6"/>
        <v>10108891.963249531</v>
      </c>
      <c r="N28" s="25">
        <f t="shared" si="6"/>
        <v>9346883.6909688301</v>
      </c>
      <c r="O28" s="25">
        <f t="shared" si="6"/>
        <v>7303739.570818048</v>
      </c>
      <c r="P28" s="25">
        <f t="shared" si="6"/>
        <v>7088730.2656170623</v>
      </c>
      <c r="Q28" s="25">
        <f t="shared" ref="Q28:V28" si="7">SUM(Q9:Q27)</f>
        <v>7232147.4187853467</v>
      </c>
      <c r="R28" s="25">
        <f t="shared" si="7"/>
        <v>8097018.9090962764</v>
      </c>
      <c r="S28" s="25">
        <f t="shared" si="7"/>
        <v>7065608.7858648337</v>
      </c>
      <c r="T28" s="25">
        <f t="shared" si="7"/>
        <v>7653799.8267874662</v>
      </c>
      <c r="U28" s="25">
        <f t="shared" si="7"/>
        <v>11766874.668108283</v>
      </c>
      <c r="V28" s="25">
        <f t="shared" si="7"/>
        <v>12297360.042880978</v>
      </c>
    </row>
    <row r="29" spans="1:22">
      <c r="A29" s="5"/>
      <c r="D29" s="85"/>
      <c r="E29" s="19"/>
      <c r="F29" s="19"/>
      <c r="G29" s="19"/>
      <c r="H29" s="39">
        <v>3186</v>
      </c>
      <c r="I29" s="19"/>
      <c r="J29" s="146"/>
    </row>
    <row r="30" spans="1:22">
      <c r="A30" s="5"/>
      <c r="B30" s="7" t="s">
        <v>26</v>
      </c>
      <c r="D30" s="19"/>
      <c r="E30" s="19"/>
      <c r="F30" s="19"/>
      <c r="G30" s="19"/>
      <c r="H30" s="19">
        <v>0</v>
      </c>
      <c r="I30" s="19"/>
      <c r="J30" s="146"/>
    </row>
    <row r="31" spans="1:22">
      <c r="A31" s="5">
        <f>A28+1</f>
        <v>21</v>
      </c>
      <c r="B31" t="s">
        <v>12</v>
      </c>
      <c r="D31" s="85">
        <v>407</v>
      </c>
      <c r="E31" s="142">
        <f t="shared" ref="E31:E37" si="8">J31-D31</f>
        <v>0</v>
      </c>
      <c r="F31" s="125">
        <v>407</v>
      </c>
      <c r="G31" s="90"/>
      <c r="H31" s="86">
        <v>150</v>
      </c>
      <c r="I31" s="90"/>
      <c r="J31" s="146">
        <f>SUM(K31:V31)/1000</f>
        <v>407.00000000000006</v>
      </c>
      <c r="K31" s="54">
        <v>33916.666666666664</v>
      </c>
      <c r="L31" s="54">
        <v>33916.666666666664</v>
      </c>
      <c r="M31" s="54">
        <v>33916.666666666664</v>
      </c>
      <c r="N31" s="54">
        <v>33916.666666666664</v>
      </c>
      <c r="O31" s="54">
        <v>33916.666666666664</v>
      </c>
      <c r="P31" s="54">
        <v>33916.666666666664</v>
      </c>
      <c r="Q31" s="54">
        <f t="shared" ref="Q31:V31" si="9">407000/12</f>
        <v>33916.666666666664</v>
      </c>
      <c r="R31" s="54">
        <f t="shared" si="9"/>
        <v>33916.666666666664</v>
      </c>
      <c r="S31" s="54">
        <f t="shared" si="9"/>
        <v>33916.666666666664</v>
      </c>
      <c r="T31" s="54">
        <f t="shared" si="9"/>
        <v>33916.666666666664</v>
      </c>
      <c r="U31" s="54">
        <f t="shared" si="9"/>
        <v>33916.666666666664</v>
      </c>
      <c r="V31" s="54">
        <f t="shared" si="9"/>
        <v>33916.666666666664</v>
      </c>
    </row>
    <row r="32" spans="1:22">
      <c r="A32" s="5">
        <f>A31+1</f>
        <v>22</v>
      </c>
      <c r="B32" t="s">
        <v>207</v>
      </c>
      <c r="D32" s="85">
        <v>645</v>
      </c>
      <c r="E32" s="142">
        <f t="shared" si="8"/>
        <v>-645</v>
      </c>
      <c r="F32" s="85">
        <v>0</v>
      </c>
      <c r="G32" s="85"/>
      <c r="H32" s="85"/>
      <c r="I32" s="19"/>
      <c r="J32" s="146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</row>
    <row r="33" spans="1:22">
      <c r="A33" s="5">
        <f>A32+1</f>
        <v>23</v>
      </c>
      <c r="B33" t="s">
        <v>233</v>
      </c>
      <c r="D33" s="85">
        <v>109</v>
      </c>
      <c r="E33" s="142">
        <f t="shared" si="8"/>
        <v>-109</v>
      </c>
      <c r="F33" s="85">
        <v>0</v>
      </c>
      <c r="G33" s="85"/>
      <c r="H33" s="85"/>
      <c r="I33" s="19"/>
      <c r="J33" s="146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</row>
    <row r="34" spans="1:22">
      <c r="A34" s="5">
        <f t="shared" ref="A34:A35" si="10">A33+1</f>
        <v>24</v>
      </c>
      <c r="B34" t="s">
        <v>237</v>
      </c>
      <c r="D34" s="85">
        <v>-5310</v>
      </c>
      <c r="E34" s="142">
        <f t="shared" si="8"/>
        <v>5310</v>
      </c>
      <c r="F34" s="85"/>
      <c r="G34" s="85"/>
      <c r="H34" s="85"/>
      <c r="I34" s="19"/>
      <c r="J34" s="146">
        <v>0</v>
      </c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</row>
    <row r="35" spans="1:22">
      <c r="A35" s="5">
        <f t="shared" si="10"/>
        <v>25</v>
      </c>
      <c r="B35" t="s">
        <v>232</v>
      </c>
      <c r="D35" s="85">
        <v>1</v>
      </c>
      <c r="E35" s="142">
        <f t="shared" si="8"/>
        <v>-1</v>
      </c>
      <c r="F35" s="85">
        <v>0</v>
      </c>
      <c r="G35" s="85"/>
      <c r="H35" s="85"/>
      <c r="I35" s="19"/>
      <c r="J35" s="146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</row>
    <row r="36" spans="1:22">
      <c r="A36" s="5">
        <f t="shared" ref="A36" si="11">A35+1</f>
        <v>26</v>
      </c>
      <c r="B36" s="17" t="s">
        <v>154</v>
      </c>
      <c r="C36" s="17"/>
      <c r="D36" s="85">
        <v>86543</v>
      </c>
      <c r="E36" s="143">
        <f t="shared" si="8"/>
        <v>-86543</v>
      </c>
      <c r="F36" s="19">
        <v>0</v>
      </c>
      <c r="G36" s="19"/>
      <c r="H36" s="19">
        <v>152</v>
      </c>
      <c r="I36" s="90" t="s">
        <v>122</v>
      </c>
      <c r="J36" s="148">
        <f>SUM(K36:V36)/1000</f>
        <v>0</v>
      </c>
    </row>
    <row r="37" spans="1:22">
      <c r="A37" s="5">
        <f>A36+1</f>
        <v>27</v>
      </c>
      <c r="B37" t="s">
        <v>13</v>
      </c>
      <c r="D37" s="101">
        <f>SUM(D31:D36)</f>
        <v>82395</v>
      </c>
      <c r="E37" s="142">
        <f t="shared" si="8"/>
        <v>-81988</v>
      </c>
      <c r="F37" s="21">
        <f>SUM(F31:F36)</f>
        <v>407</v>
      </c>
      <c r="G37" s="19"/>
      <c r="H37" s="19"/>
      <c r="I37" s="19"/>
      <c r="J37" s="146">
        <f>SUM(K37:V37)/1000</f>
        <v>407.00000000000006</v>
      </c>
      <c r="K37" s="55">
        <v>33916.666666666664</v>
      </c>
      <c r="L37" s="55">
        <v>33916.666666666664</v>
      </c>
      <c r="M37" s="55">
        <v>33916.666666666664</v>
      </c>
      <c r="N37" s="55">
        <v>33916.666666666664</v>
      </c>
      <c r="O37" s="55">
        <v>33916.666666666664</v>
      </c>
      <c r="P37" s="55">
        <v>33916.666666666664</v>
      </c>
      <c r="Q37" s="55">
        <f t="shared" ref="Q37:V37" si="12">SUM(Q31:Q36)</f>
        <v>33916.666666666664</v>
      </c>
      <c r="R37" s="55">
        <f t="shared" si="12"/>
        <v>33916.666666666664</v>
      </c>
      <c r="S37" s="55">
        <f t="shared" si="12"/>
        <v>33916.666666666664</v>
      </c>
      <c r="T37" s="55">
        <f t="shared" si="12"/>
        <v>33916.666666666664</v>
      </c>
      <c r="U37" s="55">
        <f t="shared" si="12"/>
        <v>33916.666666666664</v>
      </c>
      <c r="V37" s="55">
        <f t="shared" si="12"/>
        <v>33916.666666666664</v>
      </c>
    </row>
    <row r="38" spans="1:22">
      <c r="A38" s="5"/>
      <c r="D38" s="19"/>
      <c r="E38" s="19"/>
      <c r="F38" s="19"/>
      <c r="G38" s="19"/>
      <c r="H38" s="19"/>
      <c r="I38" s="19"/>
      <c r="J38" s="146"/>
    </row>
    <row r="39" spans="1:22">
      <c r="A39" s="5"/>
      <c r="B39" s="7" t="s">
        <v>47</v>
      </c>
      <c r="D39" s="19"/>
      <c r="E39" s="19"/>
      <c r="F39" s="19"/>
      <c r="G39" s="19"/>
      <c r="H39" s="19">
        <v>78</v>
      </c>
      <c r="I39" s="19"/>
      <c r="J39" s="146"/>
    </row>
    <row r="40" spans="1:22">
      <c r="A40" s="5">
        <f>A37+1</f>
        <v>28</v>
      </c>
      <c r="B40" t="s">
        <v>45</v>
      </c>
      <c r="C40" s="13"/>
      <c r="D40" s="85">
        <v>6231</v>
      </c>
      <c r="E40" s="142">
        <f t="shared" ref="E40:E44" si="13">J40-D40</f>
        <v>-600.85643481016723</v>
      </c>
      <c r="F40" s="85">
        <f>'WGJ-4'!C27/1000</f>
        <v>5630.1435651898328</v>
      </c>
      <c r="G40" s="85"/>
      <c r="H40" s="86">
        <v>0</v>
      </c>
      <c r="I40" s="90" t="s">
        <v>121</v>
      </c>
      <c r="J40" s="146">
        <f>SUM(K40:V40)/1000</f>
        <v>5630.1435651898328</v>
      </c>
      <c r="K40" s="25">
        <f>'WGJ-4'!D27</f>
        <v>601026.56974792399</v>
      </c>
      <c r="L40" s="25">
        <f>'WGJ-4'!E27</f>
        <v>516255.57765960693</v>
      </c>
      <c r="M40" s="25">
        <f>'WGJ-4'!F27</f>
        <v>510636.02371215803</v>
      </c>
      <c r="N40" s="25">
        <f>'WGJ-4'!G27</f>
        <v>437112.03536987299</v>
      </c>
      <c r="O40" s="25">
        <f>'WGJ-4'!H27</f>
        <v>305516.58382415702</v>
      </c>
      <c r="P40" s="25">
        <f>'WGJ-4'!I27</f>
        <v>16343.884479999499</v>
      </c>
      <c r="Q40" s="25">
        <f>'WGJ-4'!J27</f>
        <v>418520.77522277803</v>
      </c>
      <c r="R40" s="25">
        <f>'WGJ-4'!K27</f>
        <v>554292.63610839797</v>
      </c>
      <c r="S40" s="25">
        <f>'WGJ-4'!L27</f>
        <v>563600.61264037993</v>
      </c>
      <c r="T40" s="25">
        <f>'WGJ-4'!M27</f>
        <v>557676.30691528297</v>
      </c>
      <c r="U40" s="25">
        <f>'WGJ-4'!N27</f>
        <v>549035.95046997</v>
      </c>
      <c r="V40" s="25">
        <f>'WGJ-4'!O27</f>
        <v>600126.60903930606</v>
      </c>
    </row>
    <row r="41" spans="1:22">
      <c r="A41" s="5">
        <f>A40+1</f>
        <v>29</v>
      </c>
      <c r="B41" t="s">
        <v>171</v>
      </c>
      <c r="C41" s="13"/>
      <c r="D41" s="87">
        <v>14</v>
      </c>
      <c r="E41" s="142">
        <f t="shared" si="13"/>
        <v>0</v>
      </c>
      <c r="F41" s="19">
        <v>14</v>
      </c>
      <c r="G41" s="19"/>
      <c r="H41" s="19">
        <v>78</v>
      </c>
      <c r="I41" s="19"/>
      <c r="J41" s="146">
        <f>SUM(K41:V41)/1000</f>
        <v>13.999999999999998</v>
      </c>
      <c r="K41" s="18">
        <f t="shared" ref="K41:V41" si="14">$F41/12*1000</f>
        <v>1166.6666666666667</v>
      </c>
      <c r="L41" s="18">
        <f t="shared" si="14"/>
        <v>1166.6666666666667</v>
      </c>
      <c r="M41" s="18">
        <f t="shared" si="14"/>
        <v>1166.6666666666667</v>
      </c>
      <c r="N41" s="18">
        <f t="shared" si="14"/>
        <v>1166.6666666666667</v>
      </c>
      <c r="O41" s="18">
        <f t="shared" si="14"/>
        <v>1166.6666666666667</v>
      </c>
      <c r="P41" s="18">
        <f t="shared" si="14"/>
        <v>1166.6666666666667</v>
      </c>
      <c r="Q41" s="18">
        <f t="shared" si="14"/>
        <v>1166.6666666666667</v>
      </c>
      <c r="R41" s="18">
        <f t="shared" si="14"/>
        <v>1166.6666666666667</v>
      </c>
      <c r="S41" s="18">
        <f t="shared" si="14"/>
        <v>1166.6666666666667</v>
      </c>
      <c r="T41" s="18">
        <f t="shared" si="14"/>
        <v>1166.6666666666667</v>
      </c>
      <c r="U41" s="18">
        <f t="shared" si="14"/>
        <v>1166.6666666666667</v>
      </c>
      <c r="V41" s="18">
        <f t="shared" si="14"/>
        <v>1166.6666666666667</v>
      </c>
    </row>
    <row r="42" spans="1:22">
      <c r="A42" s="5">
        <f>A41+1</f>
        <v>30</v>
      </c>
      <c r="B42" s="12" t="s">
        <v>46</v>
      </c>
      <c r="C42" s="11"/>
      <c r="D42" s="85">
        <v>22168</v>
      </c>
      <c r="E42" s="142">
        <f t="shared" si="13"/>
        <v>1213.779691053438</v>
      </c>
      <c r="F42" s="85">
        <f>'WGJ-4'!C23/1000</f>
        <v>23381.779691053438</v>
      </c>
      <c r="G42" s="85"/>
      <c r="H42" s="85"/>
      <c r="I42" s="90" t="s">
        <v>121</v>
      </c>
      <c r="J42" s="146">
        <f>SUM(K42:V42)/1000</f>
        <v>23381.779691053438</v>
      </c>
      <c r="K42" s="78">
        <f>'WGJ-4'!D23</f>
        <v>2036597.0840120816</v>
      </c>
      <c r="L42" s="78">
        <f>'WGJ-4'!E23</f>
        <v>1899336.1064577608</v>
      </c>
      <c r="M42" s="78">
        <f>'WGJ-4'!F23</f>
        <v>2022306.8259859588</v>
      </c>
      <c r="N42" s="78">
        <f>'WGJ-4'!G23</f>
        <v>1877798.9829683797</v>
      </c>
      <c r="O42" s="78">
        <f>'WGJ-4'!H23</f>
        <v>1694719.8897982149</v>
      </c>
      <c r="P42" s="78">
        <f>'WGJ-4'!I23</f>
        <v>1567779.1011477024</v>
      </c>
      <c r="Q42" s="78">
        <f>'WGJ-4'!J23</f>
        <v>1987604.6304600609</v>
      </c>
      <c r="R42" s="78">
        <f>'WGJ-4'!K23</f>
        <v>2059937.7004521266</v>
      </c>
      <c r="S42" s="78">
        <f>'WGJ-4'!L23</f>
        <v>2041763.0666630638</v>
      </c>
      <c r="T42" s="78">
        <f>'WGJ-4'!M23</f>
        <v>2078044.6622746368</v>
      </c>
      <c r="U42" s="78">
        <f>'WGJ-4'!N23</f>
        <v>2034885.0164311298</v>
      </c>
      <c r="V42" s="78">
        <f>'WGJ-4'!O23</f>
        <v>2081006.6244023219</v>
      </c>
    </row>
    <row r="43" spans="1:22">
      <c r="A43" s="5">
        <f>A42+1</f>
        <v>31</v>
      </c>
      <c r="B43" s="17" t="s">
        <v>190</v>
      </c>
      <c r="C43" s="40"/>
      <c r="D43" s="139">
        <v>229</v>
      </c>
      <c r="E43" s="143">
        <f t="shared" si="13"/>
        <v>0</v>
      </c>
      <c r="F43" s="86">
        <v>229</v>
      </c>
      <c r="G43" s="19"/>
      <c r="H43" s="19"/>
      <c r="I43" s="19"/>
      <c r="J43" s="148">
        <f>SUM(K43:V43)/1000</f>
        <v>229.00000000000003</v>
      </c>
      <c r="K43" s="102">
        <f t="shared" ref="K43:V43" si="15">$F43/12*1000</f>
        <v>19083.333333333332</v>
      </c>
      <c r="L43" s="102">
        <f t="shared" si="15"/>
        <v>19083.333333333332</v>
      </c>
      <c r="M43" s="102">
        <f t="shared" si="15"/>
        <v>19083.333333333332</v>
      </c>
      <c r="N43" s="102">
        <f t="shared" si="15"/>
        <v>19083.333333333332</v>
      </c>
      <c r="O43" s="102">
        <f t="shared" si="15"/>
        <v>19083.333333333332</v>
      </c>
      <c r="P43" s="102">
        <f t="shared" si="15"/>
        <v>19083.333333333332</v>
      </c>
      <c r="Q43" s="102">
        <f t="shared" si="15"/>
        <v>19083.333333333332</v>
      </c>
      <c r="R43" s="102">
        <f t="shared" si="15"/>
        <v>19083.333333333332</v>
      </c>
      <c r="S43" s="102">
        <f t="shared" si="15"/>
        <v>19083.333333333332</v>
      </c>
      <c r="T43" s="102">
        <f t="shared" si="15"/>
        <v>19083.333333333332</v>
      </c>
      <c r="U43" s="102">
        <f t="shared" si="15"/>
        <v>19083.333333333332</v>
      </c>
      <c r="V43" s="102">
        <f t="shared" si="15"/>
        <v>19083.333333333332</v>
      </c>
    </row>
    <row r="44" spans="1:22">
      <c r="A44" s="11">
        <f>A43+1</f>
        <v>32</v>
      </c>
      <c r="B44" t="s">
        <v>22</v>
      </c>
      <c r="D44" s="85">
        <f>SUM(D40:D43)</f>
        <v>28642</v>
      </c>
      <c r="E44" s="142">
        <f t="shared" si="13"/>
        <v>612.92325624327714</v>
      </c>
      <c r="F44" s="19">
        <f>SUM(F40:F43)</f>
        <v>29254.92325624327</v>
      </c>
      <c r="G44" s="19"/>
      <c r="H44" s="19">
        <v>8095.4688974966612</v>
      </c>
      <c r="I44" s="19"/>
      <c r="J44" s="146">
        <f>SUM(K44:V44)/1000</f>
        <v>29254.923256243277</v>
      </c>
      <c r="K44" s="25">
        <f>SUM(K40:K43)</f>
        <v>2657873.6537600057</v>
      </c>
      <c r="L44" s="25">
        <f t="shared" ref="L44:P44" si="16">SUM(L40:L43)</f>
        <v>2435841.684117368</v>
      </c>
      <c r="M44" s="25">
        <f t="shared" si="16"/>
        <v>2553192.849698117</v>
      </c>
      <c r="N44" s="25">
        <f t="shared" si="16"/>
        <v>2335161.0183382528</v>
      </c>
      <c r="O44" s="25">
        <f t="shared" si="16"/>
        <v>2020486.4736223719</v>
      </c>
      <c r="P44" s="25">
        <f t="shared" si="16"/>
        <v>1604372.9856277017</v>
      </c>
      <c r="Q44" s="25">
        <f t="shared" ref="Q44:V44" si="17">SUM(Q40:Q43)</f>
        <v>2426375.405682839</v>
      </c>
      <c r="R44" s="25">
        <f t="shared" si="17"/>
        <v>2634480.3365605245</v>
      </c>
      <c r="S44" s="25">
        <f t="shared" si="17"/>
        <v>2625613.679303444</v>
      </c>
      <c r="T44" s="25">
        <f t="shared" si="17"/>
        <v>2655970.96918992</v>
      </c>
      <c r="U44" s="25">
        <f t="shared" si="17"/>
        <v>2604170.9669010998</v>
      </c>
      <c r="V44" s="25">
        <f t="shared" si="17"/>
        <v>2701383.2334416281</v>
      </c>
    </row>
    <row r="45" spans="1:22">
      <c r="A45" s="5"/>
      <c r="D45" s="19"/>
      <c r="E45" s="19"/>
      <c r="F45" s="19"/>
      <c r="G45" s="19"/>
      <c r="H45" s="19">
        <v>0</v>
      </c>
      <c r="I45" s="19"/>
      <c r="J45" s="146"/>
    </row>
    <row r="46" spans="1:22">
      <c r="A46" s="5"/>
      <c r="B46" s="7" t="s">
        <v>48</v>
      </c>
      <c r="D46" s="19"/>
      <c r="E46" s="19"/>
      <c r="F46" s="19"/>
      <c r="G46" s="19"/>
      <c r="H46" s="19">
        <v>10682.990036010742</v>
      </c>
      <c r="I46" s="19"/>
      <c r="J46" s="146"/>
    </row>
    <row r="47" spans="1:22">
      <c r="A47" s="5">
        <f>A44+1</f>
        <v>33</v>
      </c>
      <c r="B47" s="16" t="s">
        <v>57</v>
      </c>
      <c r="D47" s="85">
        <v>42752</v>
      </c>
      <c r="E47" s="142">
        <f t="shared" ref="E47:E58" si="18">J47-D47</f>
        <v>-6127.4190201056263</v>
      </c>
      <c r="F47" s="85">
        <f>'WGJ-4'!C31/1000</f>
        <v>36624.580979894374</v>
      </c>
      <c r="G47" s="85"/>
      <c r="H47" s="86">
        <v>188</v>
      </c>
      <c r="I47" s="90" t="s">
        <v>121</v>
      </c>
      <c r="J47" s="146">
        <f t="shared" ref="J47:J57" si="19">SUM(K47:V47)/1000</f>
        <v>36624.580979894374</v>
      </c>
      <c r="K47" s="25">
        <f>'WGJ-4'!D31</f>
        <v>4305446.0881970236</v>
      </c>
      <c r="L47" s="25">
        <f>'WGJ-4'!E31</f>
        <v>3453800.884329984</v>
      </c>
      <c r="M47" s="25">
        <f>'WGJ-4'!F31</f>
        <v>3680838.0276228352</v>
      </c>
      <c r="N47" s="25">
        <f>'WGJ-4'!G31</f>
        <v>2643425.2600070289</v>
      </c>
      <c r="O47" s="25">
        <f>'WGJ-4'!H31</f>
        <v>1476594.0992015749</v>
      </c>
      <c r="P47" s="25">
        <f>'WGJ-4'!I31</f>
        <v>929854.18456333713</v>
      </c>
      <c r="Q47" s="25">
        <f>'WGJ-4'!J31</f>
        <v>2426949.4677620521</v>
      </c>
      <c r="R47" s="25">
        <f>'WGJ-4'!K31</f>
        <v>3294625.0499735642</v>
      </c>
      <c r="S47" s="25">
        <f>'WGJ-4'!L31</f>
        <v>3364610.7474835087</v>
      </c>
      <c r="T47" s="25">
        <f>'WGJ-4'!M31</f>
        <v>3292024.4895748389</v>
      </c>
      <c r="U47" s="25">
        <f>'WGJ-4'!N31</f>
        <v>3477660.6980995308</v>
      </c>
      <c r="V47" s="25">
        <f>'WGJ-4'!O31</f>
        <v>4278751.9830791047</v>
      </c>
    </row>
    <row r="48" spans="1:22">
      <c r="A48" s="5">
        <f>A47+1</f>
        <v>34</v>
      </c>
      <c r="B48" s="16" t="s">
        <v>178</v>
      </c>
      <c r="D48" s="85">
        <v>6247</v>
      </c>
      <c r="E48" s="142">
        <f t="shared" si="18"/>
        <v>889.00000000000091</v>
      </c>
      <c r="F48" s="85">
        <v>7136</v>
      </c>
      <c r="G48" s="19"/>
      <c r="H48" s="19">
        <v>18966.458933507405</v>
      </c>
      <c r="I48" s="19"/>
      <c r="J48" s="146">
        <f t="shared" si="19"/>
        <v>7136.0000000000009</v>
      </c>
      <c r="K48" s="79">
        <f t="shared" ref="K48:V48" si="20">$F48/12*1000</f>
        <v>594666.66666666663</v>
      </c>
      <c r="L48" s="79">
        <f t="shared" si="20"/>
        <v>594666.66666666663</v>
      </c>
      <c r="M48" s="79">
        <f t="shared" si="20"/>
        <v>594666.66666666663</v>
      </c>
      <c r="N48" s="79">
        <f t="shared" si="20"/>
        <v>594666.66666666663</v>
      </c>
      <c r="O48" s="79">
        <f t="shared" si="20"/>
        <v>594666.66666666663</v>
      </c>
      <c r="P48" s="79">
        <f t="shared" si="20"/>
        <v>594666.66666666663</v>
      </c>
      <c r="Q48" s="79">
        <f t="shared" si="20"/>
        <v>594666.66666666663</v>
      </c>
      <c r="R48" s="79">
        <f t="shared" si="20"/>
        <v>594666.66666666663</v>
      </c>
      <c r="S48" s="79">
        <f t="shared" si="20"/>
        <v>594666.66666666663</v>
      </c>
      <c r="T48" s="79">
        <f t="shared" si="20"/>
        <v>594666.66666666663</v>
      </c>
      <c r="U48" s="79">
        <f t="shared" si="20"/>
        <v>594666.66666666663</v>
      </c>
      <c r="V48" s="79">
        <f t="shared" si="20"/>
        <v>594666.66666666663</v>
      </c>
    </row>
    <row r="49" spans="1:22">
      <c r="A49" s="5">
        <f t="shared" ref="A49:A58" si="21">A48+1</f>
        <v>35</v>
      </c>
      <c r="B49" s="16" t="s">
        <v>164</v>
      </c>
      <c r="D49" s="85">
        <v>33676</v>
      </c>
      <c r="E49" s="142">
        <f t="shared" si="18"/>
        <v>-70.453241542774776</v>
      </c>
      <c r="F49" s="85">
        <f>'WGJ-4'!C35/1000</f>
        <v>33605.546758457225</v>
      </c>
      <c r="G49" s="19"/>
      <c r="H49" s="19"/>
      <c r="I49" s="19"/>
      <c r="J49" s="146">
        <f t="shared" si="19"/>
        <v>33605.546758457225</v>
      </c>
      <c r="K49" s="79">
        <f>'WGJ-4'!D35</f>
        <v>4006520.1633850201</v>
      </c>
      <c r="L49" s="79">
        <f>'WGJ-4'!E35</f>
        <v>3190524.7624383415</v>
      </c>
      <c r="M49" s="79">
        <f>'WGJ-4'!F35</f>
        <v>3409405.3344245795</v>
      </c>
      <c r="N49" s="79">
        <f>'WGJ-4'!G35</f>
        <v>2434701.617960732</v>
      </c>
      <c r="O49" s="79">
        <f>'WGJ-4'!H35</f>
        <v>1380571.5800911486</v>
      </c>
      <c r="P49" s="79">
        <f>'WGJ-4'!I35</f>
        <v>937700.21384157869</v>
      </c>
      <c r="Q49" s="79">
        <f>'WGJ-4'!J35</f>
        <v>2120761.4816806205</v>
      </c>
      <c r="R49" s="79">
        <f>'WGJ-4'!K35</f>
        <v>2819149.6793990224</v>
      </c>
      <c r="S49" s="79">
        <f>'WGJ-4'!L35</f>
        <v>2936904.8125248998</v>
      </c>
      <c r="T49" s="79">
        <f>'WGJ-4'!M35</f>
        <v>3122452.1307323161</v>
      </c>
      <c r="U49" s="79">
        <f>'WGJ-4'!N35</f>
        <v>3277819.7112992764</v>
      </c>
      <c r="V49" s="79">
        <f>'WGJ-4'!O35</f>
        <v>3969035.2706796946</v>
      </c>
    </row>
    <row r="50" spans="1:22">
      <c r="A50" s="5">
        <f t="shared" si="21"/>
        <v>36</v>
      </c>
      <c r="B50" s="16" t="s">
        <v>177</v>
      </c>
      <c r="D50" s="85">
        <v>5409</v>
      </c>
      <c r="E50" s="142">
        <f t="shared" si="18"/>
        <v>386.00000000000091</v>
      </c>
      <c r="F50" s="85">
        <v>5795</v>
      </c>
      <c r="G50" s="19"/>
      <c r="H50" s="19"/>
      <c r="I50" s="19"/>
      <c r="J50" s="146">
        <f t="shared" si="19"/>
        <v>5795.0000000000009</v>
      </c>
      <c r="K50" s="79">
        <f t="shared" ref="K50:V50" si="22">$F50/12*1000</f>
        <v>482916.66666666669</v>
      </c>
      <c r="L50" s="79">
        <f t="shared" si="22"/>
        <v>482916.66666666669</v>
      </c>
      <c r="M50" s="79">
        <f t="shared" si="22"/>
        <v>482916.66666666669</v>
      </c>
      <c r="N50" s="79">
        <f t="shared" si="22"/>
        <v>482916.66666666669</v>
      </c>
      <c r="O50" s="79">
        <f t="shared" si="22"/>
        <v>482916.66666666669</v>
      </c>
      <c r="P50" s="79">
        <f t="shared" si="22"/>
        <v>482916.66666666669</v>
      </c>
      <c r="Q50" s="79">
        <f t="shared" si="22"/>
        <v>482916.66666666669</v>
      </c>
      <c r="R50" s="79">
        <f t="shared" si="22"/>
        <v>482916.66666666669</v>
      </c>
      <c r="S50" s="79">
        <f t="shared" si="22"/>
        <v>482916.66666666669</v>
      </c>
      <c r="T50" s="79">
        <f t="shared" si="22"/>
        <v>482916.66666666669</v>
      </c>
      <c r="U50" s="79">
        <f t="shared" si="22"/>
        <v>482916.66666666669</v>
      </c>
      <c r="V50" s="79">
        <f t="shared" si="22"/>
        <v>482916.66666666669</v>
      </c>
    </row>
    <row r="51" spans="1:22">
      <c r="A51" s="5">
        <f t="shared" si="21"/>
        <v>37</v>
      </c>
      <c r="B51" t="s">
        <v>183</v>
      </c>
      <c r="D51" s="85">
        <v>0</v>
      </c>
      <c r="E51" s="142">
        <f t="shared" si="18"/>
        <v>938.02599999999984</v>
      </c>
      <c r="F51" s="125">
        <v>1876</v>
      </c>
      <c r="G51" s="19"/>
      <c r="H51" s="19"/>
      <c r="I51" s="19"/>
      <c r="J51" s="146">
        <f t="shared" si="19"/>
        <v>938.02599999999984</v>
      </c>
      <c r="K51" s="79">
        <v>0</v>
      </c>
      <c r="L51" s="79">
        <v>0</v>
      </c>
      <c r="M51" s="79">
        <v>0</v>
      </c>
      <c r="N51" s="79">
        <v>0</v>
      </c>
      <c r="O51" s="79">
        <v>0</v>
      </c>
      <c r="P51" s="79">
        <v>0</v>
      </c>
      <c r="Q51" s="79">
        <f t="shared" ref="Q51:V51" si="23">1876052/12</f>
        <v>156337.66666666666</v>
      </c>
      <c r="R51" s="79">
        <f t="shared" si="23"/>
        <v>156337.66666666666</v>
      </c>
      <c r="S51" s="79">
        <f t="shared" si="23"/>
        <v>156337.66666666666</v>
      </c>
      <c r="T51" s="79">
        <f t="shared" si="23"/>
        <v>156337.66666666666</v>
      </c>
      <c r="U51" s="79">
        <f t="shared" si="23"/>
        <v>156337.66666666666</v>
      </c>
      <c r="V51" s="79">
        <f t="shared" si="23"/>
        <v>156337.66666666666</v>
      </c>
    </row>
    <row r="52" spans="1:22">
      <c r="A52" s="5">
        <f t="shared" si="21"/>
        <v>38</v>
      </c>
      <c r="B52" t="s">
        <v>208</v>
      </c>
      <c r="D52" s="85">
        <v>0</v>
      </c>
      <c r="E52" s="142">
        <f t="shared" si="18"/>
        <v>-9000</v>
      </c>
      <c r="F52" s="85">
        <v>-11065</v>
      </c>
      <c r="G52" s="19"/>
      <c r="H52" s="19"/>
      <c r="I52" s="19"/>
      <c r="J52" s="146">
        <f t="shared" si="19"/>
        <v>-9000</v>
      </c>
      <c r="K52" s="79">
        <v>-750000</v>
      </c>
      <c r="L52" s="79">
        <v>-750000</v>
      </c>
      <c r="M52" s="79">
        <v>-750000</v>
      </c>
      <c r="N52" s="79">
        <v>-750000</v>
      </c>
      <c r="O52" s="79">
        <v>-750000</v>
      </c>
      <c r="P52" s="79">
        <v>-750000</v>
      </c>
      <c r="Q52" s="79">
        <v>-750000</v>
      </c>
      <c r="R52" s="79">
        <v>-750000</v>
      </c>
      <c r="S52" s="79">
        <v>-750000</v>
      </c>
      <c r="T52" s="79">
        <v>-750000</v>
      </c>
      <c r="U52" s="79">
        <v>-750000</v>
      </c>
      <c r="V52" s="79">
        <v>-750000</v>
      </c>
    </row>
    <row r="53" spans="1:22">
      <c r="A53" s="5">
        <f t="shared" si="21"/>
        <v>39</v>
      </c>
      <c r="B53" t="s">
        <v>188</v>
      </c>
      <c r="D53" s="85">
        <v>53</v>
      </c>
      <c r="E53" s="142">
        <f t="shared" si="18"/>
        <v>0</v>
      </c>
      <c r="F53" s="125">
        <v>53</v>
      </c>
      <c r="G53" s="19"/>
      <c r="H53" s="19"/>
      <c r="I53" s="19"/>
      <c r="J53" s="146">
        <f t="shared" si="19"/>
        <v>52.999999999999993</v>
      </c>
      <c r="K53" s="127">
        <f t="shared" ref="K53:V53" si="24">53000/12</f>
        <v>4416.666666666667</v>
      </c>
      <c r="L53" s="127">
        <f t="shared" si="24"/>
        <v>4416.666666666667</v>
      </c>
      <c r="M53" s="127">
        <f t="shared" si="24"/>
        <v>4416.666666666667</v>
      </c>
      <c r="N53" s="127">
        <f t="shared" si="24"/>
        <v>4416.666666666667</v>
      </c>
      <c r="O53" s="127">
        <f t="shared" si="24"/>
        <v>4416.666666666667</v>
      </c>
      <c r="P53" s="127">
        <f t="shared" si="24"/>
        <v>4416.666666666667</v>
      </c>
      <c r="Q53" s="127">
        <f t="shared" si="24"/>
        <v>4416.666666666667</v>
      </c>
      <c r="R53" s="127">
        <f t="shared" si="24"/>
        <v>4416.666666666667</v>
      </c>
      <c r="S53" s="127">
        <f t="shared" si="24"/>
        <v>4416.666666666667</v>
      </c>
      <c r="T53" s="127">
        <f t="shared" si="24"/>
        <v>4416.666666666667</v>
      </c>
      <c r="U53" s="127">
        <f t="shared" si="24"/>
        <v>4416.666666666667</v>
      </c>
      <c r="V53" s="127">
        <f t="shared" si="24"/>
        <v>4416.666666666667</v>
      </c>
    </row>
    <row r="54" spans="1:22">
      <c r="A54" s="5">
        <f t="shared" si="21"/>
        <v>40</v>
      </c>
      <c r="B54" s="12" t="s">
        <v>61</v>
      </c>
      <c r="C54" s="12"/>
      <c r="D54" s="85">
        <v>1832</v>
      </c>
      <c r="E54" s="142">
        <f t="shared" si="18"/>
        <v>362.17144362453291</v>
      </c>
      <c r="F54" s="85">
        <f>'WGJ-4'!C47/1000</f>
        <v>2194.1714436245329</v>
      </c>
      <c r="G54" s="85"/>
      <c r="H54" s="85"/>
      <c r="I54" s="90" t="s">
        <v>121</v>
      </c>
      <c r="J54" s="146">
        <f t="shared" si="19"/>
        <v>2194.1714436245329</v>
      </c>
      <c r="K54" s="25">
        <f>'WGJ-4'!D47</f>
        <v>223285.39506936006</v>
      </c>
      <c r="L54" s="25">
        <f>'WGJ-4'!E47</f>
        <v>118480.90639183504</v>
      </c>
      <c r="M54" s="25">
        <f>'WGJ-4'!F47</f>
        <v>23087.938644838228</v>
      </c>
      <c r="N54" s="25">
        <f>'WGJ-4'!G47</f>
        <v>11733.74988570212</v>
      </c>
      <c r="O54" s="25">
        <f>'WGJ-4'!H47</f>
        <v>5424.1707542657705</v>
      </c>
      <c r="P54" s="25">
        <f>'WGJ-4'!I47</f>
        <v>48478.811356425176</v>
      </c>
      <c r="Q54" s="25">
        <f>'WGJ-4'!J47</f>
        <v>312156.6140420608</v>
      </c>
      <c r="R54" s="25">
        <f>'WGJ-4'!K47</f>
        <v>701245.6624404894</v>
      </c>
      <c r="S54" s="25">
        <f>'WGJ-4'!L47</f>
        <v>249302.71271274021</v>
      </c>
      <c r="T54" s="25">
        <f>'WGJ-4'!M47</f>
        <v>45095.798382163004</v>
      </c>
      <c r="U54" s="25">
        <f>'WGJ-4'!N47</f>
        <v>107324.47718596447</v>
      </c>
      <c r="V54" s="25">
        <f>'WGJ-4'!O47</f>
        <v>348555.20675868879</v>
      </c>
    </row>
    <row r="55" spans="1:22">
      <c r="A55" s="5">
        <f t="shared" si="21"/>
        <v>41</v>
      </c>
      <c r="B55" t="s">
        <v>60</v>
      </c>
      <c r="D55" s="85">
        <v>50</v>
      </c>
      <c r="E55" s="142">
        <f t="shared" si="18"/>
        <v>95.191895828395872</v>
      </c>
      <c r="F55" s="85">
        <f>'WGJ-4'!C51/1000</f>
        <v>145.19189582839587</v>
      </c>
      <c r="G55" s="85"/>
      <c r="H55" s="85"/>
      <c r="I55" s="90" t="s">
        <v>121</v>
      </c>
      <c r="J55" s="146">
        <f t="shared" si="19"/>
        <v>145.19189582839587</v>
      </c>
      <c r="K55" s="25">
        <f>'WGJ-4'!D51</f>
        <v>17797.799158096299</v>
      </c>
      <c r="L55" s="25">
        <f>'WGJ-4'!E51</f>
        <v>6658.3452701568503</v>
      </c>
      <c r="M55" s="25">
        <f>'WGJ-4'!F51</f>
        <v>59.568136930465599</v>
      </c>
      <c r="N55" s="25">
        <f>'WGJ-4'!G51</f>
        <v>0</v>
      </c>
      <c r="O55" s="25">
        <f>'WGJ-4'!H51</f>
        <v>0</v>
      </c>
      <c r="P55" s="25">
        <f>'WGJ-4'!I51</f>
        <v>4828.5612165927796</v>
      </c>
      <c r="Q55" s="25">
        <f>'WGJ-4'!J51</f>
        <v>16278.33171188831</v>
      </c>
      <c r="R55" s="25">
        <f>'WGJ-4'!K51</f>
        <v>70579.886247217495</v>
      </c>
      <c r="S55" s="25">
        <f>'WGJ-4'!L51</f>
        <v>10112.445612251751</v>
      </c>
      <c r="T55" s="25">
        <f>'WGJ-4'!M51</f>
        <v>824.82577040791409</v>
      </c>
      <c r="U55" s="25">
        <f>'WGJ-4'!N51</f>
        <v>1589.6598786115642</v>
      </c>
      <c r="V55" s="25">
        <f>'WGJ-4'!O51</f>
        <v>16462.47282624244</v>
      </c>
    </row>
    <row r="56" spans="1:22">
      <c r="A56" s="5">
        <f t="shared" si="21"/>
        <v>42</v>
      </c>
      <c r="B56" t="s">
        <v>58</v>
      </c>
      <c r="D56" s="85">
        <v>613</v>
      </c>
      <c r="E56" s="142">
        <f t="shared" si="18"/>
        <v>281.61401033960033</v>
      </c>
      <c r="F56" s="85">
        <f>'WGJ-4'!C39/1000</f>
        <v>894.61401033960033</v>
      </c>
      <c r="G56" s="85"/>
      <c r="H56" s="85">
        <v>59394.366704579188</v>
      </c>
      <c r="I56" s="90" t="s">
        <v>121</v>
      </c>
      <c r="J56" s="146">
        <f t="shared" si="19"/>
        <v>894.61401033960033</v>
      </c>
      <c r="K56" s="25">
        <f>'WGJ-4'!D39</f>
        <v>102791.586875915</v>
      </c>
      <c r="L56" s="25">
        <f>'WGJ-4'!E39</f>
        <v>63600.616617128202</v>
      </c>
      <c r="M56" s="25">
        <f>'WGJ-4'!F39</f>
        <v>50208.132132887797</v>
      </c>
      <c r="N56" s="25">
        <f>'WGJ-4'!G39</f>
        <v>38724.027463793704</v>
      </c>
      <c r="O56" s="25">
        <f>'WGJ-4'!H39</f>
        <v>19323.229479044599</v>
      </c>
      <c r="P56" s="25">
        <f>'WGJ-4'!I39</f>
        <v>24450.571968406399</v>
      </c>
      <c r="Q56" s="25">
        <f>'WGJ-4'!J39</f>
        <v>107305.66711425701</v>
      </c>
      <c r="R56" s="25">
        <f>'WGJ-4'!K39</f>
        <v>146979.28237914998</v>
      </c>
      <c r="S56" s="25">
        <f>'WGJ-4'!L39</f>
        <v>89984.589350223498</v>
      </c>
      <c r="T56" s="25">
        <f>'WGJ-4'!M39</f>
        <v>39479.195079207399</v>
      </c>
      <c r="U56" s="25">
        <f>'WGJ-4'!N39</f>
        <v>81701.994854211807</v>
      </c>
      <c r="V56" s="25">
        <f>'WGJ-4'!O39</f>
        <v>130065.117025375</v>
      </c>
    </row>
    <row r="57" spans="1:22">
      <c r="A57" s="5">
        <f t="shared" si="21"/>
        <v>43</v>
      </c>
      <c r="B57" s="100" t="s">
        <v>59</v>
      </c>
      <c r="C57" s="17"/>
      <c r="D57" s="86">
        <v>156</v>
      </c>
      <c r="E57" s="143">
        <f t="shared" si="18"/>
        <v>108.07603858318146</v>
      </c>
      <c r="F57" s="86">
        <f>'WGJ-4'!C43/1000</f>
        <v>264.07603858318146</v>
      </c>
      <c r="G57" s="85"/>
      <c r="H57" s="85">
        <v>6240</v>
      </c>
      <c r="I57" s="90" t="s">
        <v>121</v>
      </c>
      <c r="J57" s="148">
        <f t="shared" si="19"/>
        <v>264.07603858318146</v>
      </c>
      <c r="K57" s="117">
        <f>'WGJ-4'!D43</f>
        <v>24088.7436181306</v>
      </c>
      <c r="L57" s="117">
        <f>'WGJ-4'!E43</f>
        <v>14982.439028471701</v>
      </c>
      <c r="M57" s="117">
        <f>'WGJ-4'!F43</f>
        <v>6887.2597016394102</v>
      </c>
      <c r="N57" s="117">
        <f>'WGJ-4'!G43</f>
        <v>2932.1877596899803</v>
      </c>
      <c r="O57" s="117">
        <f>'WGJ-4'!H43</f>
        <v>2328.78524716943</v>
      </c>
      <c r="P57" s="117">
        <f>'WGJ-4'!I43</f>
        <v>7645.6091890111502</v>
      </c>
      <c r="Q57" s="117">
        <f>'WGJ-4'!J43</f>
        <v>35334.506844729098</v>
      </c>
      <c r="R57" s="117">
        <f>'WGJ-4'!K43</f>
        <v>61424.9718248844</v>
      </c>
      <c r="S57" s="117">
        <f>'WGJ-4'!L43</f>
        <v>34283.374915271997</v>
      </c>
      <c r="T57" s="117">
        <f>'WGJ-4'!M43</f>
        <v>11626.196282356901</v>
      </c>
      <c r="U57" s="117">
        <f>'WGJ-4'!N43</f>
        <v>20357.256922125798</v>
      </c>
      <c r="V57" s="117">
        <f>'WGJ-4'!O43</f>
        <v>42184.707249701001</v>
      </c>
    </row>
    <row r="58" spans="1:22">
      <c r="A58" s="5">
        <f t="shared" si="21"/>
        <v>44</v>
      </c>
      <c r="B58" t="s">
        <v>44</v>
      </c>
      <c r="D58" s="85">
        <f>SUM(D47:D57)</f>
        <v>90788</v>
      </c>
      <c r="E58" s="142">
        <f t="shared" si="18"/>
        <v>-12137.792873272687</v>
      </c>
      <c r="F58" s="19">
        <f>SUM(F47:F57)</f>
        <v>77523.181126727315</v>
      </c>
      <c r="G58" s="19"/>
      <c r="H58" s="19">
        <v>0.11360950271288535</v>
      </c>
      <c r="I58" s="19"/>
      <c r="J58" s="146">
        <f t="shared" ref="J58:V58" si="25">SUM(J47:J57)</f>
        <v>78650.207126727313</v>
      </c>
      <c r="K58" s="25">
        <f t="shared" si="25"/>
        <v>9011929.7763035465</v>
      </c>
      <c r="L58" s="25">
        <f t="shared" si="25"/>
        <v>7180047.9540759176</v>
      </c>
      <c r="M58" s="25">
        <f t="shared" si="25"/>
        <v>7502486.2606637115</v>
      </c>
      <c r="N58" s="25">
        <f t="shared" si="25"/>
        <v>5463516.8430769481</v>
      </c>
      <c r="O58" s="25">
        <f t="shared" si="25"/>
        <v>3216241.8647732032</v>
      </c>
      <c r="P58" s="25">
        <f t="shared" si="25"/>
        <v>2284957.9521353515</v>
      </c>
      <c r="Q58" s="25">
        <f t="shared" si="25"/>
        <v>5507123.7358222753</v>
      </c>
      <c r="R58" s="25">
        <f t="shared" si="25"/>
        <v>7582342.1989309955</v>
      </c>
      <c r="S58" s="25">
        <f t="shared" si="25"/>
        <v>7173536.3492655633</v>
      </c>
      <c r="T58" s="25">
        <f t="shared" si="25"/>
        <v>6999840.3024879573</v>
      </c>
      <c r="U58" s="25">
        <f t="shared" si="25"/>
        <v>7454791.464906388</v>
      </c>
      <c r="V58" s="25">
        <f t="shared" si="25"/>
        <v>9273392.4242854733</v>
      </c>
    </row>
    <row r="59" spans="1:22" ht="12" customHeight="1">
      <c r="A59" s="5"/>
      <c r="D59" s="85"/>
      <c r="E59" s="142"/>
      <c r="F59" s="19"/>
      <c r="G59" s="19"/>
      <c r="H59" s="19"/>
      <c r="I59" s="19"/>
      <c r="J59" s="146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</row>
    <row r="60" spans="1:22">
      <c r="A60" s="5"/>
      <c r="D60" s="85"/>
      <c r="E60" s="142"/>
      <c r="F60" s="19"/>
      <c r="G60" s="19"/>
      <c r="H60" s="19"/>
      <c r="I60" s="19"/>
      <c r="J60" s="146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</row>
    <row r="61" spans="1:22">
      <c r="A61" s="5"/>
      <c r="D61" s="19"/>
      <c r="E61" s="19"/>
      <c r="F61" s="19"/>
      <c r="G61" s="19"/>
      <c r="H61" s="19">
        <v>3237.8010523088278</v>
      </c>
      <c r="I61" s="19"/>
      <c r="J61" s="8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</row>
    <row r="62" spans="1:22">
      <c r="A62" s="5"/>
      <c r="B62" s="7" t="s">
        <v>10</v>
      </c>
      <c r="D62" s="19"/>
      <c r="E62" s="19" t="s">
        <v>9</v>
      </c>
      <c r="F62" s="19"/>
      <c r="G62" s="19"/>
      <c r="H62" s="39">
        <v>480</v>
      </c>
      <c r="I62" s="19"/>
      <c r="J62" s="146"/>
    </row>
    <row r="63" spans="1:22">
      <c r="A63" s="5">
        <f>A58+1</f>
        <v>45</v>
      </c>
      <c r="B63" t="s">
        <v>5</v>
      </c>
      <c r="C63" s="12"/>
      <c r="D63" s="85">
        <v>894</v>
      </c>
      <c r="E63" s="19">
        <f>J63-D63</f>
        <v>73.000000000000114</v>
      </c>
      <c r="F63" s="85">
        <v>943</v>
      </c>
      <c r="G63" s="19"/>
      <c r="H63" s="19">
        <v>70026.232758276092</v>
      </c>
      <c r="I63" s="19"/>
      <c r="J63" s="146">
        <f t="shared" ref="J63:J72" si="26">SUM(K63:V63)/1000</f>
        <v>967.00000000000011</v>
      </c>
      <c r="K63" s="55">
        <v>82583.333333333328</v>
      </c>
      <c r="L63" s="55">
        <v>82583.333333333328</v>
      </c>
      <c r="M63" s="55">
        <v>82583.333333333328</v>
      </c>
      <c r="N63" s="55">
        <v>82583.333333333328</v>
      </c>
      <c r="O63" s="55">
        <v>82583.333333333328</v>
      </c>
      <c r="P63" s="55">
        <v>82583.333333333328</v>
      </c>
      <c r="Q63" s="55">
        <f t="shared" ref="Q63:V64" si="27">$F63*1000/12</f>
        <v>78583.333333333328</v>
      </c>
      <c r="R63" s="55">
        <f t="shared" si="27"/>
        <v>78583.333333333328</v>
      </c>
      <c r="S63" s="55">
        <f t="shared" si="27"/>
        <v>78583.333333333328</v>
      </c>
      <c r="T63" s="55">
        <f t="shared" si="27"/>
        <v>78583.333333333328</v>
      </c>
      <c r="U63" s="55">
        <f t="shared" si="27"/>
        <v>78583.333333333328</v>
      </c>
      <c r="V63" s="55">
        <f t="shared" si="27"/>
        <v>78583.333333333328</v>
      </c>
    </row>
    <row r="64" spans="1:22">
      <c r="A64" s="5">
        <f>A63+1</f>
        <v>46</v>
      </c>
      <c r="B64" t="s">
        <v>221</v>
      </c>
      <c r="D64" s="85">
        <f>136+2</f>
        <v>138</v>
      </c>
      <c r="E64" s="19">
        <f t="shared" ref="E64:E72" si="28">J64-D64</f>
        <v>0</v>
      </c>
      <c r="F64" s="85">
        <v>138</v>
      </c>
      <c r="G64" s="19"/>
      <c r="H64" s="19"/>
      <c r="I64" s="19"/>
      <c r="J64" s="146">
        <f t="shared" si="26"/>
        <v>138</v>
      </c>
      <c r="K64" s="55">
        <v>11500</v>
      </c>
      <c r="L64" s="55">
        <v>11500</v>
      </c>
      <c r="M64" s="55">
        <v>11500</v>
      </c>
      <c r="N64" s="55">
        <v>11500</v>
      </c>
      <c r="O64" s="55">
        <v>11500</v>
      </c>
      <c r="P64" s="55">
        <v>11500</v>
      </c>
      <c r="Q64" s="55">
        <f t="shared" si="27"/>
        <v>11500</v>
      </c>
      <c r="R64" s="55">
        <f t="shared" si="27"/>
        <v>11500</v>
      </c>
      <c r="S64" s="55">
        <f t="shared" si="27"/>
        <v>11500</v>
      </c>
      <c r="T64" s="55">
        <f t="shared" si="27"/>
        <v>11500</v>
      </c>
      <c r="U64" s="55">
        <f t="shared" si="27"/>
        <v>11500</v>
      </c>
      <c r="V64" s="55">
        <f t="shared" si="27"/>
        <v>11500</v>
      </c>
    </row>
    <row r="65" spans="1:22">
      <c r="A65" s="5">
        <f t="shared" ref="A65:A72" si="29">A64+1</f>
        <v>47</v>
      </c>
      <c r="B65" t="s">
        <v>202</v>
      </c>
      <c r="D65" s="85">
        <v>12067</v>
      </c>
      <c r="E65" s="19">
        <f t="shared" si="28"/>
        <v>592.01599999999962</v>
      </c>
      <c r="F65" s="85">
        <v>12354</v>
      </c>
      <c r="G65" s="85"/>
      <c r="H65" s="85">
        <v>772</v>
      </c>
      <c r="I65" s="88"/>
      <c r="J65" s="146">
        <f t="shared" si="26"/>
        <v>12659.016</v>
      </c>
      <c r="K65" s="55">
        <v>1067556</v>
      </c>
      <c r="L65" s="55">
        <v>1067556</v>
      </c>
      <c r="M65" s="55">
        <v>1067556</v>
      </c>
      <c r="N65" s="55">
        <v>1067556</v>
      </c>
      <c r="O65" s="55">
        <v>1067556</v>
      </c>
      <c r="P65" s="55">
        <v>1067556</v>
      </c>
      <c r="Q65" s="55">
        <v>1016720</v>
      </c>
      <c r="R65" s="55">
        <v>1016720</v>
      </c>
      <c r="S65" s="55">
        <v>1016720</v>
      </c>
      <c r="T65" s="55">
        <v>1067840</v>
      </c>
      <c r="U65" s="55">
        <v>1067840</v>
      </c>
      <c r="V65" s="55">
        <v>1067840</v>
      </c>
    </row>
    <row r="66" spans="1:22">
      <c r="A66" s="5">
        <f t="shared" si="29"/>
        <v>48</v>
      </c>
      <c r="B66" t="s">
        <v>24</v>
      </c>
      <c r="D66" s="85">
        <v>1501</v>
      </c>
      <c r="E66" s="19">
        <f t="shared" si="28"/>
        <v>63.25534999999968</v>
      </c>
      <c r="F66" s="85">
        <v>1527</v>
      </c>
      <c r="G66" s="19" t="s">
        <v>156</v>
      </c>
      <c r="H66" s="19">
        <v>49</v>
      </c>
      <c r="I66" s="19"/>
      <c r="J66" s="146">
        <f t="shared" si="26"/>
        <v>1564.2553499999997</v>
      </c>
      <c r="K66" s="55">
        <v>131925.15</v>
      </c>
      <c r="L66" s="55">
        <v>131925.15</v>
      </c>
      <c r="M66" s="55">
        <v>131925.15</v>
      </c>
      <c r="N66" s="55">
        <v>131925.15</v>
      </c>
      <c r="O66" s="55">
        <v>131925.15</v>
      </c>
      <c r="P66" s="55">
        <v>131925.15</v>
      </c>
      <c r="Q66" s="55">
        <v>125643</v>
      </c>
      <c r="R66" s="55">
        <v>125643</v>
      </c>
      <c r="S66" s="55">
        <v>125643</v>
      </c>
      <c r="T66" s="55">
        <v>131925.15</v>
      </c>
      <c r="U66" s="55">
        <v>131925.15</v>
      </c>
      <c r="V66" s="55">
        <v>131925.15</v>
      </c>
    </row>
    <row r="67" spans="1:22">
      <c r="A67" s="5">
        <f t="shared" si="29"/>
        <v>49</v>
      </c>
      <c r="B67" t="s">
        <v>94</v>
      </c>
      <c r="D67" s="85">
        <v>1373</v>
      </c>
      <c r="E67" s="19">
        <f t="shared" si="28"/>
        <v>81.654401120000557</v>
      </c>
      <c r="F67" s="85">
        <v>1418</v>
      </c>
      <c r="G67" s="90"/>
      <c r="H67" s="19">
        <v>348</v>
      </c>
      <c r="I67" s="19"/>
      <c r="J67" s="146">
        <f t="shared" si="26"/>
        <v>1454.6544011200006</v>
      </c>
      <c r="K67" s="55">
        <v>160042.78332000002</v>
      </c>
      <c r="L67" s="55">
        <v>140242.20465360003</v>
      </c>
      <c r="M67" s="55">
        <v>127387.05735840002</v>
      </c>
      <c r="N67" s="55">
        <v>133887.03690600002</v>
      </c>
      <c r="O67" s="55">
        <v>117476.320122</v>
      </c>
      <c r="P67" s="55">
        <v>87856.085478000008</v>
      </c>
      <c r="Q67" s="55">
        <v>132712.63364000001</v>
      </c>
      <c r="R67" s="55">
        <v>127312.81360000001</v>
      </c>
      <c r="S67" s="55">
        <v>108514.70956000002</v>
      </c>
      <c r="T67" s="55">
        <v>83647.210961999997</v>
      </c>
      <c r="U67" s="55">
        <v>90670.44381360001</v>
      </c>
      <c r="V67" s="55">
        <v>144905.10170639999</v>
      </c>
    </row>
    <row r="68" spans="1:22">
      <c r="A68" s="5">
        <f t="shared" si="29"/>
        <v>50</v>
      </c>
      <c r="B68" t="s">
        <v>93</v>
      </c>
      <c r="D68" s="85">
        <v>45</v>
      </c>
      <c r="E68" s="19">
        <f t="shared" si="28"/>
        <v>0.22200000000000131</v>
      </c>
      <c r="F68" s="85">
        <v>45</v>
      </c>
      <c r="G68" s="19"/>
      <c r="H68" s="19">
        <v>8315</v>
      </c>
      <c r="I68" s="19"/>
      <c r="J68" s="146">
        <f t="shared" si="26"/>
        <v>45.222000000000001</v>
      </c>
      <c r="K68" s="55">
        <v>3768.5</v>
      </c>
      <c r="L68" s="55">
        <v>3768.5</v>
      </c>
      <c r="M68" s="55">
        <v>3768.5</v>
      </c>
      <c r="N68" s="55">
        <v>3768.5</v>
      </c>
      <c r="O68" s="55">
        <v>3768.5</v>
      </c>
      <c r="P68" s="55">
        <v>3768.5</v>
      </c>
      <c r="Q68" s="55">
        <v>3768.5</v>
      </c>
      <c r="R68" s="55">
        <v>3768.5</v>
      </c>
      <c r="S68" s="55">
        <v>3768.5</v>
      </c>
      <c r="T68" s="55">
        <v>3768.5</v>
      </c>
      <c r="U68" s="55">
        <v>3768.5</v>
      </c>
      <c r="V68" s="55">
        <v>3768.5</v>
      </c>
    </row>
    <row r="69" spans="1:22">
      <c r="A69" s="5">
        <f t="shared" si="29"/>
        <v>51</v>
      </c>
      <c r="B69" t="s">
        <v>124</v>
      </c>
      <c r="D69" s="85">
        <v>135</v>
      </c>
      <c r="E69" s="19">
        <f t="shared" si="28"/>
        <v>5.0000000000000284</v>
      </c>
      <c r="F69" s="85">
        <v>140</v>
      </c>
      <c r="G69" s="19"/>
      <c r="H69" s="19">
        <v>1245</v>
      </c>
      <c r="I69" s="19"/>
      <c r="J69" s="146">
        <f t="shared" si="26"/>
        <v>140.00000000000003</v>
      </c>
      <c r="K69" s="55">
        <v>11666.666666666666</v>
      </c>
      <c r="L69" s="55">
        <v>11666.666666666666</v>
      </c>
      <c r="M69" s="55">
        <v>11666.666666666666</v>
      </c>
      <c r="N69" s="55">
        <v>11666.666666666666</v>
      </c>
      <c r="O69" s="55">
        <v>11666.666666666666</v>
      </c>
      <c r="P69" s="55">
        <v>11666.666666666666</v>
      </c>
      <c r="Q69" s="55">
        <f t="shared" ref="Q69:V69" si="30">$F69*1000/12</f>
        <v>11666.666666666666</v>
      </c>
      <c r="R69" s="55">
        <f t="shared" si="30"/>
        <v>11666.666666666666</v>
      </c>
      <c r="S69" s="55">
        <f t="shared" si="30"/>
        <v>11666.666666666666</v>
      </c>
      <c r="T69" s="55">
        <f t="shared" si="30"/>
        <v>11666.666666666666</v>
      </c>
      <c r="U69" s="55">
        <f t="shared" si="30"/>
        <v>11666.666666666666</v>
      </c>
      <c r="V69" s="55">
        <f t="shared" si="30"/>
        <v>11666.666666666666</v>
      </c>
    </row>
    <row r="70" spans="1:22">
      <c r="A70" s="5">
        <f t="shared" si="29"/>
        <v>52</v>
      </c>
      <c r="B70" t="s">
        <v>203</v>
      </c>
      <c r="C70" s="12"/>
      <c r="D70" s="85">
        <v>558</v>
      </c>
      <c r="E70" s="19">
        <f t="shared" si="28"/>
        <v>0</v>
      </c>
      <c r="F70" s="85">
        <v>558</v>
      </c>
      <c r="G70" s="90"/>
      <c r="H70" s="19">
        <v>1689</v>
      </c>
      <c r="I70" s="19"/>
      <c r="J70" s="146">
        <f t="shared" si="26"/>
        <v>558</v>
      </c>
      <c r="K70" s="55">
        <v>46500</v>
      </c>
      <c r="L70" s="55">
        <v>46500</v>
      </c>
      <c r="M70" s="55">
        <v>46500</v>
      </c>
      <c r="N70" s="55">
        <v>46500</v>
      </c>
      <c r="O70" s="55">
        <v>46500</v>
      </c>
      <c r="P70" s="55">
        <v>46500</v>
      </c>
      <c r="Q70" s="55">
        <f t="shared" ref="Q70:V70" si="31">558000/12</f>
        <v>46500</v>
      </c>
      <c r="R70" s="55">
        <f t="shared" si="31"/>
        <v>46500</v>
      </c>
      <c r="S70" s="55">
        <f t="shared" si="31"/>
        <v>46500</v>
      </c>
      <c r="T70" s="55">
        <f t="shared" si="31"/>
        <v>46500</v>
      </c>
      <c r="U70" s="55">
        <f t="shared" si="31"/>
        <v>46500</v>
      </c>
      <c r="V70" s="55">
        <f t="shared" si="31"/>
        <v>46500</v>
      </c>
    </row>
    <row r="71" spans="1:22">
      <c r="A71" s="5">
        <f t="shared" si="29"/>
        <v>53</v>
      </c>
      <c r="B71" s="17" t="s">
        <v>28</v>
      </c>
      <c r="C71" s="17"/>
      <c r="D71" s="86">
        <v>643</v>
      </c>
      <c r="E71" s="39">
        <f t="shared" si="28"/>
        <v>-0.41200000000003456</v>
      </c>
      <c r="F71" s="86">
        <v>643</v>
      </c>
      <c r="G71" s="19"/>
      <c r="H71" s="19">
        <v>32.112000000000002</v>
      </c>
      <c r="I71" s="19"/>
      <c r="J71" s="148">
        <f t="shared" si="26"/>
        <v>642.58799999999997</v>
      </c>
      <c r="K71" s="99">
        <v>53549</v>
      </c>
      <c r="L71" s="99">
        <v>53549</v>
      </c>
      <c r="M71" s="99">
        <v>53549</v>
      </c>
      <c r="N71" s="99">
        <v>53549</v>
      </c>
      <c r="O71" s="99">
        <v>53549</v>
      </c>
      <c r="P71" s="99">
        <v>53549</v>
      </c>
      <c r="Q71" s="99">
        <v>53549</v>
      </c>
      <c r="R71" s="99">
        <v>53549</v>
      </c>
      <c r="S71" s="99">
        <v>53549</v>
      </c>
      <c r="T71" s="99">
        <v>53549</v>
      </c>
      <c r="U71" s="99">
        <v>53549</v>
      </c>
      <c r="V71" s="99">
        <v>53549</v>
      </c>
    </row>
    <row r="72" spans="1:22">
      <c r="A72" s="5">
        <f t="shared" si="29"/>
        <v>54</v>
      </c>
      <c r="B72" t="s">
        <v>11</v>
      </c>
      <c r="D72" s="85">
        <f>SUM(D63:D71)</f>
        <v>17354</v>
      </c>
      <c r="E72" s="19">
        <f t="shared" si="28"/>
        <v>814.73575111999889</v>
      </c>
      <c r="F72" s="19">
        <f>SUM(F63:F71)</f>
        <v>17766</v>
      </c>
      <c r="G72" s="19"/>
      <c r="H72" s="19">
        <v>214</v>
      </c>
      <c r="I72" s="19"/>
      <c r="J72" s="146">
        <f t="shared" si="26"/>
        <v>18168.735751119999</v>
      </c>
      <c r="K72" s="25">
        <f>SUM(K63:K71)</f>
        <v>1569091.4333199998</v>
      </c>
      <c r="L72" s="25">
        <f t="shared" ref="L72:P72" si="32">SUM(L63:L71)</f>
        <v>1549290.8546535999</v>
      </c>
      <c r="M72" s="25">
        <f t="shared" si="32"/>
        <v>1536435.7073583999</v>
      </c>
      <c r="N72" s="25">
        <f t="shared" si="32"/>
        <v>1542935.6869059999</v>
      </c>
      <c r="O72" s="25">
        <f t="shared" si="32"/>
        <v>1526524.970122</v>
      </c>
      <c r="P72" s="25">
        <f t="shared" si="32"/>
        <v>1496904.735478</v>
      </c>
      <c r="Q72" s="25">
        <f t="shared" ref="Q72:V72" si="33">SUM(Q63:Q71)</f>
        <v>1480643.1336399999</v>
      </c>
      <c r="R72" s="25">
        <f t="shared" si="33"/>
        <v>1475243.3136</v>
      </c>
      <c r="S72" s="25">
        <f t="shared" si="33"/>
        <v>1456445.2095600001</v>
      </c>
      <c r="T72" s="25">
        <f t="shared" si="33"/>
        <v>1488979.860962</v>
      </c>
      <c r="U72" s="25">
        <f t="shared" si="33"/>
        <v>1496003.0938136</v>
      </c>
      <c r="V72" s="25">
        <f t="shared" si="33"/>
        <v>1550237.7517064</v>
      </c>
    </row>
    <row r="73" spans="1:22" ht="12.95" customHeight="1">
      <c r="A73" s="5"/>
      <c r="D73" s="19"/>
      <c r="E73" s="19"/>
      <c r="F73" s="19"/>
      <c r="G73" s="19"/>
      <c r="H73" s="39">
        <v>643</v>
      </c>
      <c r="I73" s="19"/>
      <c r="J73" s="146"/>
    </row>
    <row r="74" spans="1:22" ht="12" customHeight="1">
      <c r="A74" s="5"/>
      <c r="B74" s="7" t="s">
        <v>14</v>
      </c>
      <c r="D74" s="19"/>
      <c r="E74" s="19"/>
      <c r="F74" s="19"/>
      <c r="G74" s="19"/>
      <c r="H74" s="19">
        <v>13307.111999999999</v>
      </c>
      <c r="I74" s="19"/>
      <c r="J74" s="146"/>
    </row>
    <row r="75" spans="1:22" ht="12" customHeight="1">
      <c r="A75" s="5">
        <f>A72+1</f>
        <v>55</v>
      </c>
      <c r="B75" t="s">
        <v>103</v>
      </c>
      <c r="D75" s="85">
        <v>997</v>
      </c>
      <c r="E75" s="85">
        <f>F75-D75</f>
        <v>32</v>
      </c>
      <c r="F75" s="85">
        <v>1029</v>
      </c>
      <c r="G75" s="85"/>
      <c r="H75" s="85"/>
      <c r="I75" s="19"/>
      <c r="J75" s="146">
        <f t="shared" ref="J75" si="34">SUM(K75:V75)/1000</f>
        <v>1029</v>
      </c>
      <c r="K75" s="55">
        <v>85750</v>
      </c>
      <c r="L75" s="55">
        <v>85750</v>
      </c>
      <c r="M75" s="55">
        <v>85750</v>
      </c>
      <c r="N75" s="55">
        <v>85750</v>
      </c>
      <c r="O75" s="55">
        <v>85750</v>
      </c>
      <c r="P75" s="55">
        <v>85750</v>
      </c>
      <c r="Q75" s="55">
        <f t="shared" ref="Q75:V75" si="35">$F75*1000/12</f>
        <v>85750</v>
      </c>
      <c r="R75" s="55">
        <f t="shared" si="35"/>
        <v>85750</v>
      </c>
      <c r="S75" s="55">
        <f t="shared" si="35"/>
        <v>85750</v>
      </c>
      <c r="T75" s="55">
        <f t="shared" si="35"/>
        <v>85750</v>
      </c>
      <c r="U75" s="55">
        <f t="shared" si="35"/>
        <v>85750</v>
      </c>
      <c r="V75" s="55">
        <f t="shared" si="35"/>
        <v>85750</v>
      </c>
    </row>
    <row r="76" spans="1:22" ht="12" customHeight="1">
      <c r="A76" s="5"/>
      <c r="D76" s="19"/>
      <c r="E76" s="19"/>
      <c r="F76" s="19"/>
      <c r="G76" s="19"/>
      <c r="H76" s="19"/>
      <c r="I76" s="19"/>
      <c r="J76" s="146"/>
    </row>
    <row r="77" spans="1:22" ht="12" customHeight="1">
      <c r="A77" s="5">
        <f>A75+1</f>
        <v>56</v>
      </c>
      <c r="B77" s="41" t="s">
        <v>15</v>
      </c>
      <c r="C77" s="35"/>
      <c r="D77" s="42">
        <f>D28+D37+D44+D58+D72+D75</f>
        <v>397940</v>
      </c>
      <c r="E77" s="42">
        <f>J77-D77</f>
        <v>-158982.84281198218</v>
      </c>
      <c r="F77" s="42">
        <f>F28+F37+F44+F58+F72+F75</f>
        <v>236032.50101854609</v>
      </c>
      <c r="G77" s="42"/>
      <c r="H77" s="42">
        <v>133</v>
      </c>
      <c r="I77" s="42"/>
      <c r="J77" s="149">
        <f>J28+J37+J44+J58+J72+J75</f>
        <v>238957.15718801782</v>
      </c>
    </row>
    <row r="78" spans="1:22" ht="12" customHeight="1">
      <c r="A78" s="5"/>
      <c r="B78" s="2"/>
      <c r="D78" s="19"/>
      <c r="E78" s="19"/>
      <c r="F78" s="19"/>
      <c r="G78" s="19"/>
      <c r="H78" s="39"/>
      <c r="I78" s="19"/>
      <c r="J78" s="146"/>
    </row>
    <row r="79" spans="1:22" ht="12" customHeight="1">
      <c r="A79" s="5"/>
      <c r="B79" s="7" t="s">
        <v>16</v>
      </c>
      <c r="D79" s="19"/>
      <c r="E79" s="19"/>
      <c r="F79" s="19"/>
      <c r="G79" s="19"/>
      <c r="H79" s="42">
        <v>188457.26014905036</v>
      </c>
      <c r="I79" s="19"/>
      <c r="J79" s="146"/>
      <c r="K79" s="46">
        <v>41639</v>
      </c>
      <c r="L79" s="46">
        <v>41670</v>
      </c>
      <c r="M79" s="46">
        <v>41698</v>
      </c>
      <c r="N79" s="46">
        <v>41729</v>
      </c>
      <c r="O79" s="46">
        <v>41759</v>
      </c>
      <c r="P79" s="46">
        <v>41790</v>
      </c>
      <c r="Q79" s="46">
        <v>41455</v>
      </c>
      <c r="R79" s="46">
        <v>41486</v>
      </c>
      <c r="S79" s="46">
        <v>41517</v>
      </c>
      <c r="T79" s="46">
        <v>41547</v>
      </c>
      <c r="U79" s="46">
        <v>41578</v>
      </c>
      <c r="V79" s="46">
        <v>41608</v>
      </c>
    </row>
    <row r="80" spans="1:22" ht="12.95" customHeight="1">
      <c r="A80" s="5">
        <f>A77+1</f>
        <v>57</v>
      </c>
      <c r="B80" t="s">
        <v>152</v>
      </c>
      <c r="D80" s="85">
        <v>0</v>
      </c>
      <c r="E80" s="19">
        <f>J80-D80</f>
        <v>41129.617935419024</v>
      </c>
      <c r="F80" s="19">
        <f>-'WGJ-4'!C9/1000</f>
        <v>41129.617935419024</v>
      </c>
      <c r="G80" s="19"/>
      <c r="H80" s="19"/>
      <c r="I80" s="18"/>
      <c r="J80" s="146">
        <f>SUM(K80:V80)/1000</f>
        <v>41129.617935419024</v>
      </c>
      <c r="K80" s="25">
        <f>-'WGJ-4'!D9</f>
        <v>3743090.7855987498</v>
      </c>
      <c r="L80" s="25">
        <f>-'WGJ-4'!E9</f>
        <v>2679631.0303688003</v>
      </c>
      <c r="M80" s="25">
        <f>-'WGJ-4'!F9</f>
        <v>3309054.5468330299</v>
      </c>
      <c r="N80" s="25">
        <f>-'WGJ-4'!G9</f>
        <v>5887582.3577880803</v>
      </c>
      <c r="O80" s="25">
        <f>-'WGJ-4'!H9</f>
        <v>4720686.3639831496</v>
      </c>
      <c r="P80" s="25">
        <f>-'WGJ-4'!I9</f>
        <v>2429799.7030735002</v>
      </c>
      <c r="Q80" s="25">
        <f>-'WGJ-4'!J9</f>
        <v>3334983.9740753099</v>
      </c>
      <c r="R80" s="25">
        <f>-'WGJ-4'!K9</f>
        <v>2256416.1582946698</v>
      </c>
      <c r="S80" s="25">
        <f>-'WGJ-4'!L9</f>
        <v>2844487.78839111</v>
      </c>
      <c r="T80" s="25">
        <f>-'WGJ-4'!M9</f>
        <v>1915938.96694183</v>
      </c>
      <c r="U80" s="25">
        <f>-'WGJ-4'!N9</f>
        <v>3096587.5244140602</v>
      </c>
      <c r="V80" s="25">
        <f>-'WGJ-4'!O9</f>
        <v>4911358.7356567299</v>
      </c>
    </row>
    <row r="81" spans="1:22" ht="12.95" customHeight="1">
      <c r="A81" s="5">
        <f t="shared" ref="A81:A89" si="36">A80+1</f>
        <v>58</v>
      </c>
      <c r="B81" t="s">
        <v>180</v>
      </c>
      <c r="D81" s="85">
        <v>105602</v>
      </c>
      <c r="E81" s="19">
        <f t="shared" ref="E81:E90" si="37">J81-D81</f>
        <v>-105602</v>
      </c>
      <c r="F81" s="125">
        <v>0</v>
      </c>
      <c r="G81" s="19"/>
      <c r="H81" s="19"/>
      <c r="I81" s="18"/>
      <c r="J81" s="146">
        <f>SUM(K81:V81)/1000</f>
        <v>0</v>
      </c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</row>
    <row r="82" spans="1:22" ht="12.95" customHeight="1">
      <c r="A82" s="5">
        <f t="shared" si="36"/>
        <v>59</v>
      </c>
      <c r="B82" t="s">
        <v>179</v>
      </c>
      <c r="D82" s="85">
        <v>0</v>
      </c>
      <c r="E82" s="19">
        <f t="shared" si="37"/>
        <v>1187.3116342572037</v>
      </c>
      <c r="F82" s="125">
        <v>3554</v>
      </c>
      <c r="G82" s="19"/>
      <c r="H82" s="19"/>
      <c r="I82" s="18"/>
      <c r="J82" s="146">
        <f>SUM(K82:V82)/1000</f>
        <v>1187.3116342572037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396840.40910042811</v>
      </c>
      <c r="R82" s="25">
        <v>190471.73370886731</v>
      </c>
      <c r="S82" s="25">
        <v>159376.61876971816</v>
      </c>
      <c r="T82" s="25">
        <v>212017.76163480221</v>
      </c>
      <c r="U82" s="25">
        <v>172020.77126321368</v>
      </c>
      <c r="V82" s="25">
        <v>56584.339780174203</v>
      </c>
    </row>
    <row r="83" spans="1:22">
      <c r="A83" s="5">
        <f t="shared" si="36"/>
        <v>60</v>
      </c>
      <c r="B83" s="6" t="s">
        <v>114</v>
      </c>
      <c r="D83" s="85">
        <v>9501</v>
      </c>
      <c r="E83" s="19">
        <f t="shared" si="37"/>
        <v>-9501</v>
      </c>
      <c r="F83" s="85">
        <v>0</v>
      </c>
      <c r="G83" s="19"/>
      <c r="H83" s="19"/>
      <c r="I83" s="19"/>
      <c r="J83" s="146">
        <f t="shared" ref="J83:J90" si="38">SUM(K83:V83)/1000</f>
        <v>0</v>
      </c>
      <c r="K83" s="128">
        <v>0</v>
      </c>
      <c r="L83" s="128">
        <v>0</v>
      </c>
      <c r="M83" s="128">
        <v>0</v>
      </c>
      <c r="N83" s="128">
        <v>0</v>
      </c>
      <c r="O83" s="128">
        <v>0</v>
      </c>
      <c r="P83" s="128">
        <v>0</v>
      </c>
      <c r="Q83" s="128">
        <v>0</v>
      </c>
      <c r="R83" s="128">
        <v>0</v>
      </c>
      <c r="S83" s="128">
        <v>0</v>
      </c>
      <c r="T83" s="128">
        <v>0</v>
      </c>
      <c r="U83" s="128">
        <v>0</v>
      </c>
      <c r="V83" s="128">
        <v>0</v>
      </c>
    </row>
    <row r="84" spans="1:22">
      <c r="A84" s="5">
        <f t="shared" si="36"/>
        <v>61</v>
      </c>
      <c r="B84" t="s">
        <v>29</v>
      </c>
      <c r="D84" s="93">
        <v>1256</v>
      </c>
      <c r="E84" s="19">
        <f t="shared" si="37"/>
        <v>114.72747084855018</v>
      </c>
      <c r="F84" s="85">
        <f>Index!C16/1000</f>
        <v>1317.7053800199405</v>
      </c>
      <c r="G84" s="114" t="s">
        <v>120</v>
      </c>
      <c r="H84" s="93">
        <v>1800</v>
      </c>
      <c r="I84" s="89" t="s">
        <v>120</v>
      </c>
      <c r="J84" s="146">
        <f t="shared" si="38"/>
        <v>1370.7274708485502</v>
      </c>
      <c r="K84" s="25">
        <v>138079.32070674014</v>
      </c>
      <c r="L84" s="25">
        <v>113774.93810374035</v>
      </c>
      <c r="M84" s="25">
        <v>118424.95966084415</v>
      </c>
      <c r="N84" s="25">
        <v>92474.676526429525</v>
      </c>
      <c r="O84" s="25">
        <v>81046.581718667076</v>
      </c>
      <c r="P84" s="25">
        <v>73291.919965569483</v>
      </c>
      <c r="Q84" s="25">
        <f>Index!J16</f>
        <v>115362.0701252334</v>
      </c>
      <c r="R84" s="25">
        <f>Index!K16</f>
        <v>135889.5643526286</v>
      </c>
      <c r="S84" s="25">
        <f>Index!L16</f>
        <v>122870.99249935614</v>
      </c>
      <c r="T84" s="25">
        <f>Index!M16</f>
        <v>114862.70751870262</v>
      </c>
      <c r="U84" s="25">
        <f>Index!N16</f>
        <v>121131.21858830201</v>
      </c>
      <c r="V84" s="25">
        <f>Index!O16</f>
        <v>143518.52108233658</v>
      </c>
    </row>
    <row r="85" spans="1:22">
      <c r="A85" s="5">
        <f t="shared" si="36"/>
        <v>62</v>
      </c>
      <c r="B85" t="s">
        <v>118</v>
      </c>
      <c r="D85" s="93">
        <v>150</v>
      </c>
      <c r="E85" s="19">
        <f t="shared" si="37"/>
        <v>6</v>
      </c>
      <c r="F85" s="85">
        <v>156</v>
      </c>
      <c r="G85" s="20"/>
      <c r="H85" s="20">
        <v>-63</v>
      </c>
      <c r="J85" s="146">
        <f t="shared" si="38"/>
        <v>156</v>
      </c>
      <c r="K85" s="25">
        <v>13000</v>
      </c>
      <c r="L85" s="25">
        <v>13000</v>
      </c>
      <c r="M85" s="25">
        <v>13000</v>
      </c>
      <c r="N85" s="25">
        <v>13000</v>
      </c>
      <c r="O85" s="25">
        <v>13000</v>
      </c>
      <c r="P85" s="25">
        <v>13000</v>
      </c>
      <c r="Q85" s="25">
        <f t="shared" ref="Q85:V86" si="39">$F85/12*1000</f>
        <v>13000</v>
      </c>
      <c r="R85" s="25">
        <f t="shared" si="39"/>
        <v>13000</v>
      </c>
      <c r="S85" s="25">
        <f t="shared" si="39"/>
        <v>13000</v>
      </c>
      <c r="T85" s="25">
        <f t="shared" si="39"/>
        <v>13000</v>
      </c>
      <c r="U85" s="25">
        <f t="shared" si="39"/>
        <v>13000</v>
      </c>
      <c r="V85" s="25">
        <f t="shared" si="39"/>
        <v>13000</v>
      </c>
    </row>
    <row r="86" spans="1:22">
      <c r="A86" s="5">
        <f t="shared" si="36"/>
        <v>63</v>
      </c>
      <c r="B86" t="s">
        <v>30</v>
      </c>
      <c r="D86" s="93">
        <v>525</v>
      </c>
      <c r="E86" s="19">
        <f t="shared" si="37"/>
        <v>45</v>
      </c>
      <c r="F86" s="85">
        <v>570</v>
      </c>
      <c r="G86" s="76"/>
      <c r="H86" s="76">
        <v>272</v>
      </c>
      <c r="J86" s="146">
        <f t="shared" si="38"/>
        <v>570</v>
      </c>
      <c r="K86" s="25">
        <v>47500</v>
      </c>
      <c r="L86" s="25">
        <v>47500</v>
      </c>
      <c r="M86" s="25">
        <v>47500</v>
      </c>
      <c r="N86" s="25">
        <v>47500</v>
      </c>
      <c r="O86" s="25">
        <v>47500</v>
      </c>
      <c r="P86" s="25">
        <v>47500</v>
      </c>
      <c r="Q86" s="25">
        <f t="shared" si="39"/>
        <v>47500</v>
      </c>
      <c r="R86" s="25">
        <f t="shared" si="39"/>
        <v>47500</v>
      </c>
      <c r="S86" s="25">
        <f t="shared" si="39"/>
        <v>47500</v>
      </c>
      <c r="T86" s="25">
        <f t="shared" si="39"/>
        <v>47500</v>
      </c>
      <c r="U86" s="25">
        <f t="shared" si="39"/>
        <v>47500</v>
      </c>
      <c r="V86" s="25">
        <f t="shared" si="39"/>
        <v>47500</v>
      </c>
    </row>
    <row r="87" spans="1:22">
      <c r="A87" s="5">
        <f t="shared" si="36"/>
        <v>64</v>
      </c>
      <c r="B87" t="s">
        <v>231</v>
      </c>
      <c r="D87" s="93">
        <v>12149</v>
      </c>
      <c r="E87" s="19">
        <f t="shared" si="37"/>
        <v>270.8882145833868</v>
      </c>
      <c r="F87" s="85">
        <f>Index!C21/1000</f>
        <v>12023.396474511612</v>
      </c>
      <c r="G87" s="20"/>
      <c r="H87" s="20"/>
      <c r="J87" s="146">
        <f t="shared" si="38"/>
        <v>12419.888214583387</v>
      </c>
      <c r="K87" s="25">
        <v>1216929.3871164315</v>
      </c>
      <c r="L87" s="25">
        <v>1016346.9670772547</v>
      </c>
      <c r="M87" s="25">
        <v>1070251.8948483462</v>
      </c>
      <c r="N87" s="25">
        <v>868362.97345161322</v>
      </c>
      <c r="O87" s="25">
        <v>795633.16162347689</v>
      </c>
      <c r="P87" s="25">
        <v>731761.756682395</v>
      </c>
      <c r="Q87" s="25">
        <f>Index!J21</f>
        <v>1041836.0441207878</v>
      </c>
      <c r="R87" s="25">
        <f>Index!K21</f>
        <v>1202607.481927871</v>
      </c>
      <c r="S87" s="25">
        <f>Index!L21</f>
        <v>1097578.9026260367</v>
      </c>
      <c r="T87" s="25">
        <f>Index!M21</f>
        <v>1041402.5899887073</v>
      </c>
      <c r="U87" s="25">
        <f>Index!N21</f>
        <v>1084866.4755821221</v>
      </c>
      <c r="V87" s="25">
        <f>Index!O21</f>
        <v>1252310.5795383449</v>
      </c>
    </row>
    <row r="88" spans="1:22">
      <c r="A88" s="5">
        <f t="shared" si="36"/>
        <v>65</v>
      </c>
      <c r="B88" t="s">
        <v>234</v>
      </c>
      <c r="D88" s="93">
        <v>0</v>
      </c>
      <c r="E88" s="19">
        <f t="shared" si="37"/>
        <v>528.17067232131808</v>
      </c>
      <c r="F88" s="85">
        <v>526</v>
      </c>
      <c r="G88" s="20"/>
      <c r="H88" s="20"/>
      <c r="J88" s="146">
        <f t="shared" si="38"/>
        <v>528.17067232131808</v>
      </c>
      <c r="K88" s="25">
        <v>42275.313377380968</v>
      </c>
      <c r="L88" s="25">
        <v>37443.219089508006</v>
      </c>
      <c r="M88" s="25">
        <v>42153.357410430996</v>
      </c>
      <c r="N88" s="25">
        <v>40090.917778014984</v>
      </c>
      <c r="O88" s="25">
        <v>46525.235795974026</v>
      </c>
      <c r="P88" s="25">
        <v>62262.770032882996</v>
      </c>
      <c r="Q88" s="25">
        <v>50951.742553709977</v>
      </c>
      <c r="R88" s="25">
        <v>44806.467247008979</v>
      </c>
      <c r="S88" s="25">
        <v>39912.834739684993</v>
      </c>
      <c r="T88" s="25">
        <v>40562.511157990004</v>
      </c>
      <c r="U88" s="25">
        <v>39637.582778930009</v>
      </c>
      <c r="V88" s="25">
        <v>41548.720359801991</v>
      </c>
    </row>
    <row r="89" spans="1:22">
      <c r="A89" s="5">
        <f t="shared" si="36"/>
        <v>66</v>
      </c>
      <c r="B89" s="17" t="s">
        <v>220</v>
      </c>
      <c r="C89" s="17"/>
      <c r="D89" s="86">
        <v>1654</v>
      </c>
      <c r="E89" s="39">
        <f t="shared" si="37"/>
        <v>-1654</v>
      </c>
      <c r="F89" s="39">
        <v>0</v>
      </c>
      <c r="G89" s="20"/>
      <c r="H89" s="20"/>
      <c r="J89" s="148">
        <f t="shared" si="38"/>
        <v>0</v>
      </c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</row>
    <row r="90" spans="1:22">
      <c r="A90" s="5">
        <f>A89+1</f>
        <v>67</v>
      </c>
      <c r="B90" t="s">
        <v>17</v>
      </c>
      <c r="D90" s="19">
        <f>SUM(D80:D89)</f>
        <v>130837</v>
      </c>
      <c r="E90" s="19">
        <f t="shared" si="37"/>
        <v>-73475.284072570503</v>
      </c>
      <c r="F90" s="19">
        <f>SUM(F80:F89)</f>
        <v>59276.719789950577</v>
      </c>
      <c r="G90" s="19"/>
      <c r="H90" s="39">
        <v>0</v>
      </c>
      <c r="I90" s="19"/>
      <c r="J90" s="146">
        <f t="shared" si="38"/>
        <v>57361.71592742949</v>
      </c>
      <c r="K90" s="25">
        <f>SUM(K80:K89)</f>
        <v>5200874.8067993028</v>
      </c>
      <c r="L90" s="25">
        <f t="shared" ref="L90:P90" si="40">SUM(L80:L89)</f>
        <v>3907696.1546393037</v>
      </c>
      <c r="M90" s="25">
        <f t="shared" si="40"/>
        <v>4600384.7587526515</v>
      </c>
      <c r="N90" s="25">
        <f t="shared" si="40"/>
        <v>6949010.9255441381</v>
      </c>
      <c r="O90" s="25">
        <f t="shared" si="40"/>
        <v>5704391.3431212679</v>
      </c>
      <c r="P90" s="25">
        <f t="shared" si="40"/>
        <v>3357616.1497543477</v>
      </c>
      <c r="Q90" s="25">
        <f t="shared" ref="Q90:V90" si="41">SUM(Q80:Q89)</f>
        <v>5000474.2399754692</v>
      </c>
      <c r="R90" s="25">
        <f t="shared" si="41"/>
        <v>3890691.4055310455</v>
      </c>
      <c r="S90" s="25">
        <f t="shared" si="41"/>
        <v>4324727.1370259058</v>
      </c>
      <c r="T90" s="25">
        <f t="shared" si="41"/>
        <v>3385284.5372420321</v>
      </c>
      <c r="U90" s="25">
        <f t="shared" si="41"/>
        <v>4574743.572626628</v>
      </c>
      <c r="V90" s="25">
        <f t="shared" si="41"/>
        <v>6465820.8964173887</v>
      </c>
    </row>
    <row r="91" spans="1:22">
      <c r="A91" s="5"/>
      <c r="D91" s="19">
        <v>130837</v>
      </c>
      <c r="E91" s="19"/>
      <c r="F91" s="19"/>
      <c r="G91" s="19"/>
      <c r="H91" s="19">
        <v>62060.890920372694</v>
      </c>
      <c r="I91" s="19"/>
      <c r="J91" s="146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>
      <c r="A92" s="5"/>
      <c r="B92" s="7" t="s">
        <v>18</v>
      </c>
      <c r="D92" s="19"/>
      <c r="E92" s="19" t="s">
        <v>9</v>
      </c>
      <c r="F92" s="19"/>
      <c r="G92" s="19"/>
      <c r="H92" s="19"/>
      <c r="I92" s="19"/>
      <c r="J92" s="146"/>
    </row>
    <row r="93" spans="1:22">
      <c r="A93" s="5">
        <f>A90+1</f>
        <v>68</v>
      </c>
      <c r="B93" t="s">
        <v>206</v>
      </c>
      <c r="D93" s="85">
        <v>3245</v>
      </c>
      <c r="E93" s="19">
        <f t="shared" ref="E93:E96" si="42">J93-D93</f>
        <v>-3245</v>
      </c>
      <c r="F93" s="85">
        <v>0</v>
      </c>
      <c r="G93" s="85"/>
      <c r="H93" s="85"/>
      <c r="I93" s="19"/>
      <c r="J93" s="146">
        <v>0</v>
      </c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</row>
    <row r="94" spans="1:22">
      <c r="A94" s="5">
        <f>A93+1</f>
        <v>69</v>
      </c>
      <c r="B94" t="s">
        <v>222</v>
      </c>
      <c r="D94" s="85">
        <v>163</v>
      </c>
      <c r="E94" s="19">
        <f t="shared" si="42"/>
        <v>-163</v>
      </c>
      <c r="F94" s="85">
        <v>0</v>
      </c>
      <c r="G94" s="85"/>
      <c r="H94" s="85"/>
      <c r="I94" s="19"/>
      <c r="J94" s="146">
        <v>0</v>
      </c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</row>
    <row r="95" spans="1:22">
      <c r="A95" s="5">
        <f t="shared" ref="A95:A96" si="43">A94+1</f>
        <v>70</v>
      </c>
      <c r="B95" s="17" t="s">
        <v>95</v>
      </c>
      <c r="C95" s="17"/>
      <c r="D95" s="85">
        <v>95212</v>
      </c>
      <c r="E95" s="39">
        <f t="shared" si="42"/>
        <v>-95212</v>
      </c>
      <c r="F95" s="19">
        <v>0</v>
      </c>
      <c r="G95" s="19"/>
      <c r="H95" s="19">
        <v>48</v>
      </c>
      <c r="I95" s="19"/>
      <c r="J95" s="148">
        <v>0</v>
      </c>
    </row>
    <row r="96" spans="1:22">
      <c r="A96" s="5">
        <f t="shared" si="43"/>
        <v>71</v>
      </c>
      <c r="B96" t="s">
        <v>19</v>
      </c>
      <c r="D96" s="101">
        <f>SUM(D93:D95)</f>
        <v>98620</v>
      </c>
      <c r="E96" s="19">
        <f t="shared" si="42"/>
        <v>-98620</v>
      </c>
      <c r="F96" s="21">
        <f>SUM(F93:F95)</f>
        <v>0</v>
      </c>
      <c r="G96" s="19"/>
      <c r="H96" s="19">
        <v>0</v>
      </c>
      <c r="I96" s="19"/>
      <c r="J96" s="146"/>
    </row>
    <row r="97" spans="1:24" ht="7.5" customHeight="1">
      <c r="A97" s="5" t="s">
        <v>9</v>
      </c>
      <c r="D97" s="19"/>
      <c r="E97" s="19"/>
      <c r="F97" s="19"/>
      <c r="G97" s="19"/>
      <c r="H97" s="39">
        <v>0</v>
      </c>
      <c r="I97" s="19"/>
      <c r="J97" s="146"/>
    </row>
    <row r="98" spans="1:24">
      <c r="A98" s="5"/>
      <c r="B98" s="43" t="s">
        <v>27</v>
      </c>
      <c r="D98" s="19"/>
      <c r="E98" s="19"/>
      <c r="F98" s="19" t="s">
        <v>9</v>
      </c>
      <c r="G98" s="19"/>
      <c r="H98" s="19">
        <v>48</v>
      </c>
      <c r="I98" s="19"/>
      <c r="J98" s="146"/>
    </row>
    <row r="99" spans="1:24">
      <c r="A99" s="5">
        <f>A96+1</f>
        <v>72</v>
      </c>
      <c r="B99" t="s">
        <v>25</v>
      </c>
      <c r="D99" s="85">
        <v>418</v>
      </c>
      <c r="E99" s="85">
        <f>F99-D99</f>
        <v>48</v>
      </c>
      <c r="F99" s="85">
        <v>466</v>
      </c>
      <c r="G99" s="85"/>
      <c r="H99" s="85"/>
      <c r="I99" s="19"/>
      <c r="J99" s="146">
        <f t="shared" ref="J99" si="44">SUM(K99:V99)/1000</f>
        <v>465.99999999999994</v>
      </c>
      <c r="K99" s="55">
        <v>38833.333333333336</v>
      </c>
      <c r="L99" s="55">
        <v>38833.333333333336</v>
      </c>
      <c r="M99" s="55">
        <v>38833.333333333336</v>
      </c>
      <c r="N99" s="55">
        <v>38833.333333333336</v>
      </c>
      <c r="O99" s="55">
        <v>38833.333333333336</v>
      </c>
      <c r="P99" s="55">
        <v>38833.333333333336</v>
      </c>
      <c r="Q99" s="55">
        <f t="shared" ref="Q99:V99" si="45">$F99*1000/12</f>
        <v>38833.333333333336</v>
      </c>
      <c r="R99" s="55">
        <f t="shared" si="45"/>
        <v>38833.333333333336</v>
      </c>
      <c r="S99" s="55">
        <f t="shared" si="45"/>
        <v>38833.333333333336</v>
      </c>
      <c r="T99" s="55">
        <f t="shared" si="45"/>
        <v>38833.333333333336</v>
      </c>
      <c r="U99" s="55">
        <f t="shared" si="45"/>
        <v>38833.333333333336</v>
      </c>
      <c r="V99" s="55">
        <f t="shared" si="45"/>
        <v>38833.333333333336</v>
      </c>
    </row>
    <row r="100" spans="1:24" ht="6.75" customHeight="1">
      <c r="A100" s="5"/>
      <c r="D100" s="85"/>
      <c r="E100" s="19"/>
      <c r="F100" s="85"/>
      <c r="G100" s="19"/>
      <c r="H100" s="19" t="s">
        <v>9</v>
      </c>
      <c r="I100" s="19"/>
      <c r="J100" s="146"/>
    </row>
    <row r="101" spans="1:24" ht="6" customHeight="1">
      <c r="A101" s="5"/>
      <c r="D101" s="19"/>
      <c r="E101" s="19"/>
      <c r="F101" s="19"/>
      <c r="G101" s="19"/>
      <c r="H101" s="19"/>
      <c r="I101" s="19"/>
      <c r="J101" s="146"/>
    </row>
    <row r="102" spans="1:24">
      <c r="A102" s="5">
        <f>A99+1</f>
        <v>73</v>
      </c>
      <c r="B102" s="41" t="s">
        <v>20</v>
      </c>
      <c r="C102" s="35"/>
      <c r="D102" s="42">
        <f>D90+D96+D99</f>
        <v>229875</v>
      </c>
      <c r="E102" s="42">
        <f>J102-D102</f>
        <v>-172047.2840725705</v>
      </c>
      <c r="F102" s="42">
        <f>F90+F96+F99</f>
        <v>59742.719789950577</v>
      </c>
      <c r="G102" s="42"/>
      <c r="H102" s="42">
        <v>24</v>
      </c>
      <c r="I102" s="42"/>
      <c r="J102" s="149">
        <f>J90+J96+J99</f>
        <v>57827.71592742949</v>
      </c>
    </row>
    <row r="103" spans="1:24" ht="7.5" customHeight="1">
      <c r="A103" s="5"/>
      <c r="D103" s="19"/>
      <c r="E103" s="19"/>
      <c r="F103" s="19"/>
      <c r="G103" s="19"/>
      <c r="H103" s="19"/>
      <c r="I103" s="19"/>
      <c r="J103" s="146"/>
    </row>
    <row r="104" spans="1:24">
      <c r="A104" s="5">
        <f>A102+1</f>
        <v>74</v>
      </c>
      <c r="B104" s="41" t="s">
        <v>140</v>
      </c>
      <c r="C104" s="35"/>
      <c r="D104" s="42">
        <f>D77-D102</f>
        <v>168065</v>
      </c>
      <c r="E104" s="42">
        <f>J104-D104</f>
        <v>13064.441260588326</v>
      </c>
      <c r="F104" s="42">
        <f>F77-F102</f>
        <v>176289.7812285955</v>
      </c>
      <c r="G104" s="42"/>
      <c r="H104" s="42">
        <v>62497.890920372694</v>
      </c>
      <c r="I104" s="42"/>
      <c r="J104" s="149">
        <f>J77-J102</f>
        <v>181129.44126058833</v>
      </c>
    </row>
    <row r="105" spans="1:24" ht="6" customHeight="1">
      <c r="A105" s="5"/>
      <c r="D105" s="19"/>
      <c r="E105" s="19"/>
      <c r="F105" s="19"/>
      <c r="G105" s="19"/>
      <c r="H105" s="19"/>
      <c r="I105" s="19"/>
      <c r="J105" s="3"/>
    </row>
    <row r="106" spans="1:24" ht="12.75" customHeight="1">
      <c r="A106" s="5"/>
      <c r="B106" s="2"/>
      <c r="D106" s="19"/>
      <c r="E106" s="140">
        <f>F104/D104-1</f>
        <v>4.8938096739925108E-2</v>
      </c>
      <c r="G106" s="19"/>
      <c r="H106" s="19"/>
      <c r="I106" s="19"/>
      <c r="J106" s="3"/>
    </row>
    <row r="107" spans="1:24" ht="9" customHeight="1">
      <c r="A107" s="5"/>
      <c r="B107" s="103"/>
      <c r="D107" s="19"/>
      <c r="F107"/>
      <c r="G107" s="19"/>
      <c r="H107" s="19"/>
      <c r="I107" s="19"/>
      <c r="J107" s="3"/>
    </row>
    <row r="108" spans="1:24" ht="12.75" customHeight="1">
      <c r="A108" s="5"/>
      <c r="B108" s="2"/>
      <c r="D108" s="3"/>
      <c r="J108" s="3"/>
    </row>
    <row r="109" spans="1:24">
      <c r="J109" s="3"/>
    </row>
    <row r="110" spans="1:24">
      <c r="F110"/>
      <c r="G110"/>
      <c r="I110" s="3"/>
      <c r="J110" s="3"/>
      <c r="K110" s="20" t="s">
        <v>228</v>
      </c>
      <c r="L110" s="25">
        <f>SUM(M110:X110)</f>
        <v>161990705.50946832</v>
      </c>
      <c r="M110" s="25">
        <f t="shared" ref="M110:X110" si="46">K28+K44+K58-K90</f>
        <v>18734092.715876106</v>
      </c>
      <c r="N110" s="25">
        <f t="shared" si="46"/>
        <v>16929265.302692659</v>
      </c>
      <c r="O110" s="25">
        <f t="shared" si="46"/>
        <v>15564186.314858709</v>
      </c>
      <c r="P110" s="25">
        <f t="shared" si="46"/>
        <v>10196550.626839891</v>
      </c>
      <c r="Q110" s="25">
        <f t="shared" si="46"/>
        <v>6836076.5660923552</v>
      </c>
      <c r="R110" s="25">
        <f t="shared" si="46"/>
        <v>7620445.0536257681</v>
      </c>
      <c r="S110" s="25">
        <f t="shared" si="46"/>
        <v>10165172.320314992</v>
      </c>
      <c r="T110" s="25">
        <f t="shared" si="46"/>
        <v>14423150.039056752</v>
      </c>
      <c r="U110" s="25">
        <f t="shared" si="46"/>
        <v>12540031.677407937</v>
      </c>
      <c r="V110" s="25">
        <f t="shared" si="46"/>
        <v>13924326.561223309</v>
      </c>
      <c r="W110" s="25">
        <f t="shared" si="46"/>
        <v>17251093.527289141</v>
      </c>
      <c r="X110" s="25">
        <f t="shared" si="46"/>
        <v>17806314.804190695</v>
      </c>
    </row>
    <row r="111" spans="1:24">
      <c r="F111"/>
      <c r="G111"/>
      <c r="I111" s="3"/>
      <c r="J111" s="3"/>
      <c r="K111" s="20"/>
      <c r="L111" s="3"/>
    </row>
    <row r="112" spans="1:24">
      <c r="F112"/>
      <c r="G112"/>
      <c r="I112" s="3"/>
      <c r="J112" s="3"/>
      <c r="K112" s="20"/>
      <c r="L112" s="3"/>
    </row>
    <row r="113" spans="6:24">
      <c r="F113"/>
      <c r="G113"/>
      <c r="I113" s="3"/>
      <c r="J113" s="3"/>
      <c r="K113" s="20"/>
      <c r="L113" s="3"/>
    </row>
    <row r="114" spans="6:24">
      <c r="F114"/>
      <c r="G114"/>
      <c r="I114" s="3"/>
      <c r="J114" s="3"/>
      <c r="K114" s="20" t="s">
        <v>229</v>
      </c>
      <c r="L114" s="25">
        <f>SUM(M114:X114)</f>
        <v>181129441.26058829</v>
      </c>
      <c r="M114" s="25">
        <f t="shared" ref="M114:X114" si="47">M110+K37+K72+K75-K99</f>
        <v>20384017.482529443</v>
      </c>
      <c r="N114" s="25">
        <f t="shared" si="47"/>
        <v>18559389.490679596</v>
      </c>
      <c r="O114" s="25">
        <f t="shared" si="47"/>
        <v>17181455.355550442</v>
      </c>
      <c r="P114" s="25">
        <f t="shared" si="47"/>
        <v>11820319.647079224</v>
      </c>
      <c r="Q114" s="25">
        <f t="shared" si="47"/>
        <v>8443434.8695476875</v>
      </c>
      <c r="R114" s="25">
        <f t="shared" si="47"/>
        <v>9198183.1224371009</v>
      </c>
      <c r="S114" s="25">
        <f t="shared" si="47"/>
        <v>11726648.787288325</v>
      </c>
      <c r="T114" s="25">
        <f t="shared" si="47"/>
        <v>15979226.685990084</v>
      </c>
      <c r="U114" s="25">
        <f t="shared" si="47"/>
        <v>14077310.220301269</v>
      </c>
      <c r="V114" s="25">
        <f t="shared" si="47"/>
        <v>15494139.755518641</v>
      </c>
      <c r="W114" s="25">
        <f t="shared" si="47"/>
        <v>18827929.954436075</v>
      </c>
      <c r="X114" s="25">
        <f t="shared" si="47"/>
        <v>19437385.88923043</v>
      </c>
    </row>
    <row r="115" spans="6:24">
      <c r="J115" s="3"/>
    </row>
    <row r="116" spans="6:24">
      <c r="J116" s="3"/>
    </row>
    <row r="117" spans="6:24">
      <c r="J117" s="3"/>
    </row>
    <row r="118" spans="6:24">
      <c r="J118" s="20"/>
    </row>
    <row r="119" spans="6:24">
      <c r="J119" s="3"/>
    </row>
    <row r="120" spans="6:24">
      <c r="J120" s="3"/>
    </row>
    <row r="121" spans="6:24">
      <c r="J121" s="3"/>
    </row>
    <row r="122" spans="6:24">
      <c r="J122" s="3"/>
    </row>
    <row r="123" spans="6:24">
      <c r="J123" s="3"/>
    </row>
    <row r="124" spans="6:24">
      <c r="J124" s="3"/>
    </row>
    <row r="125" spans="6:24">
      <c r="J125" s="3"/>
    </row>
    <row r="126" spans="6:24">
      <c r="J126" s="3"/>
    </row>
    <row r="127" spans="6:24">
      <c r="J127" s="3"/>
    </row>
    <row r="128" spans="6:24">
      <c r="J128" s="3"/>
    </row>
    <row r="129" spans="10:10">
      <c r="J129" s="3"/>
    </row>
    <row r="130" spans="10:10">
      <c r="J130" s="3"/>
    </row>
    <row r="131" spans="10:10">
      <c r="J131" s="3"/>
    </row>
    <row r="132" spans="10:10">
      <c r="J132" s="3"/>
    </row>
    <row r="133" spans="10:10">
      <c r="J133" s="3"/>
    </row>
    <row r="134" spans="10:10">
      <c r="J134" s="3"/>
    </row>
    <row r="135" spans="10:10">
      <c r="J135" s="3"/>
    </row>
    <row r="136" spans="10:10">
      <c r="J136" s="3"/>
    </row>
    <row r="137" spans="10:10">
      <c r="J137" s="3"/>
    </row>
    <row r="138" spans="10:10">
      <c r="J138" s="3"/>
    </row>
    <row r="139" spans="10:10">
      <c r="J139" s="3"/>
    </row>
    <row r="140" spans="10:10">
      <c r="J140" s="3"/>
    </row>
    <row r="141" spans="10:10">
      <c r="J141" s="3"/>
    </row>
    <row r="142" spans="10:10">
      <c r="J142" s="3"/>
    </row>
    <row r="143" spans="10:10">
      <c r="J143" s="3"/>
    </row>
    <row r="144" spans="10:10">
      <c r="J144" s="3"/>
    </row>
    <row r="145" spans="10:10">
      <c r="J145" s="3"/>
    </row>
    <row r="146" spans="10:10">
      <c r="J146" s="3"/>
    </row>
    <row r="147" spans="10:10">
      <c r="J147" s="3"/>
    </row>
    <row r="148" spans="10:10">
      <c r="J148" s="3"/>
    </row>
    <row r="149" spans="10:10">
      <c r="J149" s="3"/>
    </row>
    <row r="150" spans="10:10">
      <c r="J150" s="3"/>
    </row>
    <row r="151" spans="10:10">
      <c r="J151" s="3"/>
    </row>
    <row r="152" spans="10:10">
      <c r="J152" s="3"/>
    </row>
    <row r="153" spans="10:10">
      <c r="J153" s="3"/>
    </row>
    <row r="154" spans="10:10">
      <c r="J154" s="3"/>
    </row>
    <row r="155" spans="10:10">
      <c r="J155" s="3"/>
    </row>
    <row r="156" spans="10:10">
      <c r="J156" s="3"/>
    </row>
    <row r="157" spans="10:10">
      <c r="J157" s="3"/>
    </row>
    <row r="158" spans="10:10">
      <c r="J158" s="3"/>
    </row>
    <row r="159" spans="10:10">
      <c r="J159" s="3"/>
    </row>
    <row r="160" spans="10:10">
      <c r="J160" s="3"/>
    </row>
    <row r="161" spans="10:10">
      <c r="J161" s="3"/>
    </row>
    <row r="162" spans="10:10">
      <c r="J162" s="3"/>
    </row>
    <row r="163" spans="10:10">
      <c r="J163" s="3"/>
    </row>
    <row r="164" spans="10:10">
      <c r="J164" s="3"/>
    </row>
    <row r="165" spans="10:10">
      <c r="J165" s="3"/>
    </row>
    <row r="166" spans="10:10">
      <c r="J166" s="3"/>
    </row>
    <row r="167" spans="10:10">
      <c r="J167" s="3"/>
    </row>
    <row r="168" spans="10:10">
      <c r="J168" s="3"/>
    </row>
    <row r="169" spans="10:10">
      <c r="J169" s="3"/>
    </row>
    <row r="170" spans="10:10">
      <c r="J170" s="3"/>
    </row>
    <row r="171" spans="10:10">
      <c r="J171" s="3"/>
    </row>
    <row r="172" spans="10:10">
      <c r="J172" s="3"/>
    </row>
    <row r="173" spans="10:10">
      <c r="J173" s="3"/>
    </row>
    <row r="174" spans="10:10">
      <c r="J174" s="3"/>
    </row>
    <row r="175" spans="10:10">
      <c r="J175" s="3"/>
    </row>
    <row r="176" spans="10:10">
      <c r="J176" s="3"/>
    </row>
    <row r="177" spans="10:10">
      <c r="J177" s="3"/>
    </row>
    <row r="178" spans="10:10">
      <c r="J178" s="3"/>
    </row>
    <row r="179" spans="10:10">
      <c r="J179" s="3"/>
    </row>
    <row r="180" spans="10:10">
      <c r="J180" s="3"/>
    </row>
    <row r="181" spans="10:10">
      <c r="J181" s="3"/>
    </row>
    <row r="182" spans="10:10">
      <c r="J182" s="3"/>
    </row>
    <row r="183" spans="10:10">
      <c r="J183" s="3"/>
    </row>
    <row r="184" spans="10:10">
      <c r="J184" s="3"/>
    </row>
    <row r="185" spans="10:10">
      <c r="J185" s="3"/>
    </row>
    <row r="186" spans="10:10">
      <c r="J186" s="3"/>
    </row>
    <row r="187" spans="10:10">
      <c r="J187" s="3"/>
    </row>
    <row r="188" spans="10:10">
      <c r="J188" s="3"/>
    </row>
    <row r="189" spans="10:10">
      <c r="J189" s="3"/>
    </row>
    <row r="190" spans="10:10">
      <c r="J190" s="3"/>
    </row>
    <row r="191" spans="10:10">
      <c r="J191" s="3"/>
    </row>
    <row r="192" spans="10:10">
      <c r="J192" s="3"/>
    </row>
    <row r="193" spans="10:10">
      <c r="J193" s="3"/>
    </row>
    <row r="194" spans="10:10">
      <c r="J194" s="3"/>
    </row>
    <row r="195" spans="10:10">
      <c r="J195" s="3"/>
    </row>
    <row r="196" spans="10:10">
      <c r="J196" s="3"/>
    </row>
    <row r="197" spans="10:10">
      <c r="J197" s="3"/>
    </row>
    <row r="198" spans="10:10">
      <c r="J198" s="3"/>
    </row>
    <row r="199" spans="10:10">
      <c r="J199" s="3"/>
    </row>
    <row r="200" spans="10:10">
      <c r="J200" s="3"/>
    </row>
    <row r="201" spans="10:10">
      <c r="J201" s="3"/>
    </row>
    <row r="202" spans="10:10">
      <c r="J202" s="3"/>
    </row>
    <row r="203" spans="10:10">
      <c r="J203" s="3"/>
    </row>
    <row r="204" spans="10:10">
      <c r="J204" s="3"/>
    </row>
    <row r="205" spans="10:10">
      <c r="J205" s="3"/>
    </row>
    <row r="206" spans="10:10">
      <c r="J206" s="3"/>
    </row>
    <row r="207" spans="10:10">
      <c r="J207" s="3"/>
    </row>
    <row r="208" spans="10:10">
      <c r="J208" s="3"/>
    </row>
    <row r="209" spans="10:10">
      <c r="J209" s="3"/>
    </row>
    <row r="210" spans="10:10">
      <c r="J210" s="3"/>
    </row>
    <row r="211" spans="10:10">
      <c r="J211" s="3"/>
    </row>
    <row r="212" spans="10:10">
      <c r="J212" s="3"/>
    </row>
    <row r="213" spans="10:10">
      <c r="J213" s="3"/>
    </row>
    <row r="214" spans="10:10">
      <c r="J214" s="3"/>
    </row>
    <row r="215" spans="10:10">
      <c r="J215" s="3"/>
    </row>
    <row r="216" spans="10:10">
      <c r="J216" s="3"/>
    </row>
    <row r="217" spans="10:10">
      <c r="J217" s="3"/>
    </row>
    <row r="218" spans="10:10">
      <c r="J218" s="3"/>
    </row>
    <row r="219" spans="10:10">
      <c r="J219" s="3"/>
    </row>
    <row r="220" spans="10:10">
      <c r="J220" s="3"/>
    </row>
    <row r="221" spans="10:10">
      <c r="J221" s="3"/>
    </row>
    <row r="222" spans="10:10">
      <c r="J222" s="3"/>
    </row>
    <row r="223" spans="10:10">
      <c r="J223" s="3"/>
    </row>
    <row r="224" spans="10:10">
      <c r="J224" s="3"/>
    </row>
    <row r="225" spans="10:10">
      <c r="J225" s="3"/>
    </row>
    <row r="226" spans="10:10">
      <c r="J226" s="3"/>
    </row>
    <row r="227" spans="10:10">
      <c r="J227" s="3"/>
    </row>
    <row r="228" spans="10:10">
      <c r="J228" s="3"/>
    </row>
    <row r="229" spans="10:10">
      <c r="J229" s="3"/>
    </row>
    <row r="230" spans="10:10">
      <c r="J230" s="3"/>
    </row>
    <row r="231" spans="10:10">
      <c r="J231" s="3"/>
    </row>
    <row r="232" spans="10:10">
      <c r="J232" s="3"/>
    </row>
    <row r="233" spans="10:10">
      <c r="J233" s="3"/>
    </row>
    <row r="234" spans="10:10">
      <c r="J234" s="3"/>
    </row>
    <row r="235" spans="10:10">
      <c r="J235" s="3"/>
    </row>
    <row r="236" spans="10:10">
      <c r="J236" s="3"/>
    </row>
    <row r="237" spans="10:10">
      <c r="J237" s="3"/>
    </row>
    <row r="238" spans="10:10">
      <c r="J238" s="3"/>
    </row>
    <row r="239" spans="10:10">
      <c r="J239" s="3"/>
    </row>
    <row r="240" spans="10:10">
      <c r="J240" s="3"/>
    </row>
    <row r="241" spans="10:10">
      <c r="J241" s="3"/>
    </row>
    <row r="242" spans="10:10">
      <c r="J242" s="3"/>
    </row>
    <row r="243" spans="10:10">
      <c r="J243" s="3"/>
    </row>
    <row r="244" spans="10:10">
      <c r="J244" s="3"/>
    </row>
    <row r="245" spans="10:10">
      <c r="J245" s="3"/>
    </row>
    <row r="246" spans="10:10">
      <c r="J246" s="3"/>
    </row>
    <row r="247" spans="10:10">
      <c r="J247" s="3"/>
    </row>
    <row r="248" spans="10:10">
      <c r="J248" s="3"/>
    </row>
    <row r="249" spans="10:10">
      <c r="J249" s="3"/>
    </row>
    <row r="250" spans="10:10">
      <c r="J250" s="3"/>
    </row>
    <row r="251" spans="10:10">
      <c r="J251" s="3"/>
    </row>
    <row r="252" spans="10:10">
      <c r="J252" s="3"/>
    </row>
    <row r="253" spans="10:10">
      <c r="J253" s="3"/>
    </row>
    <row r="254" spans="10:10">
      <c r="J254" s="3"/>
    </row>
    <row r="255" spans="10:10">
      <c r="J255" s="3"/>
    </row>
    <row r="256" spans="10:10">
      <c r="J256" s="3"/>
    </row>
    <row r="257" spans="10:10">
      <c r="J257" s="3"/>
    </row>
    <row r="258" spans="10:10">
      <c r="J258" s="3"/>
    </row>
    <row r="259" spans="10:10">
      <c r="J259" s="3"/>
    </row>
    <row r="260" spans="10:10">
      <c r="J260" s="3"/>
    </row>
    <row r="261" spans="10:10">
      <c r="J261" s="3"/>
    </row>
    <row r="262" spans="10:10">
      <c r="J262" s="3"/>
    </row>
    <row r="263" spans="10:10">
      <c r="J263" s="3"/>
    </row>
    <row r="264" spans="10:10">
      <c r="J264" s="3"/>
    </row>
    <row r="265" spans="10:10">
      <c r="J265" s="3"/>
    </row>
    <row r="266" spans="10:10">
      <c r="J266" s="3"/>
    </row>
    <row r="267" spans="10:10">
      <c r="J267" s="3"/>
    </row>
    <row r="268" spans="10:10">
      <c r="J268" s="3"/>
    </row>
    <row r="269" spans="10:10">
      <c r="J269" s="3"/>
    </row>
    <row r="270" spans="10:10">
      <c r="J270" s="3"/>
    </row>
    <row r="271" spans="10:10">
      <c r="J271" s="3"/>
    </row>
    <row r="272" spans="10:10">
      <c r="J272" s="3"/>
    </row>
    <row r="273" spans="10:10">
      <c r="J273" s="3"/>
    </row>
    <row r="274" spans="10:10">
      <c r="J274" s="3"/>
    </row>
    <row r="275" spans="10:10">
      <c r="J275" s="3"/>
    </row>
    <row r="276" spans="10:10">
      <c r="J276" s="3"/>
    </row>
    <row r="277" spans="10:10">
      <c r="J277" s="3"/>
    </row>
    <row r="278" spans="10:10">
      <c r="J278" s="3"/>
    </row>
    <row r="279" spans="10:10">
      <c r="J279" s="3"/>
    </row>
    <row r="280" spans="10:10">
      <c r="J280" s="3"/>
    </row>
    <row r="281" spans="10:10">
      <c r="J281" s="3"/>
    </row>
    <row r="282" spans="10:10">
      <c r="J282" s="3"/>
    </row>
    <row r="283" spans="10:10">
      <c r="J283" s="3"/>
    </row>
    <row r="284" spans="10:10">
      <c r="J284" s="3"/>
    </row>
    <row r="285" spans="10:10">
      <c r="J285" s="3"/>
    </row>
    <row r="286" spans="10:10">
      <c r="J286" s="3"/>
    </row>
    <row r="287" spans="10:10">
      <c r="J287" s="3"/>
    </row>
    <row r="288" spans="10:10">
      <c r="J288" s="3"/>
    </row>
    <row r="289" spans="10:10">
      <c r="J289" s="3"/>
    </row>
    <row r="290" spans="10:10">
      <c r="J290" s="3"/>
    </row>
    <row r="291" spans="10:10">
      <c r="J291" s="3"/>
    </row>
    <row r="292" spans="10:10">
      <c r="J292" s="3"/>
    </row>
    <row r="293" spans="10:10">
      <c r="J293" s="3"/>
    </row>
    <row r="294" spans="10:10">
      <c r="J294" s="3"/>
    </row>
    <row r="295" spans="10:10">
      <c r="J295" s="3"/>
    </row>
    <row r="296" spans="10:10">
      <c r="J296" s="3"/>
    </row>
    <row r="297" spans="10:10">
      <c r="J297" s="3"/>
    </row>
    <row r="298" spans="10:10">
      <c r="J298" s="3"/>
    </row>
    <row r="299" spans="10:10">
      <c r="J299" s="3"/>
    </row>
    <row r="300" spans="10:10">
      <c r="J300" s="3"/>
    </row>
    <row r="301" spans="10:10">
      <c r="J301" s="3"/>
    </row>
    <row r="302" spans="10:10">
      <c r="J302" s="3"/>
    </row>
    <row r="303" spans="10:10">
      <c r="J303" s="3"/>
    </row>
    <row r="304" spans="10:10">
      <c r="J304" s="3"/>
    </row>
    <row r="305" spans="10:10">
      <c r="J305" s="3"/>
    </row>
    <row r="306" spans="10:10">
      <c r="J306" s="3"/>
    </row>
    <row r="307" spans="10:10">
      <c r="J307" s="3"/>
    </row>
    <row r="308" spans="10:10">
      <c r="J308" s="3"/>
    </row>
    <row r="309" spans="10:10">
      <c r="J309" s="3"/>
    </row>
    <row r="310" spans="10:10">
      <c r="J310" s="3"/>
    </row>
    <row r="311" spans="10:10">
      <c r="J311" s="3"/>
    </row>
    <row r="312" spans="10:10">
      <c r="J312" s="3"/>
    </row>
    <row r="313" spans="10:10">
      <c r="J313" s="3"/>
    </row>
    <row r="314" spans="10:10">
      <c r="J314" s="3"/>
    </row>
    <row r="315" spans="10:10">
      <c r="J315" s="3"/>
    </row>
    <row r="316" spans="10:10">
      <c r="J316" s="3"/>
    </row>
    <row r="317" spans="10:10">
      <c r="J317" s="3"/>
    </row>
    <row r="318" spans="10:10">
      <c r="J318" s="3"/>
    </row>
    <row r="319" spans="10:10">
      <c r="J319" s="3"/>
    </row>
    <row r="320" spans="10:10">
      <c r="J320" s="3"/>
    </row>
    <row r="321" spans="10:10">
      <c r="J321" s="3"/>
    </row>
    <row r="322" spans="10:10">
      <c r="J322" s="3"/>
    </row>
    <row r="323" spans="10:10">
      <c r="J323" s="3"/>
    </row>
    <row r="324" spans="10:10">
      <c r="J324" s="3"/>
    </row>
    <row r="325" spans="10:10">
      <c r="J325" s="3"/>
    </row>
    <row r="326" spans="10:10">
      <c r="J326" s="3"/>
    </row>
    <row r="327" spans="10:10">
      <c r="J327" s="3"/>
    </row>
    <row r="328" spans="10:10">
      <c r="J328" s="3"/>
    </row>
    <row r="329" spans="10:10">
      <c r="J329" s="3"/>
    </row>
    <row r="330" spans="10:10">
      <c r="J330" s="3"/>
    </row>
    <row r="331" spans="10:10">
      <c r="J331" s="3"/>
    </row>
    <row r="332" spans="10:10">
      <c r="J332" s="3"/>
    </row>
    <row r="333" spans="10:10">
      <c r="J333" s="3"/>
    </row>
    <row r="334" spans="10:10">
      <c r="J334" s="3"/>
    </row>
    <row r="335" spans="10:10">
      <c r="J335" s="3"/>
    </row>
    <row r="336" spans="10:10">
      <c r="J336" s="3"/>
    </row>
    <row r="337" spans="10:10">
      <c r="J337" s="3"/>
    </row>
    <row r="338" spans="10:10">
      <c r="J338" s="3"/>
    </row>
    <row r="339" spans="10:10">
      <c r="J339" s="3"/>
    </row>
    <row r="340" spans="10:10">
      <c r="J340" s="3"/>
    </row>
    <row r="341" spans="10:10">
      <c r="J341" s="3"/>
    </row>
    <row r="342" spans="10:10">
      <c r="J342" s="3"/>
    </row>
    <row r="343" spans="10:10">
      <c r="J343" s="3"/>
    </row>
    <row r="344" spans="10:10">
      <c r="J344" s="3"/>
    </row>
    <row r="345" spans="10:10">
      <c r="J345" s="3"/>
    </row>
    <row r="346" spans="10:10">
      <c r="J346" s="3"/>
    </row>
    <row r="347" spans="10:10">
      <c r="J347" s="3"/>
    </row>
    <row r="348" spans="10:10">
      <c r="J348" s="3"/>
    </row>
    <row r="349" spans="10:10">
      <c r="J349" s="3"/>
    </row>
    <row r="350" spans="10:10">
      <c r="J350" s="3"/>
    </row>
    <row r="351" spans="10:10">
      <c r="J351" s="3"/>
    </row>
    <row r="352" spans="10:10">
      <c r="J352" s="3"/>
    </row>
    <row r="353" spans="10:10">
      <c r="J353" s="3"/>
    </row>
    <row r="354" spans="10:10">
      <c r="J354" s="3"/>
    </row>
    <row r="355" spans="10:10">
      <c r="J355" s="3"/>
    </row>
    <row r="356" spans="10:10">
      <c r="J356" s="3"/>
    </row>
    <row r="357" spans="10:10">
      <c r="J357" s="3"/>
    </row>
    <row r="358" spans="10:10">
      <c r="J358" s="3"/>
    </row>
    <row r="359" spans="10:10">
      <c r="J359" s="3"/>
    </row>
    <row r="360" spans="10:10">
      <c r="J360" s="3"/>
    </row>
    <row r="361" spans="10:10">
      <c r="J361" s="3"/>
    </row>
    <row r="362" spans="10:10">
      <c r="J362" s="3"/>
    </row>
    <row r="363" spans="10:10">
      <c r="J363" s="3"/>
    </row>
    <row r="364" spans="10:10">
      <c r="J364" s="3"/>
    </row>
    <row r="365" spans="10:10">
      <c r="J365" s="3"/>
    </row>
    <row r="366" spans="10:10">
      <c r="J366" s="3"/>
    </row>
    <row r="367" spans="10:10">
      <c r="J367" s="3"/>
    </row>
    <row r="368" spans="10:10">
      <c r="J368" s="3"/>
    </row>
    <row r="369" spans="10:10">
      <c r="J369" s="3"/>
    </row>
    <row r="370" spans="10:10">
      <c r="J370" s="3"/>
    </row>
    <row r="371" spans="10:10">
      <c r="J371" s="3"/>
    </row>
    <row r="372" spans="10:10">
      <c r="J372" s="3"/>
    </row>
    <row r="373" spans="10:10">
      <c r="J373" s="3"/>
    </row>
    <row r="374" spans="10:10">
      <c r="J374" s="3"/>
    </row>
    <row r="375" spans="10:10">
      <c r="J375" s="3"/>
    </row>
    <row r="376" spans="10:10">
      <c r="J376" s="3"/>
    </row>
    <row r="377" spans="10:10">
      <c r="J377" s="3"/>
    </row>
    <row r="378" spans="10:10">
      <c r="J378" s="3"/>
    </row>
    <row r="379" spans="10:10">
      <c r="J379" s="3"/>
    </row>
    <row r="380" spans="10:10">
      <c r="J380" s="3"/>
    </row>
    <row r="381" spans="10:10">
      <c r="J381" s="3"/>
    </row>
    <row r="382" spans="10:10">
      <c r="J382" s="3"/>
    </row>
    <row r="383" spans="10:10">
      <c r="J383" s="3"/>
    </row>
    <row r="384" spans="10:10">
      <c r="J384" s="3"/>
    </row>
    <row r="385" spans="10:10">
      <c r="J385" s="3"/>
    </row>
    <row r="386" spans="10:10">
      <c r="J386" s="3"/>
    </row>
    <row r="387" spans="10:10">
      <c r="J387" s="3"/>
    </row>
    <row r="388" spans="10:10">
      <c r="J388" s="3"/>
    </row>
    <row r="389" spans="10:10">
      <c r="J389" s="3"/>
    </row>
    <row r="390" spans="10:10">
      <c r="J390" s="3"/>
    </row>
    <row r="391" spans="10:10">
      <c r="J391" s="3"/>
    </row>
    <row r="392" spans="10:10">
      <c r="J392" s="3"/>
    </row>
    <row r="393" spans="10:10">
      <c r="J393" s="3"/>
    </row>
    <row r="394" spans="10:10">
      <c r="J394" s="3"/>
    </row>
    <row r="395" spans="10:10">
      <c r="J395" s="3"/>
    </row>
    <row r="396" spans="10:10">
      <c r="J396" s="3"/>
    </row>
    <row r="397" spans="10:10">
      <c r="J397" s="3"/>
    </row>
    <row r="398" spans="10:10">
      <c r="J398" s="3"/>
    </row>
    <row r="399" spans="10:10">
      <c r="J399" s="3"/>
    </row>
    <row r="400" spans="10:10">
      <c r="J400" s="3"/>
    </row>
    <row r="401" spans="10:10">
      <c r="J401" s="3"/>
    </row>
    <row r="402" spans="10:10">
      <c r="J402" s="3"/>
    </row>
    <row r="403" spans="10:10">
      <c r="J403" s="3"/>
    </row>
    <row r="404" spans="10:10">
      <c r="J404" s="3"/>
    </row>
    <row r="405" spans="10:10">
      <c r="J405" s="3"/>
    </row>
    <row r="406" spans="10:10">
      <c r="J406" s="3"/>
    </row>
    <row r="407" spans="10:10">
      <c r="J407" s="3"/>
    </row>
    <row r="408" spans="10:10">
      <c r="J408" s="3"/>
    </row>
    <row r="409" spans="10:10">
      <c r="J409" s="3"/>
    </row>
    <row r="410" spans="10:10">
      <c r="J410" s="3"/>
    </row>
    <row r="411" spans="10:10">
      <c r="J411" s="3"/>
    </row>
    <row r="412" spans="10:10">
      <c r="J412" s="3"/>
    </row>
    <row r="413" spans="10:10">
      <c r="J413" s="3"/>
    </row>
    <row r="414" spans="10:10">
      <c r="J414" s="3"/>
    </row>
    <row r="415" spans="10:10">
      <c r="J415" s="3"/>
    </row>
    <row r="416" spans="10:10">
      <c r="J416" s="3"/>
    </row>
    <row r="417" spans="10:10">
      <c r="J417" s="3"/>
    </row>
    <row r="418" spans="10:10">
      <c r="J418" s="3"/>
    </row>
    <row r="419" spans="10:10">
      <c r="J419" s="3"/>
    </row>
    <row r="420" spans="10:10">
      <c r="J420" s="3"/>
    </row>
    <row r="421" spans="10:10">
      <c r="J421" s="3"/>
    </row>
    <row r="422" spans="10:10">
      <c r="J422" s="3"/>
    </row>
    <row r="423" spans="10:10">
      <c r="J423" s="3"/>
    </row>
    <row r="424" spans="10:10">
      <c r="J424" s="3"/>
    </row>
    <row r="425" spans="10:10">
      <c r="J425" s="3"/>
    </row>
    <row r="426" spans="10:10">
      <c r="J426" s="3"/>
    </row>
    <row r="427" spans="10:10">
      <c r="J427" s="3"/>
    </row>
    <row r="428" spans="10:10">
      <c r="J428" s="3"/>
    </row>
    <row r="429" spans="10:10">
      <c r="J429" s="3"/>
    </row>
    <row r="430" spans="10:10">
      <c r="J430" s="3"/>
    </row>
    <row r="431" spans="10:10">
      <c r="J431" s="3"/>
    </row>
    <row r="432" spans="10:10">
      <c r="J432" s="3"/>
    </row>
    <row r="433" spans="10:10">
      <c r="J433" s="3"/>
    </row>
    <row r="434" spans="10:10">
      <c r="J434" s="3"/>
    </row>
    <row r="435" spans="10:10">
      <c r="J435" s="3"/>
    </row>
    <row r="436" spans="10:10">
      <c r="J436" s="3"/>
    </row>
    <row r="437" spans="10:10">
      <c r="J437" s="3"/>
    </row>
    <row r="438" spans="10:10">
      <c r="J438" s="3"/>
    </row>
    <row r="439" spans="10:10">
      <c r="J439" s="3"/>
    </row>
    <row r="440" spans="10:10">
      <c r="J440" s="3"/>
    </row>
    <row r="441" spans="10:10">
      <c r="J441" s="3"/>
    </row>
    <row r="442" spans="10:10">
      <c r="J442" s="3"/>
    </row>
    <row r="443" spans="10:10">
      <c r="J443" s="3"/>
    </row>
    <row r="444" spans="10:10">
      <c r="J444" s="3"/>
    </row>
    <row r="445" spans="10:10">
      <c r="J445" s="3"/>
    </row>
    <row r="446" spans="10:10">
      <c r="J446" s="3"/>
    </row>
    <row r="447" spans="10:10">
      <c r="J447" s="3"/>
    </row>
    <row r="448" spans="10:10">
      <c r="J448" s="3"/>
    </row>
    <row r="449" spans="10:10">
      <c r="J449" s="3"/>
    </row>
    <row r="450" spans="10:10">
      <c r="J450" s="3"/>
    </row>
    <row r="451" spans="10:10">
      <c r="J451" s="3"/>
    </row>
    <row r="452" spans="10:10">
      <c r="J452" s="3"/>
    </row>
    <row r="453" spans="10:10">
      <c r="J453" s="3"/>
    </row>
    <row r="454" spans="10:10">
      <c r="J454" s="3"/>
    </row>
    <row r="455" spans="10:10">
      <c r="J455" s="3"/>
    </row>
    <row r="456" spans="10:10">
      <c r="J456" s="3"/>
    </row>
    <row r="457" spans="10:10">
      <c r="J457" s="3"/>
    </row>
    <row r="458" spans="10:10">
      <c r="J458" s="3"/>
    </row>
    <row r="459" spans="10:10">
      <c r="J459" s="3"/>
    </row>
    <row r="460" spans="10:10">
      <c r="J460" s="3"/>
    </row>
    <row r="461" spans="10:10">
      <c r="J461" s="3"/>
    </row>
    <row r="462" spans="10:10">
      <c r="J462" s="3"/>
    </row>
    <row r="463" spans="10:10">
      <c r="J463" s="3"/>
    </row>
    <row r="464" spans="10:10">
      <c r="J464" s="3"/>
    </row>
    <row r="465" spans="10:10">
      <c r="J465" s="3"/>
    </row>
    <row r="466" spans="10:10">
      <c r="J466" s="3"/>
    </row>
    <row r="467" spans="10:10">
      <c r="J467" s="3"/>
    </row>
    <row r="468" spans="10:10">
      <c r="J468" s="3"/>
    </row>
    <row r="469" spans="10:10">
      <c r="J469" s="3"/>
    </row>
    <row r="470" spans="10:10">
      <c r="J470" s="3"/>
    </row>
    <row r="471" spans="10:10">
      <c r="J471" s="3"/>
    </row>
    <row r="472" spans="10:10">
      <c r="J472" s="3"/>
    </row>
    <row r="473" spans="10:10">
      <c r="J473" s="3"/>
    </row>
    <row r="474" spans="10:10">
      <c r="J474" s="3"/>
    </row>
    <row r="475" spans="10:10">
      <c r="J475" s="3"/>
    </row>
    <row r="476" spans="10:10">
      <c r="J476" s="3"/>
    </row>
    <row r="477" spans="10:10">
      <c r="J477" s="3"/>
    </row>
    <row r="478" spans="10:10">
      <c r="J478" s="3"/>
    </row>
    <row r="479" spans="10:10">
      <c r="J479" s="3"/>
    </row>
    <row r="480" spans="10:10">
      <c r="J480" s="3"/>
    </row>
    <row r="481" spans="10:10">
      <c r="J481" s="3"/>
    </row>
    <row r="482" spans="10:10">
      <c r="J482" s="3"/>
    </row>
    <row r="483" spans="10:10">
      <c r="J483" s="3"/>
    </row>
    <row r="484" spans="10:10">
      <c r="J484" s="3"/>
    </row>
    <row r="485" spans="10:10">
      <c r="J485" s="3"/>
    </row>
    <row r="486" spans="10:10">
      <c r="J486" s="3"/>
    </row>
    <row r="487" spans="10:10">
      <c r="J487" s="3"/>
    </row>
    <row r="488" spans="10:10">
      <c r="J488" s="3"/>
    </row>
    <row r="489" spans="10:10">
      <c r="J489" s="3"/>
    </row>
    <row r="490" spans="10:10">
      <c r="J490" s="3"/>
    </row>
    <row r="491" spans="10:10">
      <c r="J491" s="3"/>
    </row>
    <row r="492" spans="10:10">
      <c r="J492" s="3"/>
    </row>
    <row r="493" spans="10:10">
      <c r="J493" s="3"/>
    </row>
    <row r="494" spans="10:10">
      <c r="J494" s="3"/>
    </row>
    <row r="495" spans="10:10">
      <c r="J495" s="3"/>
    </row>
    <row r="496" spans="10:10">
      <c r="J496" s="3"/>
    </row>
    <row r="497" spans="10:10">
      <c r="J497" s="3"/>
    </row>
    <row r="498" spans="10:10">
      <c r="J498" s="3"/>
    </row>
    <row r="499" spans="10:10">
      <c r="J499" s="3"/>
    </row>
    <row r="500" spans="10:10">
      <c r="J500" s="3"/>
    </row>
    <row r="501" spans="10:10">
      <c r="J501" s="3"/>
    </row>
    <row r="502" spans="10:10">
      <c r="J502" s="3"/>
    </row>
    <row r="503" spans="10:10">
      <c r="J503" s="3"/>
    </row>
    <row r="504" spans="10:10">
      <c r="J504" s="3"/>
    </row>
    <row r="505" spans="10:10">
      <c r="J505" s="3"/>
    </row>
    <row r="506" spans="10:10">
      <c r="J506" s="3"/>
    </row>
    <row r="507" spans="10:10">
      <c r="J507" s="3"/>
    </row>
    <row r="508" spans="10:10">
      <c r="J508" s="3"/>
    </row>
    <row r="509" spans="10:10">
      <c r="J509" s="3"/>
    </row>
    <row r="510" spans="10:10">
      <c r="J510" s="3"/>
    </row>
    <row r="511" spans="10:10">
      <c r="J511" s="3"/>
    </row>
    <row r="512" spans="10:10">
      <c r="J512" s="3"/>
    </row>
    <row r="513" spans="10:10">
      <c r="J513" s="3"/>
    </row>
    <row r="514" spans="10:10">
      <c r="J514" s="3"/>
    </row>
    <row r="515" spans="10:10">
      <c r="J515" s="3"/>
    </row>
    <row r="516" spans="10:10">
      <c r="J516" s="3"/>
    </row>
    <row r="517" spans="10:10">
      <c r="J517" s="3"/>
    </row>
    <row r="518" spans="10:10">
      <c r="J518" s="3"/>
    </row>
    <row r="519" spans="10:10">
      <c r="J519" s="3"/>
    </row>
    <row r="520" spans="10:10">
      <c r="J520" s="3"/>
    </row>
    <row r="521" spans="10:10">
      <c r="J521" s="3"/>
    </row>
    <row r="522" spans="10:10">
      <c r="J522" s="3"/>
    </row>
    <row r="523" spans="10:10">
      <c r="J523" s="3"/>
    </row>
    <row r="524" spans="10:10">
      <c r="J524" s="3"/>
    </row>
    <row r="525" spans="10:10">
      <c r="J525" s="3"/>
    </row>
    <row r="526" spans="10:10">
      <c r="J526" s="3"/>
    </row>
    <row r="527" spans="10:10">
      <c r="J527" s="3"/>
    </row>
    <row r="528" spans="10:10">
      <c r="J528" s="3"/>
    </row>
    <row r="529" spans="10:10">
      <c r="J529" s="3"/>
    </row>
    <row r="530" spans="10:10">
      <c r="J530" s="3"/>
    </row>
    <row r="531" spans="10:10">
      <c r="J531" s="3"/>
    </row>
    <row r="532" spans="10:10">
      <c r="J532" s="3"/>
    </row>
    <row r="533" spans="10:10">
      <c r="J533" s="3"/>
    </row>
    <row r="534" spans="10:10">
      <c r="J534" s="3"/>
    </row>
    <row r="535" spans="10:10">
      <c r="J535" s="3"/>
    </row>
    <row r="536" spans="10:10">
      <c r="J536" s="3"/>
    </row>
    <row r="537" spans="10:10">
      <c r="J537" s="3"/>
    </row>
    <row r="538" spans="10:10">
      <c r="J538" s="3"/>
    </row>
    <row r="539" spans="10:10">
      <c r="J539" s="3"/>
    </row>
    <row r="540" spans="10:10">
      <c r="J540" s="3"/>
    </row>
    <row r="541" spans="10:10">
      <c r="J541" s="3"/>
    </row>
    <row r="542" spans="10:10">
      <c r="J542" s="3"/>
    </row>
    <row r="543" spans="10:10">
      <c r="J543" s="3"/>
    </row>
    <row r="544" spans="10:10">
      <c r="J544" s="3"/>
    </row>
    <row r="545" spans="10:10">
      <c r="J545" s="3"/>
    </row>
    <row r="546" spans="10:10">
      <c r="J546" s="3"/>
    </row>
    <row r="547" spans="10:10">
      <c r="J547" s="3"/>
    </row>
    <row r="548" spans="10:10">
      <c r="J548" s="3"/>
    </row>
    <row r="549" spans="10:10">
      <c r="J549" s="3"/>
    </row>
    <row r="550" spans="10:10">
      <c r="J550" s="3"/>
    </row>
    <row r="551" spans="10:10">
      <c r="J551" s="3"/>
    </row>
    <row r="552" spans="10:10">
      <c r="J552" s="3"/>
    </row>
    <row r="553" spans="10:10">
      <c r="J553" s="3"/>
    </row>
    <row r="554" spans="10:10">
      <c r="J554" s="3"/>
    </row>
    <row r="555" spans="10:10">
      <c r="J555" s="3"/>
    </row>
    <row r="556" spans="10:10">
      <c r="J556" s="3"/>
    </row>
    <row r="557" spans="10:10">
      <c r="J557" s="3"/>
    </row>
    <row r="558" spans="10:10">
      <c r="J558" s="3"/>
    </row>
    <row r="559" spans="10:10">
      <c r="J559" s="3"/>
    </row>
    <row r="560" spans="10:10">
      <c r="J560" s="3"/>
    </row>
    <row r="561" spans="10:10">
      <c r="J561" s="3"/>
    </row>
    <row r="562" spans="10:10">
      <c r="J562" s="3"/>
    </row>
    <row r="563" spans="10:10">
      <c r="J563" s="3"/>
    </row>
    <row r="564" spans="10:10">
      <c r="J564" s="3"/>
    </row>
    <row r="565" spans="10:10">
      <c r="J565" s="3"/>
    </row>
    <row r="566" spans="10:10">
      <c r="J566" s="3"/>
    </row>
    <row r="567" spans="10:10">
      <c r="J567" s="3"/>
    </row>
    <row r="568" spans="10:10">
      <c r="J568" s="3"/>
    </row>
    <row r="569" spans="10:10">
      <c r="J569" s="3"/>
    </row>
    <row r="570" spans="10:10">
      <c r="J570" s="3"/>
    </row>
    <row r="571" spans="10:10">
      <c r="J571" s="3"/>
    </row>
    <row r="572" spans="10:10">
      <c r="J572" s="3"/>
    </row>
    <row r="573" spans="10:10">
      <c r="J573" s="3"/>
    </row>
    <row r="574" spans="10:10">
      <c r="J574" s="3"/>
    </row>
    <row r="575" spans="10:10">
      <c r="J575" s="3"/>
    </row>
    <row r="576" spans="10:10">
      <c r="J576" s="3"/>
    </row>
    <row r="577" spans="10:10">
      <c r="J577" s="3"/>
    </row>
    <row r="578" spans="10:10">
      <c r="J578" s="3"/>
    </row>
    <row r="579" spans="10:10">
      <c r="J579" s="3"/>
    </row>
    <row r="580" spans="10:10">
      <c r="J580" s="3"/>
    </row>
    <row r="581" spans="10:10">
      <c r="J581" s="3"/>
    </row>
    <row r="582" spans="10:10">
      <c r="J582" s="3"/>
    </row>
    <row r="583" spans="10:10">
      <c r="J583" s="3"/>
    </row>
    <row r="584" spans="10:10">
      <c r="J584" s="3"/>
    </row>
    <row r="585" spans="10:10">
      <c r="J585" s="3"/>
    </row>
    <row r="586" spans="10:10">
      <c r="J586" s="3"/>
    </row>
    <row r="587" spans="10:10">
      <c r="J587" s="3"/>
    </row>
    <row r="588" spans="10:10">
      <c r="J588" s="3"/>
    </row>
    <row r="589" spans="10:10">
      <c r="J589" s="3"/>
    </row>
    <row r="590" spans="10:10">
      <c r="J590" s="3"/>
    </row>
    <row r="591" spans="10:10">
      <c r="J591" s="3"/>
    </row>
    <row r="592" spans="10:10">
      <c r="J592" s="3"/>
    </row>
    <row r="593" spans="10:10">
      <c r="J593" s="3"/>
    </row>
    <row r="594" spans="10:10">
      <c r="J594" s="3"/>
    </row>
    <row r="595" spans="10:10">
      <c r="J595" s="3"/>
    </row>
    <row r="596" spans="10:10">
      <c r="J596" s="3"/>
    </row>
    <row r="597" spans="10:10">
      <c r="J597" s="3"/>
    </row>
    <row r="598" spans="10:10">
      <c r="J598" s="3"/>
    </row>
    <row r="599" spans="10:10">
      <c r="J599" s="3"/>
    </row>
    <row r="600" spans="10:10">
      <c r="J600" s="3"/>
    </row>
    <row r="601" spans="10:10">
      <c r="J601" s="3"/>
    </row>
    <row r="602" spans="10:10">
      <c r="J602" s="3"/>
    </row>
    <row r="603" spans="10:10">
      <c r="J603" s="3"/>
    </row>
    <row r="604" spans="10:10">
      <c r="J604" s="3"/>
    </row>
    <row r="605" spans="10:10">
      <c r="J605" s="3"/>
    </row>
    <row r="606" spans="10:10">
      <c r="J606" s="3"/>
    </row>
    <row r="607" spans="10:10">
      <c r="J607" s="3"/>
    </row>
    <row r="608" spans="10:10">
      <c r="J608" s="3"/>
    </row>
    <row r="609" spans="10:10">
      <c r="J609" s="3"/>
    </row>
    <row r="610" spans="10:10">
      <c r="J610" s="3"/>
    </row>
    <row r="611" spans="10:10">
      <c r="J611" s="3"/>
    </row>
    <row r="612" spans="10:10">
      <c r="J612" s="3"/>
    </row>
    <row r="613" spans="10:10">
      <c r="J613" s="3"/>
    </row>
    <row r="614" spans="10:10">
      <c r="J614" s="3"/>
    </row>
    <row r="615" spans="10:10">
      <c r="J615" s="3"/>
    </row>
    <row r="616" spans="10:10">
      <c r="J616" s="3"/>
    </row>
    <row r="617" spans="10:10">
      <c r="J617" s="3"/>
    </row>
    <row r="618" spans="10:10">
      <c r="J618" s="3"/>
    </row>
    <row r="619" spans="10:10">
      <c r="J619" s="3"/>
    </row>
    <row r="620" spans="10:10">
      <c r="J620" s="3"/>
    </row>
    <row r="621" spans="10:10">
      <c r="J621" s="3"/>
    </row>
    <row r="622" spans="10:10">
      <c r="J622" s="3"/>
    </row>
    <row r="623" spans="10:10">
      <c r="J623" s="3"/>
    </row>
    <row r="624" spans="10:10">
      <c r="J624" s="3"/>
    </row>
    <row r="625" spans="10:10">
      <c r="J625" s="3"/>
    </row>
    <row r="626" spans="10:10">
      <c r="J626" s="3"/>
    </row>
    <row r="627" spans="10:10">
      <c r="J627" s="3"/>
    </row>
    <row r="628" spans="10:10">
      <c r="J628" s="3"/>
    </row>
    <row r="629" spans="10:10">
      <c r="J629" s="3"/>
    </row>
    <row r="630" spans="10:10">
      <c r="J630" s="3"/>
    </row>
    <row r="631" spans="10:10">
      <c r="J631" s="3"/>
    </row>
    <row r="632" spans="10:10">
      <c r="J632" s="3"/>
    </row>
    <row r="633" spans="10:10">
      <c r="J633" s="3"/>
    </row>
    <row r="634" spans="10:10">
      <c r="J634" s="3"/>
    </row>
    <row r="635" spans="10:10">
      <c r="J635" s="3"/>
    </row>
    <row r="636" spans="10:10">
      <c r="J636" s="3"/>
    </row>
    <row r="637" spans="10:10">
      <c r="J637" s="3"/>
    </row>
    <row r="638" spans="10:10">
      <c r="J638" s="3"/>
    </row>
    <row r="639" spans="10:10">
      <c r="J639" s="3"/>
    </row>
    <row r="640" spans="10:10">
      <c r="J640" s="3"/>
    </row>
    <row r="641" spans="10:10">
      <c r="J641" s="3"/>
    </row>
    <row r="642" spans="10:10">
      <c r="J642" s="3"/>
    </row>
    <row r="643" spans="10:10">
      <c r="J643" s="3"/>
    </row>
    <row r="644" spans="10:10">
      <c r="J644" s="3"/>
    </row>
    <row r="645" spans="10:10">
      <c r="J645" s="3"/>
    </row>
    <row r="646" spans="10:10">
      <c r="J646" s="3"/>
    </row>
    <row r="647" spans="10:10">
      <c r="J647" s="3"/>
    </row>
    <row r="648" spans="10:10">
      <c r="J648" s="3"/>
    </row>
    <row r="649" spans="10:10">
      <c r="J649" s="3"/>
    </row>
    <row r="650" spans="10:10">
      <c r="J650" s="3"/>
    </row>
    <row r="651" spans="10:10">
      <c r="J651" s="3"/>
    </row>
    <row r="652" spans="10:10">
      <c r="J652" s="3"/>
    </row>
    <row r="653" spans="10:10">
      <c r="J653" s="3"/>
    </row>
    <row r="654" spans="10:10">
      <c r="J654" s="3"/>
    </row>
    <row r="655" spans="10:10">
      <c r="J655" s="3"/>
    </row>
    <row r="656" spans="10:10">
      <c r="J656" s="3"/>
    </row>
    <row r="657" spans="10:10">
      <c r="J657" s="3"/>
    </row>
    <row r="658" spans="10:10">
      <c r="J658" s="3"/>
    </row>
    <row r="659" spans="10:10">
      <c r="J659" s="3"/>
    </row>
    <row r="660" spans="10:10">
      <c r="J660" s="3"/>
    </row>
    <row r="661" spans="10:10">
      <c r="J661" s="3"/>
    </row>
    <row r="662" spans="10:10">
      <c r="J662" s="3"/>
    </row>
    <row r="663" spans="10:10">
      <c r="J663" s="3"/>
    </row>
    <row r="664" spans="10:10">
      <c r="J664" s="3"/>
    </row>
    <row r="665" spans="10:10">
      <c r="J665" s="3"/>
    </row>
    <row r="666" spans="10:10">
      <c r="J666" s="3"/>
    </row>
    <row r="667" spans="10:10">
      <c r="J667" s="3"/>
    </row>
    <row r="668" spans="10:10">
      <c r="J668" s="3"/>
    </row>
    <row r="669" spans="10:10">
      <c r="J669" s="3"/>
    </row>
    <row r="670" spans="10:10">
      <c r="J670" s="3"/>
    </row>
    <row r="671" spans="10:10">
      <c r="J671" s="3"/>
    </row>
    <row r="672" spans="10:10">
      <c r="J672" s="3"/>
    </row>
    <row r="673" spans="10:10">
      <c r="J673" s="3"/>
    </row>
    <row r="674" spans="10:10">
      <c r="J674" s="3"/>
    </row>
    <row r="675" spans="10:10">
      <c r="J675" s="3"/>
    </row>
    <row r="676" spans="10:10">
      <c r="J676" s="3"/>
    </row>
    <row r="677" spans="10:10">
      <c r="J677" s="3"/>
    </row>
    <row r="678" spans="10:10">
      <c r="J678" s="3"/>
    </row>
    <row r="679" spans="10:10">
      <c r="J679" s="3"/>
    </row>
    <row r="680" spans="10:10">
      <c r="J680" s="3"/>
    </row>
    <row r="681" spans="10:10">
      <c r="J681" s="3"/>
    </row>
    <row r="682" spans="10:10">
      <c r="J682" s="3"/>
    </row>
    <row r="683" spans="10:10">
      <c r="J683" s="3"/>
    </row>
    <row r="684" spans="10:10">
      <c r="J684" s="3"/>
    </row>
    <row r="685" spans="10:10">
      <c r="J685" s="3"/>
    </row>
  </sheetData>
  <phoneticPr fontId="6" type="noConversion"/>
  <pageMargins left="0.75" right="0.75" top="1" bottom="1" header="0.5" footer="0.5"/>
  <pageSetup scale="85" orientation="portrait" useFirstPageNumber="1" copies="3" r:id="rId1"/>
  <headerFooter scaleWithDoc="0" alignWithMargins="0">
    <oddHeader>&amp;R&amp;"Times New Roman,Regular"&amp;12Exhibit No.__(WGJ-2)</oddHeader>
  </headerFooter>
  <rowBreaks count="1" manualBreakCount="1">
    <brk id="60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Q56"/>
  <sheetViews>
    <sheetView topLeftCell="A5" zoomScaleNormal="100" workbookViewId="0">
      <pane xSplit="6945" ySplit="1590" activePane="bottomLeft"/>
      <selection activeCell="A7" sqref="A7"/>
      <selection pane="topRight" activeCell="D7" sqref="D7:O7"/>
      <selection pane="bottomLeft" activeCell="A4" sqref="A4"/>
      <selection pane="bottomRight" activeCell="D9" sqref="D9"/>
    </sheetView>
  </sheetViews>
  <sheetFormatPr defaultColWidth="11.42578125" defaultRowHeight="12.75"/>
  <cols>
    <col min="1" max="1" width="46.28515625" customWidth="1"/>
    <col min="2" max="2" width="2" hidden="1" customWidth="1"/>
    <col min="3" max="14" width="13.7109375" customWidth="1"/>
    <col min="15" max="15" width="14.85546875" customWidth="1"/>
  </cols>
  <sheetData>
    <row r="1" spans="1:16" ht="18">
      <c r="A1" s="84" t="s">
        <v>31</v>
      </c>
    </row>
    <row r="2" spans="1:16" ht="18">
      <c r="A2" s="84" t="s">
        <v>117</v>
      </c>
    </row>
    <row r="3" spans="1:16" ht="18">
      <c r="A3" s="84" t="s">
        <v>243</v>
      </c>
      <c r="I3" s="14"/>
    </row>
    <row r="4" spans="1:16" ht="18">
      <c r="A4" s="84"/>
      <c r="B4" s="53"/>
      <c r="I4" s="14"/>
    </row>
    <row r="6" spans="1:16">
      <c r="C6" s="37"/>
      <c r="D6" s="37">
        <v>744</v>
      </c>
      <c r="E6" s="37">
        <v>672</v>
      </c>
      <c r="F6" s="37">
        <v>743</v>
      </c>
      <c r="G6" s="37">
        <v>720</v>
      </c>
      <c r="H6" s="37">
        <v>744</v>
      </c>
      <c r="I6" s="37">
        <v>720</v>
      </c>
      <c r="J6" s="37">
        <v>744</v>
      </c>
      <c r="K6" s="37">
        <v>744</v>
      </c>
      <c r="L6" s="37">
        <v>720</v>
      </c>
      <c r="M6" s="37">
        <v>744</v>
      </c>
      <c r="N6" s="37">
        <v>721</v>
      </c>
      <c r="O6" s="37">
        <v>744</v>
      </c>
    </row>
    <row r="7" spans="1:16">
      <c r="C7" s="23" t="s">
        <v>32</v>
      </c>
      <c r="D7" s="126">
        <v>41639</v>
      </c>
      <c r="E7" s="126">
        <v>41670</v>
      </c>
      <c r="F7" s="126">
        <v>41698</v>
      </c>
      <c r="G7" s="126">
        <v>41729</v>
      </c>
      <c r="H7" s="126">
        <v>41759</v>
      </c>
      <c r="I7" s="126">
        <v>41790</v>
      </c>
      <c r="J7" s="126">
        <v>41455</v>
      </c>
      <c r="K7" s="126">
        <v>41486</v>
      </c>
      <c r="L7" s="126">
        <v>41517</v>
      </c>
      <c r="M7" s="126">
        <v>41547</v>
      </c>
      <c r="N7" s="126">
        <v>41578</v>
      </c>
      <c r="O7" s="126">
        <v>41608</v>
      </c>
    </row>
    <row r="8" spans="1:16">
      <c r="C8" s="49"/>
    </row>
    <row r="9" spans="1:16">
      <c r="A9" t="s">
        <v>106</v>
      </c>
      <c r="B9" s="5" t="s">
        <v>50</v>
      </c>
      <c r="C9" s="38">
        <f>SUM(D9:O9)</f>
        <v>-41129617.935419023</v>
      </c>
      <c r="D9" s="25">
        <f>Aurora!B33*1000</f>
        <v>-3743090.7855987498</v>
      </c>
      <c r="E9" s="25">
        <f>Aurora!C33*1000</f>
        <v>-2679631.0303688003</v>
      </c>
      <c r="F9" s="25">
        <f>Aurora!D33*1000</f>
        <v>-3309054.5468330299</v>
      </c>
      <c r="G9" s="25">
        <f>Aurora!E33*1000</f>
        <v>-5887582.3577880803</v>
      </c>
      <c r="H9" s="25">
        <f>Aurora!F33*1000</f>
        <v>-4720686.3639831496</v>
      </c>
      <c r="I9" s="25">
        <f>Aurora!G33*1000</f>
        <v>-2429799.7030735002</v>
      </c>
      <c r="J9" s="25">
        <f>Aurora!H33*1000</f>
        <v>-3334983.9740753099</v>
      </c>
      <c r="K9" s="25">
        <f>Aurora!I33*1000</f>
        <v>-2256416.1582946698</v>
      </c>
      <c r="L9" s="25">
        <f>Aurora!J33*1000</f>
        <v>-2844487.78839111</v>
      </c>
      <c r="M9" s="25">
        <f>Aurora!K33*1000</f>
        <v>-1915938.96694183</v>
      </c>
      <c r="N9" s="25">
        <f>Aurora!L33*1000</f>
        <v>-3096587.5244140602</v>
      </c>
      <c r="O9" s="25">
        <f>Aurora!M33*1000</f>
        <v>-4911358.7356567299</v>
      </c>
      <c r="P9" s="25"/>
    </row>
    <row r="10" spans="1:16">
      <c r="A10" t="s">
        <v>107</v>
      </c>
      <c r="C10" s="26">
        <f>SUM(D10:O10)</f>
        <v>-1649677.6442443824</v>
      </c>
      <c r="D10" s="3">
        <f>Aurora!B29*1000</f>
        <v>-120636.73487548799</v>
      </c>
      <c r="E10" s="3">
        <f>Aurora!C29*1000</f>
        <v>-92630.437017822202</v>
      </c>
      <c r="F10" s="3">
        <f>Aurora!D29*1000</f>
        <v>-121823.562609863</v>
      </c>
      <c r="G10" s="3">
        <f>Aurora!E29*1000</f>
        <v>-261928.89492187503</v>
      </c>
      <c r="H10" s="3">
        <f>Aurora!F29*1000</f>
        <v>-253311.10322265598</v>
      </c>
      <c r="I10" s="3">
        <f>Aurora!G29*1000</f>
        <v>-164120.97578124999</v>
      </c>
      <c r="J10" s="3">
        <f>Aurora!H29*1000</f>
        <v>-130457.57373046799</v>
      </c>
      <c r="K10" s="3">
        <f>Aurora!I29*1000</f>
        <v>-71685.591088867193</v>
      </c>
      <c r="L10" s="3">
        <f>Aurora!J29*1000</f>
        <v>-98623.202392578096</v>
      </c>
      <c r="M10" s="3">
        <f>Aurora!K29*1000</f>
        <v>-74273.213134765596</v>
      </c>
      <c r="N10" s="3">
        <f>Aurora!L29*1000</f>
        <v>-109328.89472656199</v>
      </c>
      <c r="O10" s="3">
        <f>Aurora!M29*1000</f>
        <v>-150857.46074218699</v>
      </c>
    </row>
    <row r="11" spans="1:16" hidden="1">
      <c r="A11" t="s">
        <v>51</v>
      </c>
      <c r="C11" s="28">
        <f>C9/C10</f>
        <v>24.931912048949428</v>
      </c>
      <c r="D11" s="29">
        <f>D9/D10</f>
        <v>31.027785934873666</v>
      </c>
      <c r="E11" s="29">
        <f t="shared" ref="E11:O11" si="0">E9/E10</f>
        <v>28.928191603514041</v>
      </c>
      <c r="F11" s="29">
        <f t="shared" si="0"/>
        <v>27.162680814303524</v>
      </c>
      <c r="G11" s="29">
        <f t="shared" si="0"/>
        <v>22.477788712635757</v>
      </c>
      <c r="H11" s="29">
        <f t="shared" si="0"/>
        <v>18.63592358931756</v>
      </c>
      <c r="I11" s="29">
        <f t="shared" si="0"/>
        <v>14.804930884106362</v>
      </c>
      <c r="J11" s="29">
        <f t="shared" si="0"/>
        <v>25.56374366555028</v>
      </c>
      <c r="K11" s="29">
        <f t="shared" si="0"/>
        <v>31.476564871975956</v>
      </c>
      <c r="L11" s="29">
        <f t="shared" si="0"/>
        <v>28.841973484782852</v>
      </c>
      <c r="M11" s="29">
        <f t="shared" si="0"/>
        <v>25.79582713710581</v>
      </c>
      <c r="N11" s="29">
        <f t="shared" si="0"/>
        <v>28.323596723069485</v>
      </c>
      <c r="O11" s="29">
        <f t="shared" si="0"/>
        <v>32.556286652936336</v>
      </c>
    </row>
    <row r="12" spans="1:16">
      <c r="A12" t="s">
        <v>105</v>
      </c>
      <c r="C12" s="50">
        <f>C9/C10</f>
        <v>24.931912048949428</v>
      </c>
      <c r="D12" s="48">
        <f>D9/D10</f>
        <v>31.027785934873666</v>
      </c>
      <c r="E12" s="48">
        <f t="shared" ref="E12:O12" si="1">E9/E10</f>
        <v>28.928191603514041</v>
      </c>
      <c r="F12" s="48">
        <f t="shared" si="1"/>
        <v>27.162680814303524</v>
      </c>
      <c r="G12" s="48">
        <f t="shared" si="1"/>
        <v>22.477788712635757</v>
      </c>
      <c r="H12" s="48">
        <f t="shared" si="1"/>
        <v>18.63592358931756</v>
      </c>
      <c r="I12" s="48">
        <f t="shared" si="1"/>
        <v>14.804930884106362</v>
      </c>
      <c r="J12" s="48">
        <f t="shared" si="1"/>
        <v>25.56374366555028</v>
      </c>
      <c r="K12" s="48">
        <f t="shared" si="1"/>
        <v>31.476564871975956</v>
      </c>
      <c r="L12" s="48">
        <f t="shared" si="1"/>
        <v>28.841973484782852</v>
      </c>
      <c r="M12" s="48">
        <f t="shared" si="1"/>
        <v>25.79582713710581</v>
      </c>
      <c r="N12" s="48">
        <f t="shared" si="1"/>
        <v>28.323596723069485</v>
      </c>
      <c r="O12" s="48">
        <f t="shared" si="1"/>
        <v>32.556286652936336</v>
      </c>
    </row>
    <row r="13" spans="1:16">
      <c r="A13" t="s">
        <v>108</v>
      </c>
      <c r="B13" s="5" t="s">
        <v>50</v>
      </c>
      <c r="C13" s="38">
        <f>SUM(D13:O13)</f>
        <v>6683313.318669294</v>
      </c>
      <c r="D13" s="25">
        <f>Aurora!B32*1000</f>
        <v>329410.52457690198</v>
      </c>
      <c r="E13" s="25">
        <f>Aurora!C32*1000</f>
        <v>451593.33092570299</v>
      </c>
      <c r="F13" s="25">
        <f>Aurora!D32*1000</f>
        <v>369314.35238942498</v>
      </c>
      <c r="G13" s="25">
        <f>Aurora!E32*1000</f>
        <v>42611.814026627602</v>
      </c>
      <c r="H13" s="25">
        <f>Aurora!F32*1000</f>
        <v>21971.3058832567</v>
      </c>
      <c r="I13" s="25">
        <f>Aurora!G32*1000</f>
        <v>410806.03456403996</v>
      </c>
      <c r="J13" s="25">
        <f>Aurora!H32*1000</f>
        <v>704803.26130390097</v>
      </c>
      <c r="K13" s="25">
        <f>Aurora!I32*1000</f>
        <v>1638561.01512908</v>
      </c>
      <c r="L13" s="25">
        <f>Aurora!J32*1000</f>
        <v>763024.433270865</v>
      </c>
      <c r="M13" s="25">
        <f>Aurora!K32*1000</f>
        <v>849668.47098618699</v>
      </c>
      <c r="N13" s="25">
        <f>Aurora!L32*1000</f>
        <v>675421.80030345905</v>
      </c>
      <c r="O13" s="25">
        <f>Aurora!M32*1000</f>
        <v>426126.97530984797</v>
      </c>
    </row>
    <row r="14" spans="1:16" s="3" customFormat="1">
      <c r="A14" s="3" t="s">
        <v>112</v>
      </c>
      <c r="C14" s="27">
        <f>SUM(D14:O14)</f>
        <v>263867.27497674327</v>
      </c>
      <c r="D14" s="3">
        <f>Aurora!B28*1000</f>
        <v>13926.329048502401</v>
      </c>
      <c r="E14" s="3">
        <f>Aurora!C28*1000</f>
        <v>23206.603829145395</v>
      </c>
      <c r="F14" s="3">
        <f>Aurora!D28*1000</f>
        <v>19124.2645106196</v>
      </c>
      <c r="G14" s="3">
        <f>Aurora!E28*1000</f>
        <v>2647.6780178874701</v>
      </c>
      <c r="H14" s="3">
        <f>Aurora!F28*1000</f>
        <v>1241.1837865442001</v>
      </c>
      <c r="I14" s="3">
        <f>Aurora!G28*1000</f>
        <v>17697.875790119098</v>
      </c>
      <c r="J14" s="3">
        <f>Aurora!H28*1000</f>
        <v>25333.1469154357</v>
      </c>
      <c r="K14" s="3">
        <f>Aurora!I28*1000</f>
        <v>59936.1343963623</v>
      </c>
      <c r="L14" s="3">
        <f>Aurora!J28*1000</f>
        <v>27292.485678215304</v>
      </c>
      <c r="M14" s="3">
        <f>Aurora!K28*1000</f>
        <v>32821.4868386745</v>
      </c>
      <c r="N14" s="3">
        <f>Aurora!L28*1000</f>
        <v>25348.121315002405</v>
      </c>
      <c r="O14" s="3">
        <f>Aurora!M28*1000</f>
        <v>15291.964850234899</v>
      </c>
    </row>
    <row r="15" spans="1:16" hidden="1">
      <c r="A15" s="3" t="s">
        <v>52</v>
      </c>
      <c r="C15" s="28">
        <f>C13/C14</f>
        <v>25.328314468925136</v>
      </c>
      <c r="D15" s="29">
        <f>D13/D14</f>
        <v>23.653794437115206</v>
      </c>
      <c r="E15" s="29">
        <f t="shared" ref="E15:O15" si="2">E13/E14</f>
        <v>19.459690623000277</v>
      </c>
      <c r="F15" s="29">
        <f t="shared" si="2"/>
        <v>19.311297027101187</v>
      </c>
      <c r="G15" s="29">
        <f t="shared" si="2"/>
        <v>16.094031728460216</v>
      </c>
      <c r="H15" s="29">
        <f t="shared" si="2"/>
        <v>17.70189565916818</v>
      </c>
      <c r="I15" s="29">
        <f t="shared" si="2"/>
        <v>23.212166219032742</v>
      </c>
      <c r="J15" s="29">
        <f t="shared" si="2"/>
        <v>27.821386093744966</v>
      </c>
      <c r="K15" s="29">
        <f t="shared" si="2"/>
        <v>27.338450029045067</v>
      </c>
      <c r="L15" s="29">
        <f t="shared" si="2"/>
        <v>27.957308186110232</v>
      </c>
      <c r="M15" s="29">
        <f t="shared" si="2"/>
        <v>25.887567957006695</v>
      </c>
      <c r="N15" s="29">
        <f t="shared" si="2"/>
        <v>26.645832719117827</v>
      </c>
      <c r="O15" s="29">
        <f t="shared" si="2"/>
        <v>27.866070807983988</v>
      </c>
    </row>
    <row r="16" spans="1:16">
      <c r="A16" s="3" t="s">
        <v>110</v>
      </c>
      <c r="C16" s="50">
        <f>C13/C14</f>
        <v>25.328314468925136</v>
      </c>
      <c r="D16" s="48">
        <f>D13/D14</f>
        <v>23.653794437115206</v>
      </c>
      <c r="E16" s="48">
        <f t="shared" ref="E16:O16" si="3">E13/E14</f>
        <v>19.459690623000277</v>
      </c>
      <c r="F16" s="48">
        <f t="shared" si="3"/>
        <v>19.311297027101187</v>
      </c>
      <c r="G16" s="48">
        <f t="shared" si="3"/>
        <v>16.094031728460216</v>
      </c>
      <c r="H16" s="48">
        <f t="shared" si="3"/>
        <v>17.70189565916818</v>
      </c>
      <c r="I16" s="48"/>
      <c r="J16" s="48">
        <f t="shared" si="3"/>
        <v>27.821386093744966</v>
      </c>
      <c r="K16" s="48">
        <f t="shared" si="3"/>
        <v>27.338450029045067</v>
      </c>
      <c r="L16" s="48">
        <f t="shared" si="3"/>
        <v>27.957308186110232</v>
      </c>
      <c r="M16" s="48">
        <f t="shared" si="3"/>
        <v>25.887567957006695</v>
      </c>
      <c r="N16" s="48">
        <f t="shared" si="3"/>
        <v>26.645832719117827</v>
      </c>
      <c r="O16" s="48">
        <f t="shared" si="3"/>
        <v>27.866070807983988</v>
      </c>
    </row>
    <row r="17" spans="1:17">
      <c r="A17" t="s">
        <v>109</v>
      </c>
      <c r="C17" s="27">
        <f>C14+C10</f>
        <v>-1385810.3692676392</v>
      </c>
      <c r="D17" s="19">
        <f>D14+D10</f>
        <v>-106710.40582698559</v>
      </c>
      <c r="E17" s="19">
        <f>E14+E10</f>
        <v>-69423.833188676799</v>
      </c>
      <c r="F17" s="19">
        <f t="shared" ref="F17:O17" si="4">F14+F10</f>
        <v>-102699.2980992434</v>
      </c>
      <c r="G17" s="19">
        <f t="shared" si="4"/>
        <v>-259281.21690398757</v>
      </c>
      <c r="H17" s="19">
        <f t="shared" si="4"/>
        <v>-252069.91943611178</v>
      </c>
      <c r="I17" s="19">
        <f t="shared" si="4"/>
        <v>-146423.09999113088</v>
      </c>
      <c r="J17" s="19">
        <f t="shared" si="4"/>
        <v>-105124.42681503229</v>
      </c>
      <c r="K17" s="19">
        <f t="shared" si="4"/>
        <v>-11749.456692504893</v>
      </c>
      <c r="L17" s="19">
        <f t="shared" si="4"/>
        <v>-71330.716714362788</v>
      </c>
      <c r="M17" s="19">
        <f t="shared" si="4"/>
        <v>-41451.726296091096</v>
      </c>
      <c r="N17" s="19">
        <f t="shared" si="4"/>
        <v>-83980.773411559581</v>
      </c>
      <c r="O17" s="19">
        <f t="shared" si="4"/>
        <v>-135565.4958919521</v>
      </c>
    </row>
    <row r="18" spans="1:17">
      <c r="A18" t="s">
        <v>111</v>
      </c>
      <c r="C18" s="111">
        <f>C17/8760</f>
        <v>-158.19753073831498</v>
      </c>
      <c r="D18" s="3">
        <f>D17/D6</f>
        <v>-143.42796482121719</v>
      </c>
      <c r="E18" s="3">
        <f t="shared" ref="E18:O18" si="5">E17/E6</f>
        <v>-103.3092755783881</v>
      </c>
      <c r="F18" s="3">
        <f t="shared" si="5"/>
        <v>-138.22247388861831</v>
      </c>
      <c r="G18" s="3">
        <f t="shared" si="5"/>
        <v>-360.11280125553827</v>
      </c>
      <c r="H18" s="3">
        <f t="shared" si="5"/>
        <v>-338.80365515606422</v>
      </c>
      <c r="I18" s="3">
        <f t="shared" si="5"/>
        <v>-203.36541665434845</v>
      </c>
      <c r="J18" s="3">
        <f t="shared" si="5"/>
        <v>-141.29627260084985</v>
      </c>
      <c r="K18" s="3">
        <f t="shared" si="5"/>
        <v>-15.79228050067862</v>
      </c>
      <c r="L18" s="3">
        <f t="shared" si="5"/>
        <v>-99.070439881059428</v>
      </c>
      <c r="M18" s="3">
        <f t="shared" si="5"/>
        <v>-55.714685881842868</v>
      </c>
      <c r="N18" s="3">
        <f t="shared" si="5"/>
        <v>-116.47818781076225</v>
      </c>
      <c r="O18" s="3">
        <f t="shared" si="5"/>
        <v>-182.21168802681734</v>
      </c>
    </row>
    <row r="19" spans="1:17">
      <c r="A19" t="s">
        <v>113</v>
      </c>
      <c r="C19" s="77">
        <f>(-C9+C13)/(-C10+C14)</f>
        <v>24.9865737531522</v>
      </c>
      <c r="D19" s="29">
        <f>(-D9+D13)/(-D10+D14)</f>
        <v>30.264629768508055</v>
      </c>
      <c r="E19" s="29">
        <f>(-E9+E13)/(-E10+E14)</f>
        <v>27.031287560523634</v>
      </c>
      <c r="F19" s="29">
        <f t="shared" ref="F19:O19" si="6">(-F9+F13)/(-F10+F14)</f>
        <v>26.097379252808025</v>
      </c>
      <c r="G19" s="29">
        <f t="shared" si="6"/>
        <v>22.413905002711129</v>
      </c>
      <c r="H19" s="29">
        <f t="shared" si="6"/>
        <v>18.631369317436125</v>
      </c>
      <c r="I19" s="29">
        <f t="shared" si="6"/>
        <v>15.623274006449883</v>
      </c>
      <c r="J19" s="29">
        <f t="shared" si="6"/>
        <v>25.930859159200065</v>
      </c>
      <c r="K19" s="29">
        <f t="shared" si="6"/>
        <v>29.592205686901149</v>
      </c>
      <c r="L19" s="29">
        <f t="shared" si="6"/>
        <v>28.650220452543838</v>
      </c>
      <c r="M19" s="29">
        <f t="shared" si="6"/>
        <v>25.82394309535298</v>
      </c>
      <c r="N19" s="29">
        <f t="shared" si="6"/>
        <v>28.007817782014051</v>
      </c>
      <c r="O19" s="29">
        <f t="shared" si="6"/>
        <v>32.124611276477516</v>
      </c>
    </row>
    <row r="20" spans="1:17">
      <c r="C20" s="28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</row>
    <row r="21" spans="1:17" s="3" customFormat="1">
      <c r="A21" s="3" t="s">
        <v>33</v>
      </c>
      <c r="C21" s="27">
        <f>SUM(D21:O21)</f>
        <v>1588966.7900390611</v>
      </c>
      <c r="D21" s="3">
        <f>Aurora!B6*1000</f>
        <v>144712.69887695299</v>
      </c>
      <c r="E21" s="3">
        <f>Aurora!C6*1000</f>
        <v>129272.7277832031</v>
      </c>
      <c r="F21" s="3">
        <f>Aurora!D6*1000</f>
        <v>142844.65986328118</v>
      </c>
      <c r="G21" s="3">
        <f>Aurora!E6*1000</f>
        <v>126514.11694335932</v>
      </c>
      <c r="H21" s="3">
        <f>Aurora!F6*1000</f>
        <v>105492.0414062499</v>
      </c>
      <c r="I21" s="3">
        <f>Aurora!G6*1000</f>
        <v>90690.975927734296</v>
      </c>
      <c r="J21" s="3">
        <f>Aurora!H6*1000</f>
        <v>134373.45195312501</v>
      </c>
      <c r="K21" s="3">
        <f>Aurora!I6*1000</f>
        <v>142975.93813476549</v>
      </c>
      <c r="L21" s="3">
        <f>Aurora!J6*1000</f>
        <v>141245.0988281249</v>
      </c>
      <c r="M21" s="3">
        <f>Aurora!K6*1000</f>
        <v>145063.31953124987</v>
      </c>
      <c r="N21" s="3">
        <f>Aurora!L6*1000</f>
        <v>140412.30888671859</v>
      </c>
      <c r="O21" s="3">
        <f>Aurora!M6*1000</f>
        <v>145369.45190429682</v>
      </c>
      <c r="P21" s="3">
        <f>C21/8784</f>
        <v>180.8933048769423</v>
      </c>
      <c r="Q21" s="110">
        <f>P21/230</f>
        <v>0.78649262989974911</v>
      </c>
    </row>
    <row r="22" spans="1:17">
      <c r="A22" s="3" t="s">
        <v>101</v>
      </c>
      <c r="C22" s="72">
        <f>C23/C21</f>
        <v>14.71508393858795</v>
      </c>
      <c r="D22" s="75">
        <f>D23/D21</f>
        <v>14.073381947936506</v>
      </c>
      <c r="E22" s="75">
        <f t="shared" ref="E22:O22" si="7">E23/E21</f>
        <v>14.692473339334523</v>
      </c>
      <c r="F22" s="75">
        <f t="shared" si="7"/>
        <v>14.157384867740522</v>
      </c>
      <c r="G22" s="75">
        <f t="shared" si="7"/>
        <v>14.842604353860962</v>
      </c>
      <c r="H22" s="75">
        <f t="shared" si="7"/>
        <v>16.064907524842067</v>
      </c>
      <c r="I22" s="75">
        <f t="shared" si="7"/>
        <v>17.287046314254717</v>
      </c>
      <c r="J22" s="75">
        <f t="shared" si="7"/>
        <v>14.791646724632923</v>
      </c>
      <c r="K22" s="75">
        <f t="shared" si="7"/>
        <v>14.407583033380636</v>
      </c>
      <c r="L22" s="75">
        <f t="shared" si="7"/>
        <v>14.455461347707347</v>
      </c>
      <c r="M22" s="75">
        <f t="shared" si="7"/>
        <v>14.325086927484653</v>
      </c>
      <c r="N22" s="75">
        <f t="shared" si="7"/>
        <v>14.492212488812701</v>
      </c>
      <c r="O22" s="75">
        <f t="shared" si="7"/>
        <v>14.315295250424011</v>
      </c>
    </row>
    <row r="23" spans="1:17">
      <c r="A23" t="s">
        <v>34</v>
      </c>
      <c r="C23" s="30">
        <f>SUM(D23:O23)</f>
        <v>23381779.691053439</v>
      </c>
      <c r="D23" s="31">
        <f>Aurora!B18*1000</f>
        <v>2036597.0840120816</v>
      </c>
      <c r="E23" s="31">
        <f>Aurora!C18*1000</f>
        <v>1899336.1064577608</v>
      </c>
      <c r="F23" s="31">
        <f>Aurora!D18*1000</f>
        <v>2022306.8259859588</v>
      </c>
      <c r="G23" s="31">
        <f>Aurora!E18*1000</f>
        <v>1877798.9829683797</v>
      </c>
      <c r="H23" s="31">
        <f>Aurora!F18*1000</f>
        <v>1694719.8897982149</v>
      </c>
      <c r="I23" s="31">
        <f>Aurora!G18*1000</f>
        <v>1567779.1011477024</v>
      </c>
      <c r="J23" s="31">
        <f>Aurora!H18*1000</f>
        <v>1987604.6304600609</v>
      </c>
      <c r="K23" s="31">
        <f>Aurora!I18*1000</f>
        <v>2059937.7004521266</v>
      </c>
      <c r="L23" s="31">
        <f>Aurora!J18*1000</f>
        <v>2041763.0666630638</v>
      </c>
      <c r="M23" s="31">
        <f>Aurora!K18*1000</f>
        <v>2078044.6622746368</v>
      </c>
      <c r="N23" s="31">
        <f>Aurora!L18*1000</f>
        <v>2034885.0164311298</v>
      </c>
      <c r="O23" s="31">
        <f>Aurora!M18*1000</f>
        <v>2081006.6244023219</v>
      </c>
    </row>
    <row r="24" spans="1:17">
      <c r="C24" s="28"/>
    </row>
    <row r="25" spans="1:17" s="3" customFormat="1">
      <c r="A25" s="3" t="s">
        <v>35</v>
      </c>
      <c r="C25" s="27">
        <f>SUM(D25:O25)</f>
        <v>294300.09283065732</v>
      </c>
      <c r="D25" s="3">
        <f>Aurora!B8*1000</f>
        <v>30826.7609008789</v>
      </c>
      <c r="E25" s="3">
        <f>Aurora!C8*1000</f>
        <v>26330.560742187496</v>
      </c>
      <c r="F25" s="3">
        <f>Aurora!D8*1000</f>
        <v>25975.2502929687</v>
      </c>
      <c r="G25" s="3">
        <f>Aurora!E8*1000</f>
        <v>21713.142028808499</v>
      </c>
      <c r="H25" s="3">
        <f>Aurora!F8*1000</f>
        <v>15004.5510131835</v>
      </c>
      <c r="I25" s="3">
        <f>Aurora!G8*1000</f>
        <v>809.34916610717698</v>
      </c>
      <c r="J25" s="3">
        <f>Aurora!H8*1000</f>
        <v>22198.525463867099</v>
      </c>
      <c r="K25" s="3">
        <f>Aurora!I8*1000</f>
        <v>29704.573413085898</v>
      </c>
      <c r="L25" s="3">
        <f>Aurora!J8*1000</f>
        <v>30221.837646484299</v>
      </c>
      <c r="M25" s="3">
        <f>Aurora!K8*1000</f>
        <v>29819.654223632802</v>
      </c>
      <c r="N25" s="3">
        <f>Aurora!L8*1000</f>
        <v>29428.260717773399</v>
      </c>
      <c r="O25" s="3">
        <f>Aurora!M8*1000</f>
        <v>32267.627221679595</v>
      </c>
      <c r="P25" s="3">
        <f>C25/8760</f>
        <v>33.595901008065901</v>
      </c>
    </row>
    <row r="26" spans="1:17">
      <c r="A26" s="3" t="s">
        <v>100</v>
      </c>
      <c r="C26" s="72">
        <f t="shared" ref="C26:O26" si="8">C27/C25</f>
        <v>19.13062109847673</v>
      </c>
      <c r="D26" s="75">
        <f>D27/D25</f>
        <v>19.496909574135248</v>
      </c>
      <c r="E26" s="75">
        <f t="shared" si="8"/>
        <v>19.60670654584462</v>
      </c>
      <c r="F26" s="75">
        <f t="shared" si="8"/>
        <v>19.658560281530118</v>
      </c>
      <c r="G26" s="75">
        <f t="shared" si="8"/>
        <v>20.131219829443513</v>
      </c>
      <c r="H26" s="75">
        <f t="shared" si="8"/>
        <v>20.361594529267816</v>
      </c>
      <c r="I26" s="75"/>
      <c r="J26" s="75">
        <f t="shared" si="8"/>
        <v>18.853539434590424</v>
      </c>
      <c r="K26" s="75">
        <f t="shared" si="8"/>
        <v>18.660178296457634</v>
      </c>
      <c r="L26" s="75">
        <f t="shared" si="8"/>
        <v>18.64878698750946</v>
      </c>
      <c r="M26" s="75">
        <f t="shared" si="8"/>
        <v>18.701635596877946</v>
      </c>
      <c r="N26" s="75">
        <f t="shared" si="8"/>
        <v>18.656758404290471</v>
      </c>
      <c r="O26" s="75">
        <f t="shared" si="8"/>
        <v>18.598411495100578</v>
      </c>
    </row>
    <row r="27" spans="1:17">
      <c r="A27" t="s">
        <v>36</v>
      </c>
      <c r="C27" s="30">
        <f>SUM(D27:O27)</f>
        <v>5630143.5651898328</v>
      </c>
      <c r="D27" s="32">
        <f>Aurora!B20*1000</f>
        <v>601026.56974792399</v>
      </c>
      <c r="E27" s="32">
        <f>Aurora!C20*1000</f>
        <v>516255.57765960693</v>
      </c>
      <c r="F27" s="32">
        <f>Aurora!D20*1000</f>
        <v>510636.02371215803</v>
      </c>
      <c r="G27" s="32">
        <f>Aurora!E20*1000</f>
        <v>437112.03536987299</v>
      </c>
      <c r="H27" s="32">
        <f>Aurora!F20*1000</f>
        <v>305516.58382415702</v>
      </c>
      <c r="I27" s="32">
        <f>Aurora!G20*1000</f>
        <v>16343.884479999499</v>
      </c>
      <c r="J27" s="32">
        <f>Aurora!H20*1000</f>
        <v>418520.77522277803</v>
      </c>
      <c r="K27" s="32">
        <f>Aurora!I20*1000</f>
        <v>554292.63610839797</v>
      </c>
      <c r="L27" s="32">
        <f>Aurora!J20*1000</f>
        <v>563600.61264037993</v>
      </c>
      <c r="M27" s="32">
        <f>Aurora!K20*1000</f>
        <v>557676.30691528297</v>
      </c>
      <c r="N27" s="32">
        <f>Aurora!L20*1000</f>
        <v>549035.95046997</v>
      </c>
      <c r="O27" s="32">
        <f>Aurora!M20*1000</f>
        <v>600126.60903930606</v>
      </c>
    </row>
    <row r="28" spans="1:17">
      <c r="C28" s="77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</row>
    <row r="29" spans="1:17">
      <c r="A29" t="s">
        <v>89</v>
      </c>
      <c r="C29" s="27">
        <f>SUM(D29:O29)</f>
        <v>1827615.7626617379</v>
      </c>
      <c r="D29" s="3">
        <f>Aurora!B7*1000</f>
        <v>198543.305749511</v>
      </c>
      <c r="E29" s="3">
        <f>Aurora!C7*1000</f>
        <v>159931.99960327099</v>
      </c>
      <c r="F29" s="3">
        <f>Aurora!D7*1000</f>
        <v>174045.30892333901</v>
      </c>
      <c r="G29" s="3">
        <f>Aurora!E7*1000</f>
        <v>142767.75518798799</v>
      </c>
      <c r="H29" s="3">
        <f>Aurora!F7*1000</f>
        <v>79146.665631103504</v>
      </c>
      <c r="I29" s="3">
        <f>Aurora!G7*1000</f>
        <v>49204.667178344702</v>
      </c>
      <c r="J29" s="3">
        <f>Aurora!H7*1000</f>
        <v>128006.82596435498</v>
      </c>
      <c r="K29" s="3">
        <f>Aurora!I7*1000</f>
        <v>172471.73422851501</v>
      </c>
      <c r="L29" s="3">
        <f>Aurora!J7*1000</f>
        <v>176544.29062499999</v>
      </c>
      <c r="M29" s="3">
        <f>Aurora!K7*1000</f>
        <v>172469.53457031201</v>
      </c>
      <c r="N29" s="3">
        <f>Aurora!L7*1000</f>
        <v>173062.64853515601</v>
      </c>
      <c r="O29" s="3">
        <f>Aurora!M7*1000</f>
        <v>201421.02646484296</v>
      </c>
      <c r="P29" s="3">
        <f>C29/8784</f>
        <v>208.06190376385905</v>
      </c>
    </row>
    <row r="30" spans="1:17">
      <c r="A30" t="s">
        <v>98</v>
      </c>
      <c r="C30" s="72">
        <f>C31/C29</f>
        <v>20.039540984563612</v>
      </c>
      <c r="D30" s="75">
        <f>D31/D29</f>
        <v>21.685173780822009</v>
      </c>
      <c r="E30" s="75">
        <f t="shared" ref="E30:O30" si="9">E31/E29</f>
        <v>21.595433639906453</v>
      </c>
      <c r="F30" s="75">
        <f t="shared" si="9"/>
        <v>21.148734489845506</v>
      </c>
      <c r="G30" s="75">
        <f t="shared" si="9"/>
        <v>18.515562260724248</v>
      </c>
      <c r="H30" s="75">
        <f t="shared" si="9"/>
        <v>18.656428384284261</v>
      </c>
      <c r="I30" s="75">
        <f t="shared" si="9"/>
        <v>18.897682636344953</v>
      </c>
      <c r="J30" s="75">
        <f t="shared" si="9"/>
        <v>18.959531645897265</v>
      </c>
      <c r="K30" s="75">
        <f t="shared" si="9"/>
        <v>19.102405763534435</v>
      </c>
      <c r="L30" s="75">
        <f t="shared" si="9"/>
        <v>19.058167984771153</v>
      </c>
      <c r="M30" s="75">
        <f t="shared" si="9"/>
        <v>19.087571018131051</v>
      </c>
      <c r="N30" s="75">
        <f t="shared" si="9"/>
        <v>20.09480802203878</v>
      </c>
      <c r="O30" s="75">
        <f t="shared" si="9"/>
        <v>21.242826819899758</v>
      </c>
    </row>
    <row r="31" spans="1:17">
      <c r="A31" t="s">
        <v>87</v>
      </c>
      <c r="C31" s="30">
        <f>SUM(D31:O31)</f>
        <v>36624580.979894377</v>
      </c>
      <c r="D31" s="25">
        <f>Aurora!B19*1000</f>
        <v>4305446.0881970236</v>
      </c>
      <c r="E31" s="25">
        <f>Aurora!C19*1000</f>
        <v>3453800.884329984</v>
      </c>
      <c r="F31" s="25">
        <f>Aurora!D19*1000</f>
        <v>3680838.0276228352</v>
      </c>
      <c r="G31" s="25">
        <f>Aurora!E19*1000</f>
        <v>2643425.2600070289</v>
      </c>
      <c r="H31" s="25">
        <f>Aurora!F19*1000</f>
        <v>1476594.0992015749</v>
      </c>
      <c r="I31" s="25">
        <f>Aurora!G19*1000</f>
        <v>929854.18456333713</v>
      </c>
      <c r="J31" s="25">
        <f>Aurora!H19*1000</f>
        <v>2426949.4677620521</v>
      </c>
      <c r="K31" s="25">
        <f>Aurora!I19*1000</f>
        <v>3294625.0499735642</v>
      </c>
      <c r="L31" s="25">
        <f>Aurora!J19*1000</f>
        <v>3364610.7474835087</v>
      </c>
      <c r="M31" s="25">
        <f>Aurora!K19*1000</f>
        <v>3292024.4895748389</v>
      </c>
      <c r="N31" s="25">
        <f>Aurora!L19*1000</f>
        <v>3477660.6980995308</v>
      </c>
      <c r="O31" s="25">
        <f>Aurora!M19*1000</f>
        <v>4278751.9830791047</v>
      </c>
    </row>
    <row r="32" spans="1:17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</row>
    <row r="33" spans="1:17">
      <c r="A33" t="s">
        <v>166</v>
      </c>
      <c r="C33" s="27">
        <f>SUM(D33:O33)</f>
        <v>1621700.4425933796</v>
      </c>
      <c r="D33" s="3">
        <f>Aurora!B10*1000</f>
        <v>180148.79378662101</v>
      </c>
      <c r="E33" s="3">
        <f>Aurora!C10*1000</f>
        <v>143862.60590209899</v>
      </c>
      <c r="F33" s="3">
        <f>Aurora!D10*1000</f>
        <v>156332.31851196199</v>
      </c>
      <c r="G33" s="3">
        <f>Aurora!E10*1000</f>
        <v>127200.97865600501</v>
      </c>
      <c r="H33" s="3">
        <f>Aurora!F10*1000</f>
        <v>70980.345397949204</v>
      </c>
      <c r="I33" s="3">
        <f>Aurora!G10*1000</f>
        <v>47194.44544372549</v>
      </c>
      <c r="J33" s="3">
        <f>Aurora!H10*1000</f>
        <v>107238.696594238</v>
      </c>
      <c r="K33" s="3">
        <f>Aurora!I10*1000</f>
        <v>141585.125585937</v>
      </c>
      <c r="L33" s="3">
        <f>Aurora!J10*1000</f>
        <v>148395.82402343699</v>
      </c>
      <c r="M33" s="3">
        <f>Aurora!K10*1000</f>
        <v>158308.19062499999</v>
      </c>
      <c r="N33" s="3">
        <f>Aurora!L10*1000</f>
        <v>158498.13046874999</v>
      </c>
      <c r="O33" s="3">
        <f>Aurora!M10*1000</f>
        <v>181954.987597656</v>
      </c>
      <c r="P33" s="3">
        <f>C33/8784</f>
        <v>184.61981359214249</v>
      </c>
    </row>
    <row r="34" spans="1:17">
      <c r="A34" t="s">
        <v>167</v>
      </c>
      <c r="C34" s="72">
        <f>C35/C33</f>
        <v>20.722413261919165</v>
      </c>
      <c r="D34" s="75">
        <f>D35/D33</f>
        <v>22.240061002742998</v>
      </c>
      <c r="E34" s="75">
        <f t="shared" ref="E34:O34" si="10">E35/E33</f>
        <v>22.177582162035556</v>
      </c>
      <c r="F34" s="75">
        <f t="shared" si="10"/>
        <v>21.808704475675668</v>
      </c>
      <c r="G34" s="75">
        <f t="shared" si="10"/>
        <v>19.140588725696826</v>
      </c>
      <c r="H34" s="75">
        <f t="shared" si="10"/>
        <v>19.450054410851553</v>
      </c>
      <c r="I34" s="75">
        <f t="shared" si="10"/>
        <v>19.868868148046989</v>
      </c>
      <c r="J34" s="75">
        <f t="shared" si="10"/>
        <v>19.776084091221321</v>
      </c>
      <c r="K34" s="75">
        <f t="shared" si="10"/>
        <v>19.911340741001084</v>
      </c>
      <c r="L34" s="75">
        <f t="shared" si="10"/>
        <v>19.791020615654642</v>
      </c>
      <c r="M34" s="75">
        <f t="shared" si="10"/>
        <v>19.723882374025564</v>
      </c>
      <c r="N34" s="75">
        <f t="shared" si="10"/>
        <v>20.680494474006064</v>
      </c>
      <c r="O34" s="75">
        <f t="shared" si="10"/>
        <v>21.813280982745784</v>
      </c>
    </row>
    <row r="35" spans="1:17">
      <c r="A35" t="s">
        <v>168</v>
      </c>
      <c r="C35" s="30">
        <f>SUM(D35:O35)</f>
        <v>33605546.758457229</v>
      </c>
      <c r="D35" s="25">
        <f>Aurora!B22*1000</f>
        <v>4006520.1633850201</v>
      </c>
      <c r="E35" s="25">
        <f>Aurora!C22*1000</f>
        <v>3190524.7624383415</v>
      </c>
      <c r="F35" s="25">
        <f>Aurora!D22*1000</f>
        <v>3409405.3344245795</v>
      </c>
      <c r="G35" s="25">
        <f>Aurora!E22*1000</f>
        <v>2434701.617960732</v>
      </c>
      <c r="H35" s="25">
        <f>Aurora!F22*1000</f>
        <v>1380571.5800911486</v>
      </c>
      <c r="I35" s="25">
        <f>Aurora!G22*1000</f>
        <v>937700.21384157869</v>
      </c>
      <c r="J35" s="25">
        <f>Aurora!H22*1000</f>
        <v>2120761.4816806205</v>
      </c>
      <c r="K35" s="25">
        <f>Aurora!I22*1000</f>
        <v>2819149.6793990224</v>
      </c>
      <c r="L35" s="25">
        <f>Aurora!J22*1000</f>
        <v>2936904.8125248998</v>
      </c>
      <c r="M35" s="25">
        <f>Aurora!K22*1000</f>
        <v>3122452.1307323161</v>
      </c>
      <c r="N35" s="25">
        <f>Aurora!L22*1000</f>
        <v>3277819.7112992764</v>
      </c>
      <c r="O35" s="25">
        <f>Aurora!M22*1000</f>
        <v>3969035.2706796946</v>
      </c>
    </row>
    <row r="36" spans="1:17">
      <c r="C36" s="24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</row>
    <row r="37" spans="1:17">
      <c r="A37" t="s">
        <v>54</v>
      </c>
      <c r="C37" s="27">
        <f>SUM(D37:O37)</f>
        <v>33542.355461174186</v>
      </c>
      <c r="D37" s="3">
        <f>Aurora!B5*1000</f>
        <v>3522.7076988220201</v>
      </c>
      <c r="E37" s="3">
        <f>Aurora!C5*1000</f>
        <v>2185.52526264786</v>
      </c>
      <c r="F37" s="3">
        <f>Aurora!D5*1000</f>
        <v>1764.82338843345</v>
      </c>
      <c r="G37" s="3">
        <f>Aurora!E5*1000</f>
        <v>1560.8150314807797</v>
      </c>
      <c r="H37" s="3">
        <f>Aurora!F5*1000</f>
        <v>780.64911618232702</v>
      </c>
      <c r="I37" s="3">
        <f>Aurora!G5*1000</f>
        <v>972.81585769653304</v>
      </c>
      <c r="J37" s="3">
        <f>Aurora!H5*1000</f>
        <v>4274.9795913696198</v>
      </c>
      <c r="K37" s="3">
        <f>Aurora!I5*1000</f>
        <v>5790.1986694335901</v>
      </c>
      <c r="L37" s="3">
        <f>Aurora!J5*1000</f>
        <v>3546.2369098663298</v>
      </c>
      <c r="M37" s="3">
        <f>Aurora!K5*1000</f>
        <v>1545.36170578002</v>
      </c>
      <c r="N37" s="3">
        <f>Aurora!L5*1000</f>
        <v>3041.5967521667399</v>
      </c>
      <c r="O37" s="3">
        <f>Aurora!M5*1000</f>
        <v>4556.6454772949201</v>
      </c>
      <c r="P37" s="3">
        <f>C37/8760</f>
        <v>3.8290360115495647</v>
      </c>
      <c r="Q37" s="82">
        <f>SUM(P37:P49)</f>
        <v>12.673032372613578</v>
      </c>
    </row>
    <row r="38" spans="1:17">
      <c r="A38" t="s">
        <v>99</v>
      </c>
      <c r="C38" s="72">
        <f>C39/C37</f>
        <v>26.67117434179989</v>
      </c>
      <c r="D38" s="75">
        <f>IF(D37&gt;0,D39/D37,"")</f>
        <v>29.179709378183183</v>
      </c>
      <c r="E38" s="75">
        <f t="shared" ref="E38:O38" si="11">IF(E37&gt;0,E39/E37,"")</f>
        <v>29.100838001786929</v>
      </c>
      <c r="F38" s="75">
        <f t="shared" si="11"/>
        <v>28.449380522690813</v>
      </c>
      <c r="G38" s="75">
        <f t="shared" si="11"/>
        <v>24.810132323658724</v>
      </c>
      <c r="H38" s="75">
        <f t="shared" si="11"/>
        <v>24.752771864448636</v>
      </c>
      <c r="I38" s="75">
        <f t="shared" si="11"/>
        <v>25.133813120914073</v>
      </c>
      <c r="J38" s="75">
        <f t="shared" si="11"/>
        <v>25.100860675659593</v>
      </c>
      <c r="K38" s="75">
        <f t="shared" si="11"/>
        <v>25.384151869443162</v>
      </c>
      <c r="L38" s="75">
        <f t="shared" si="11"/>
        <v>25.374669441815531</v>
      </c>
      <c r="M38" s="75">
        <f t="shared" si="11"/>
        <v>25.546896193652159</v>
      </c>
      <c r="N38" s="75">
        <f t="shared" si="11"/>
        <v>26.861547243568637</v>
      </c>
      <c r="O38" s="75">
        <f t="shared" si="11"/>
        <v>28.544050151250506</v>
      </c>
    </row>
    <row r="39" spans="1:17">
      <c r="A39" t="s">
        <v>53</v>
      </c>
      <c r="C39" s="30">
        <f>SUM(D39:O39)</f>
        <v>894614.01033960038</v>
      </c>
      <c r="D39" s="25">
        <f>Aurora!B17*1000</f>
        <v>102791.586875915</v>
      </c>
      <c r="E39" s="25">
        <f>Aurora!C17*1000</f>
        <v>63600.616617128202</v>
      </c>
      <c r="F39" s="25">
        <f>Aurora!D17*1000</f>
        <v>50208.132132887797</v>
      </c>
      <c r="G39" s="25">
        <f>Aurora!E17*1000</f>
        <v>38724.027463793704</v>
      </c>
      <c r="H39" s="25">
        <f>Aurora!F17*1000</f>
        <v>19323.229479044599</v>
      </c>
      <c r="I39" s="25">
        <f>Aurora!G17*1000</f>
        <v>24450.571968406399</v>
      </c>
      <c r="J39" s="25">
        <f>Aurora!H17*1000</f>
        <v>107305.66711425701</v>
      </c>
      <c r="K39" s="25">
        <f>Aurora!I17*1000</f>
        <v>146979.28237914998</v>
      </c>
      <c r="L39" s="25">
        <f>Aurora!J17*1000</f>
        <v>89984.589350223498</v>
      </c>
      <c r="M39" s="25">
        <f>Aurora!K17*1000</f>
        <v>39479.195079207399</v>
      </c>
      <c r="N39" s="25">
        <f>Aurora!L17*1000</f>
        <v>81701.994854211807</v>
      </c>
      <c r="O39" s="25">
        <f>Aurora!M17*1000</f>
        <v>130065.117025375</v>
      </c>
    </row>
    <row r="40" spans="1:17">
      <c r="C40" s="24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</row>
    <row r="41" spans="1:17">
      <c r="A41" t="s">
        <v>56</v>
      </c>
      <c r="C41" s="27">
        <f>SUM(D41:O41)</f>
        <v>10284.804879641511</v>
      </c>
      <c r="D41" s="3">
        <f>Aurora!B9*1000</f>
        <v>853.39766824245396</v>
      </c>
      <c r="E41" s="3">
        <f>Aurora!C9*1000</f>
        <v>529.88627948760904</v>
      </c>
      <c r="F41" s="3">
        <f>Aurora!D9*1000</f>
        <v>249.70782291889103</v>
      </c>
      <c r="G41" s="3">
        <f>Aurora!E9*1000</f>
        <v>121.85146555900502</v>
      </c>
      <c r="H41" s="3">
        <f>Aurora!F9*1000</f>
        <v>96.793496370315495</v>
      </c>
      <c r="I41" s="3">
        <f>Aurora!G9*1000</f>
        <v>313.88736279010698</v>
      </c>
      <c r="J41" s="3">
        <f>Aurora!H9*1000</f>
        <v>1452.98700537681</v>
      </c>
      <c r="K41" s="3">
        <f>Aurora!I9*1000</f>
        <v>2496.3669277191102</v>
      </c>
      <c r="L41" s="3">
        <f>Aurora!J9*1000</f>
        <v>1394.02878437042</v>
      </c>
      <c r="M41" s="3">
        <f>Aurora!K9*1000</f>
        <v>470.33542900085399</v>
      </c>
      <c r="N41" s="3">
        <f>Aurora!L9*1000</f>
        <v>781.89575352668714</v>
      </c>
      <c r="O41" s="3">
        <f>Aurora!M9*1000</f>
        <v>1523.6668842792501</v>
      </c>
      <c r="P41" s="3">
        <f>C41/8760</f>
        <v>1.1740644839773415</v>
      </c>
    </row>
    <row r="42" spans="1:17">
      <c r="A42" t="s">
        <v>102</v>
      </c>
      <c r="C42" s="72">
        <f>C43/C41</f>
        <v>25.676329465998204</v>
      </c>
      <c r="D42" s="75">
        <f t="shared" ref="D42:O42" si="12">IF(D41&gt;0,D43/D41,"")</f>
        <v>28.226868334126834</v>
      </c>
      <c r="E42" s="75">
        <f t="shared" si="12"/>
        <v>28.274819727280846</v>
      </c>
      <c r="F42" s="75">
        <f t="shared" si="12"/>
        <v>27.581273270227097</v>
      </c>
      <c r="G42" s="75">
        <f t="shared" si="12"/>
        <v>24.063623250145529</v>
      </c>
      <c r="H42" s="75">
        <f t="shared" si="12"/>
        <v>24.059315289736954</v>
      </c>
      <c r="I42" s="75">
        <f t="shared" si="12"/>
        <v>24.357811416968975</v>
      </c>
      <c r="J42" s="75">
        <f t="shared" si="12"/>
        <v>24.318529149932509</v>
      </c>
      <c r="K42" s="75">
        <f t="shared" si="12"/>
        <v>24.605746512195385</v>
      </c>
      <c r="L42" s="75">
        <f t="shared" si="12"/>
        <v>24.593017948876334</v>
      </c>
      <c r="M42" s="75">
        <f t="shared" si="12"/>
        <v>24.718946448611661</v>
      </c>
      <c r="N42" s="75">
        <f t="shared" si="12"/>
        <v>26.03576861788261</v>
      </c>
      <c r="O42" s="75">
        <f t="shared" si="12"/>
        <v>27.686305769949122</v>
      </c>
    </row>
    <row r="43" spans="1:17">
      <c r="A43" t="s">
        <v>55</v>
      </c>
      <c r="C43" s="30">
        <f>SUM(D43:O43)</f>
        <v>264076.03858318145</v>
      </c>
      <c r="D43" s="25">
        <f>Aurora!B21*1000</f>
        <v>24088.7436181306</v>
      </c>
      <c r="E43" s="25">
        <f>Aurora!C21*1000</f>
        <v>14982.439028471701</v>
      </c>
      <c r="F43" s="25">
        <f>Aurora!D21*1000</f>
        <v>6887.2597016394102</v>
      </c>
      <c r="G43" s="25">
        <f>Aurora!E21*1000</f>
        <v>2932.1877596899803</v>
      </c>
      <c r="H43" s="25">
        <f>Aurora!F21*1000</f>
        <v>2328.78524716943</v>
      </c>
      <c r="I43" s="25">
        <f>Aurora!G21*1000</f>
        <v>7645.6091890111502</v>
      </c>
      <c r="J43" s="25">
        <f>Aurora!H21*1000</f>
        <v>35334.506844729098</v>
      </c>
      <c r="K43" s="25">
        <f>Aurora!I21*1000</f>
        <v>61424.9718248844</v>
      </c>
      <c r="L43" s="25">
        <f>Aurora!J21*1000</f>
        <v>34283.374915271997</v>
      </c>
      <c r="M43" s="25">
        <f>Aurora!K21*1000</f>
        <v>11626.196282356901</v>
      </c>
      <c r="N43" s="25">
        <f>Aurora!L21*1000</f>
        <v>20357.256922125798</v>
      </c>
      <c r="O43" s="25">
        <f>Aurora!M21*1000</f>
        <v>42184.707249701001</v>
      </c>
    </row>
    <row r="44" spans="1:17">
      <c r="C44" s="24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</row>
    <row r="45" spans="1:17">
      <c r="A45" t="s">
        <v>37</v>
      </c>
      <c r="C45" s="27">
        <f>SUM(D45:O45)</f>
        <v>63339.506647681992</v>
      </c>
      <c r="D45" s="3">
        <f>Aurora!B12*1000</f>
        <v>6054.8809720992904</v>
      </c>
      <c r="E45" s="3">
        <f>Aurora!C12*1000</f>
        <v>3208.64543704986</v>
      </c>
      <c r="F45" s="3">
        <f>Aurora!D12*1000</f>
        <v>623.207545471191</v>
      </c>
      <c r="G45" s="3">
        <f>Aurora!E12*1000</f>
        <v>356.14857139587298</v>
      </c>
      <c r="H45" s="3">
        <f>Aurora!F12*1000</f>
        <v>165.41411037445062</v>
      </c>
      <c r="I45" s="3">
        <f>Aurora!G12*1000</f>
        <v>1478.0205221176138</v>
      </c>
      <c r="J45" s="3">
        <f>Aurora!H12*1000</f>
        <v>9419.55414381027</v>
      </c>
      <c r="K45" s="3">
        <f>Aurora!I12*1000</f>
        <v>21016.874869537198</v>
      </c>
      <c r="L45" s="3">
        <f>Aurora!J12*1000</f>
        <v>7390.3343630790596</v>
      </c>
      <c r="M45" s="3">
        <f>Aurora!K12*1000</f>
        <v>1271.1080947875971</v>
      </c>
      <c r="N45" s="3">
        <f>Aurora!L12*1000</f>
        <v>2952.5146976470901</v>
      </c>
      <c r="O45" s="3">
        <f>Aurora!M12*1000</f>
        <v>9402.8033203124905</v>
      </c>
      <c r="P45" s="3">
        <f>C45/8760</f>
        <v>7.2305372885481729</v>
      </c>
    </row>
    <row r="46" spans="1:17">
      <c r="A46" t="s">
        <v>96</v>
      </c>
      <c r="C46" s="72">
        <f>C47/C45</f>
        <v>34.641435649780703</v>
      </c>
      <c r="D46" s="75">
        <f t="shared" ref="D46:O46" si="13">IF(D45&gt;0,D47/D45,"")</f>
        <v>36.876925590817137</v>
      </c>
      <c r="E46" s="75">
        <f t="shared" si="13"/>
        <v>36.925521599784645</v>
      </c>
      <c r="F46" s="75">
        <f t="shared" si="13"/>
        <v>37.046949788424079</v>
      </c>
      <c r="G46" s="75">
        <f t="shared" si="13"/>
        <v>32.946221964932725</v>
      </c>
      <c r="H46" s="75">
        <f t="shared" si="13"/>
        <v>32.791463448837504</v>
      </c>
      <c r="I46" s="75">
        <f t="shared" si="13"/>
        <v>32.79982289215296</v>
      </c>
      <c r="J46" s="75">
        <f t="shared" si="13"/>
        <v>33.139213308432815</v>
      </c>
      <c r="K46" s="75">
        <f t="shared" si="13"/>
        <v>33.36583896480758</v>
      </c>
      <c r="L46" s="75">
        <f t="shared" si="13"/>
        <v>33.733617515090671</v>
      </c>
      <c r="M46" s="75">
        <f t="shared" si="13"/>
        <v>35.477547949766254</v>
      </c>
      <c r="N46" s="75">
        <f t="shared" si="13"/>
        <v>36.350192353485383</v>
      </c>
      <c r="O46" s="75">
        <f t="shared" si="13"/>
        <v>37.069286135733506</v>
      </c>
    </row>
    <row r="47" spans="1:17">
      <c r="A47" t="s">
        <v>38</v>
      </c>
      <c r="C47" s="30">
        <f>SUM(D47:O47)</f>
        <v>2194171.4436245328</v>
      </c>
      <c r="D47" s="25">
        <f>Aurora!B24*1000</f>
        <v>223285.39506936006</v>
      </c>
      <c r="E47" s="25">
        <f>Aurora!C24*1000</f>
        <v>118480.90639183504</v>
      </c>
      <c r="F47" s="25">
        <f>Aurora!D24*1000</f>
        <v>23087.938644838228</v>
      </c>
      <c r="G47" s="25">
        <f>Aurora!E24*1000</f>
        <v>11733.74988570212</v>
      </c>
      <c r="H47" s="25">
        <f>Aurora!F24*1000</f>
        <v>5424.1707542657705</v>
      </c>
      <c r="I47" s="25">
        <f>Aurora!G24*1000</f>
        <v>48478.811356425176</v>
      </c>
      <c r="J47" s="25">
        <f>Aurora!H24*1000</f>
        <v>312156.6140420608</v>
      </c>
      <c r="K47" s="25">
        <f>Aurora!I24*1000</f>
        <v>701245.6624404894</v>
      </c>
      <c r="L47" s="25">
        <f>Aurora!J24*1000</f>
        <v>249302.71271274021</v>
      </c>
      <c r="M47" s="25">
        <f>Aurora!K24*1000</f>
        <v>45095.798382163004</v>
      </c>
      <c r="N47" s="25">
        <f>Aurora!L24*1000</f>
        <v>107324.47718596447</v>
      </c>
      <c r="O47" s="25">
        <f>Aurora!M24*1000</f>
        <v>348555.20675868879</v>
      </c>
    </row>
    <row r="48" spans="1:17">
      <c r="C48" s="38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</row>
    <row r="49" spans="1:16">
      <c r="A49" t="s">
        <v>42</v>
      </c>
      <c r="C49" s="27">
        <f>SUM(D49:O49)</f>
        <v>3849.096595597262</v>
      </c>
      <c r="D49" s="3">
        <f>Aurora!B11*1000</f>
        <v>425.68185787200804</v>
      </c>
      <c r="E49" s="3">
        <f>Aurora!C11*1000</f>
        <v>160.49421920776351</v>
      </c>
      <c r="F49" s="3">
        <f>Aurora!D11*1000</f>
        <v>1.528437185287475</v>
      </c>
      <c r="G49" s="3">
        <f>Aurora!E11*1000</f>
        <v>0</v>
      </c>
      <c r="H49" s="3">
        <f>Aurora!F11*1000</f>
        <v>0</v>
      </c>
      <c r="I49" s="3">
        <f>Aurora!G11*1000</f>
        <v>133.78474454879751</v>
      </c>
      <c r="J49" s="3">
        <f>Aurora!H11*1000</f>
        <v>451.87960052490098</v>
      </c>
      <c r="K49" s="3">
        <f>Aurora!I11*1000</f>
        <v>1935.685438108444</v>
      </c>
      <c r="L49" s="3">
        <f>Aurora!J11*1000</f>
        <v>277.897857046127</v>
      </c>
      <c r="M49" s="3">
        <f>Aurora!K11*1000</f>
        <v>22.466506648063501</v>
      </c>
      <c r="N49" s="3">
        <f>Aurora!L11*1000</f>
        <v>41.072986125945903</v>
      </c>
      <c r="O49" s="3">
        <f>Aurora!M11*1000</f>
        <v>398.60494832992401</v>
      </c>
      <c r="P49" s="3">
        <f>C49/8760</f>
        <v>0.43939458853850022</v>
      </c>
    </row>
    <row r="50" spans="1:16">
      <c r="A50" t="s">
        <v>97</v>
      </c>
      <c r="C50" s="72">
        <f>C51/C49</f>
        <v>37.721031993447944</v>
      </c>
      <c r="D50" s="75">
        <f t="shared" ref="D50:O50" si="14">IF(D49&gt;0,D51/D49,"")</f>
        <v>41.810095565424952</v>
      </c>
      <c r="E50" s="75">
        <f t="shared" si="14"/>
        <v>41.486511495703574</v>
      </c>
      <c r="F50" s="75">
        <f t="shared" si="14"/>
        <v>38.973231941659265</v>
      </c>
      <c r="G50" s="75" t="str">
        <f t="shared" si="14"/>
        <v/>
      </c>
      <c r="H50" s="75" t="str">
        <f t="shared" si="14"/>
        <v/>
      </c>
      <c r="I50" s="75">
        <f t="shared" si="14"/>
        <v>36.092016566444755</v>
      </c>
      <c r="J50" s="75">
        <f t="shared" si="14"/>
        <v>36.023603838233647</v>
      </c>
      <c r="K50" s="75">
        <f t="shared" si="14"/>
        <v>36.462477248466733</v>
      </c>
      <c r="L50" s="75">
        <f t="shared" si="14"/>
        <v>36.389073740044104</v>
      </c>
      <c r="M50" s="75">
        <f t="shared" si="14"/>
        <v>36.713574714963968</v>
      </c>
      <c r="N50" s="75">
        <f t="shared" si="14"/>
        <v>38.703294514234798</v>
      </c>
      <c r="O50" s="75">
        <f t="shared" si="14"/>
        <v>41.300221924531918</v>
      </c>
    </row>
    <row r="51" spans="1:16">
      <c r="A51" t="s">
        <v>43</v>
      </c>
      <c r="C51" s="30">
        <f>SUM(D51:O51)</f>
        <v>145191.89582839588</v>
      </c>
      <c r="D51" s="25">
        <f>Aurora!B23*1000</f>
        <v>17797.799158096299</v>
      </c>
      <c r="E51" s="25">
        <f>Aurora!C23*1000</f>
        <v>6658.3452701568503</v>
      </c>
      <c r="F51" s="25">
        <f>Aurora!D23*1000</f>
        <v>59.568136930465599</v>
      </c>
      <c r="G51" s="25">
        <f>Aurora!E23*1000</f>
        <v>0</v>
      </c>
      <c r="H51" s="25">
        <f>Aurora!F23*1000</f>
        <v>0</v>
      </c>
      <c r="I51" s="25">
        <f>Aurora!G23*1000</f>
        <v>4828.5612165927796</v>
      </c>
      <c r="J51" s="25">
        <f>Aurora!H23*1000</f>
        <v>16278.33171188831</v>
      </c>
      <c r="K51" s="25">
        <f>Aurora!I23*1000</f>
        <v>70579.886247217495</v>
      </c>
      <c r="L51" s="25">
        <f>Aurora!J23*1000</f>
        <v>10112.445612251751</v>
      </c>
      <c r="M51" s="25">
        <f>Aurora!K23*1000</f>
        <v>824.82577040791409</v>
      </c>
      <c r="N51" s="25">
        <f>Aurora!L23*1000</f>
        <v>1589.6598786115642</v>
      </c>
      <c r="O51" s="25">
        <f>Aurora!M23*1000</f>
        <v>16462.47282624244</v>
      </c>
    </row>
    <row r="52" spans="1:16">
      <c r="C52" s="24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1:16">
      <c r="A53" t="s">
        <v>39</v>
      </c>
      <c r="C53" s="51">
        <f>SUM(D53:O53)</f>
        <v>102740104.38297059</v>
      </c>
      <c r="D53" s="32">
        <f t="shared" ref="D53:J53" si="15">D23+D27+D31+D35+D39+D43+D47+D51</f>
        <v>11317553.430063553</v>
      </c>
      <c r="E53" s="32">
        <f t="shared" si="15"/>
        <v>9263639.6381932851</v>
      </c>
      <c r="F53" s="32">
        <f t="shared" si="15"/>
        <v>9703429.1103618275</v>
      </c>
      <c r="G53" s="32">
        <f t="shared" si="15"/>
        <v>7446427.8614151999</v>
      </c>
      <c r="H53" s="32">
        <f t="shared" si="15"/>
        <v>4884478.338395576</v>
      </c>
      <c r="I53" s="32">
        <f t="shared" si="15"/>
        <v>3537080.9377630539</v>
      </c>
      <c r="J53" s="32">
        <f t="shared" si="15"/>
        <v>7424911.4748384459</v>
      </c>
      <c r="K53" s="32">
        <f>K23+K27+K31+K35+K39+K43+K47+K51</f>
        <v>9708234.8688248545</v>
      </c>
      <c r="L53" s="32">
        <f>L23+L27+L31+L35+L39+L43+L47+L51</f>
        <v>9290562.3619023394</v>
      </c>
      <c r="M53" s="32">
        <f>M23+M27+M31+M35+M39+M43+M47+M51</f>
        <v>9147223.6050112098</v>
      </c>
      <c r="N53" s="32">
        <f>N23+N27+N31+N35+N39+N43+N47+N51</f>
        <v>9550374.7651408203</v>
      </c>
      <c r="O53" s="32">
        <f>O23+O27+O31+O35+O39+O43+O47+O51</f>
        <v>11466187.991060436</v>
      </c>
    </row>
    <row r="54" spans="1:16">
      <c r="C54" s="25"/>
      <c r="D54" s="25"/>
      <c r="E54" s="25"/>
      <c r="F54" s="25"/>
      <c r="G54" s="25"/>
      <c r="H54" s="25"/>
      <c r="I54" s="25"/>
    </row>
    <row r="55" spans="1:16" s="12" customFormat="1">
      <c r="A55" s="34" t="s">
        <v>88</v>
      </c>
      <c r="B55" s="35"/>
      <c r="C55" s="70">
        <f>C53+C13+C9</f>
        <v>68293799.766220853</v>
      </c>
    </row>
    <row r="56" spans="1:16" s="12" customFormat="1">
      <c r="A56" s="9"/>
      <c r="C56" s="36"/>
      <c r="D56" s="36"/>
      <c r="E56" s="36"/>
      <c r="F56" s="36"/>
      <c r="G56" s="36"/>
      <c r="H56" s="36"/>
      <c r="I56" s="36"/>
    </row>
  </sheetData>
  <phoneticPr fontId="6" type="noConversion"/>
  <pageMargins left="0.56999999999999995" right="0.47" top="1" bottom="1" header="0.5" footer="0.5"/>
  <pageSetup scale="56" orientation="landscape" useFirstPageNumber="1" r:id="rId1"/>
  <headerFooter alignWithMargins="0">
    <oddHeader>&amp;RExhibit No.__(WGJ-4)</oddHeader>
    <oddFooter>&amp;RPage 2 of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44"/>
  <sheetViews>
    <sheetView topLeftCell="A18" zoomScaleNormal="100" workbookViewId="0">
      <selection activeCell="A40" sqref="A40"/>
    </sheetView>
  </sheetViews>
  <sheetFormatPr defaultColWidth="9.140625" defaultRowHeight="12.75"/>
  <cols>
    <col min="1" max="1" width="32.5703125" style="112" customWidth="1"/>
    <col min="2" max="2" width="13.140625" style="112" customWidth="1"/>
    <col min="3" max="14" width="11.7109375" style="112" customWidth="1"/>
    <col min="15" max="16384" width="9.140625" style="112"/>
  </cols>
  <sheetData>
    <row r="1" spans="1:19" ht="15.75">
      <c r="A1" s="131" t="s">
        <v>155</v>
      </c>
      <c r="S1" s="150">
        <v>0.64710000000000001</v>
      </c>
    </row>
    <row r="2" spans="1:19" ht="15.75">
      <c r="A2" s="131" t="s">
        <v>242</v>
      </c>
    </row>
    <row r="3" spans="1:19" ht="15.75">
      <c r="A3" s="131" t="s">
        <v>173</v>
      </c>
    </row>
    <row r="4" spans="1:19" s="132" customFormat="1" ht="15.75">
      <c r="A4" s="131" t="s">
        <v>241</v>
      </c>
    </row>
    <row r="5" spans="1:19" ht="15.75">
      <c r="A5" s="131"/>
    </row>
    <row r="6" spans="1:19">
      <c r="A6" s="113" t="s">
        <v>185</v>
      </c>
    </row>
    <row r="7" spans="1:19">
      <c r="A7" s="113"/>
    </row>
    <row r="8" spans="1:19">
      <c r="B8" s="133" t="s">
        <v>32</v>
      </c>
      <c r="C8" s="134" t="s">
        <v>191</v>
      </c>
      <c r="D8" s="134" t="s">
        <v>192</v>
      </c>
      <c r="E8" s="134" t="s">
        <v>193</v>
      </c>
      <c r="F8" s="134" t="s">
        <v>194</v>
      </c>
      <c r="G8" s="134" t="s">
        <v>79</v>
      </c>
      <c r="H8" s="134" t="s">
        <v>195</v>
      </c>
      <c r="I8" s="134" t="s">
        <v>196</v>
      </c>
      <c r="J8" s="134" t="s">
        <v>197</v>
      </c>
      <c r="K8" s="134" t="s">
        <v>198</v>
      </c>
      <c r="L8" s="134" t="s">
        <v>199</v>
      </c>
      <c r="M8" s="134" t="s">
        <v>200</v>
      </c>
      <c r="N8" s="134" t="s">
        <v>201</v>
      </c>
    </row>
    <row r="10" spans="1:19">
      <c r="A10" s="112" t="s">
        <v>144</v>
      </c>
      <c r="B10" s="135">
        <f>SUM(C10:N10)</f>
        <v>111447291.05392721</v>
      </c>
      <c r="C10" s="135">
        <f>'WGJ-2'!K28</f>
        <v>12265164.09261186</v>
      </c>
      <c r="D10" s="135">
        <f>'WGJ-2'!L28</f>
        <v>11221071.819138678</v>
      </c>
      <c r="E10" s="135">
        <f>'WGJ-2'!M28</f>
        <v>10108891.963249531</v>
      </c>
      <c r="F10" s="135">
        <f>'WGJ-2'!N28</f>
        <v>9346883.6909688301</v>
      </c>
      <c r="G10" s="135">
        <f>'WGJ-2'!O28</f>
        <v>7303739.570818048</v>
      </c>
      <c r="H10" s="135">
        <f>'WGJ-2'!P28</f>
        <v>7088730.2656170623</v>
      </c>
      <c r="I10" s="135">
        <f>'WGJ-2'!Q28</f>
        <v>7232147.4187853467</v>
      </c>
      <c r="J10" s="135">
        <f>'WGJ-2'!R28</f>
        <v>8097018.9090962764</v>
      </c>
      <c r="K10" s="135">
        <f>'WGJ-2'!S28</f>
        <v>7065608.7858648337</v>
      </c>
      <c r="L10" s="135">
        <f>'WGJ-2'!T28</f>
        <v>7653799.8267874662</v>
      </c>
      <c r="M10" s="135">
        <f>'WGJ-2'!U28</f>
        <v>11766874.668108283</v>
      </c>
      <c r="N10" s="135">
        <f>'WGJ-2'!V28</f>
        <v>12297360.042880978</v>
      </c>
    </row>
    <row r="11" spans="1:19"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</row>
    <row r="12" spans="1:19">
      <c r="A12" s="112" t="s">
        <v>143</v>
      </c>
      <c r="B12" s="135">
        <f>SUM(C12:N12)</f>
        <v>29254923.256243277</v>
      </c>
      <c r="C12" s="135">
        <f>'WGJ-2'!K44</f>
        <v>2657873.6537600057</v>
      </c>
      <c r="D12" s="135">
        <f>'WGJ-2'!L44</f>
        <v>2435841.684117368</v>
      </c>
      <c r="E12" s="135">
        <f>'WGJ-2'!M44</f>
        <v>2553192.849698117</v>
      </c>
      <c r="F12" s="135">
        <f>'WGJ-2'!N44</f>
        <v>2335161.0183382528</v>
      </c>
      <c r="G12" s="135">
        <f>'WGJ-2'!O44</f>
        <v>2020486.4736223719</v>
      </c>
      <c r="H12" s="135">
        <f>'WGJ-2'!P44</f>
        <v>1604372.9856277017</v>
      </c>
      <c r="I12" s="135">
        <f>'WGJ-2'!Q44</f>
        <v>2426375.405682839</v>
      </c>
      <c r="J12" s="135">
        <f>'WGJ-2'!R44</f>
        <v>2634480.3365605245</v>
      </c>
      <c r="K12" s="135">
        <f>'WGJ-2'!S44</f>
        <v>2625613.679303444</v>
      </c>
      <c r="L12" s="135">
        <f>'WGJ-2'!T44</f>
        <v>2655970.96918992</v>
      </c>
      <c r="M12" s="135">
        <f>'WGJ-2'!U44</f>
        <v>2604170.9669010998</v>
      </c>
      <c r="N12" s="135">
        <f>'WGJ-2'!V44</f>
        <v>2701383.2334416281</v>
      </c>
    </row>
    <row r="13" spans="1:19"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</row>
    <row r="14" spans="1:19">
      <c r="A14" s="112" t="s">
        <v>184</v>
      </c>
      <c r="B14" s="135">
        <f>SUM(C14:N14)</f>
        <v>78650207.126727328</v>
      </c>
      <c r="C14" s="135">
        <f>'WGJ-2'!K58</f>
        <v>9011929.7763035465</v>
      </c>
      <c r="D14" s="135">
        <f>'WGJ-2'!L58</f>
        <v>7180047.9540759176</v>
      </c>
      <c r="E14" s="135">
        <f>'WGJ-2'!M58</f>
        <v>7502486.2606637115</v>
      </c>
      <c r="F14" s="135">
        <f>'WGJ-2'!N58</f>
        <v>5463516.8430769481</v>
      </c>
      <c r="G14" s="135">
        <f>'WGJ-2'!O58</f>
        <v>3216241.8647732032</v>
      </c>
      <c r="H14" s="135">
        <f>'WGJ-2'!P58</f>
        <v>2284957.9521353515</v>
      </c>
      <c r="I14" s="135">
        <f>'WGJ-2'!Q58</f>
        <v>5507123.7358222753</v>
      </c>
      <c r="J14" s="135">
        <f>'WGJ-2'!R58</f>
        <v>7582342.1989309955</v>
      </c>
      <c r="K14" s="135">
        <f>'WGJ-2'!S58</f>
        <v>7173536.3492655633</v>
      </c>
      <c r="L14" s="135">
        <f>'WGJ-2'!T58</f>
        <v>6999840.3024879573</v>
      </c>
      <c r="M14" s="135">
        <f>'WGJ-2'!U58</f>
        <v>7454791.464906388</v>
      </c>
      <c r="N14" s="135">
        <f>'WGJ-2'!V58</f>
        <v>9273392.4242854733</v>
      </c>
    </row>
    <row r="15" spans="1:19"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</row>
    <row r="16" spans="1:19">
      <c r="A16" s="136" t="s">
        <v>142</v>
      </c>
      <c r="B16" s="137">
        <f>SUM(C16:N16)</f>
        <v>57361715.92742949</v>
      </c>
      <c r="C16" s="137">
        <f>'WGJ-2'!K90</f>
        <v>5200874.8067993028</v>
      </c>
      <c r="D16" s="137">
        <f>'WGJ-2'!L90</f>
        <v>3907696.1546393037</v>
      </c>
      <c r="E16" s="137">
        <f>'WGJ-2'!M90</f>
        <v>4600384.7587526515</v>
      </c>
      <c r="F16" s="137">
        <f>'WGJ-2'!N90</f>
        <v>6949010.9255441381</v>
      </c>
      <c r="G16" s="137">
        <f>'WGJ-2'!O90</f>
        <v>5704391.3431212679</v>
      </c>
      <c r="H16" s="137">
        <f>'WGJ-2'!P90</f>
        <v>3357616.1497543477</v>
      </c>
      <c r="I16" s="137">
        <f>'WGJ-2'!Q90</f>
        <v>5000474.2399754692</v>
      </c>
      <c r="J16" s="137">
        <f>'WGJ-2'!R90</f>
        <v>3890691.4055310455</v>
      </c>
      <c r="K16" s="137">
        <f>'WGJ-2'!S90</f>
        <v>4324727.1370259058</v>
      </c>
      <c r="L16" s="137">
        <f>'WGJ-2'!T90</f>
        <v>3385284.5372420321</v>
      </c>
      <c r="M16" s="137">
        <f>'WGJ-2'!U90</f>
        <v>4574743.572626628</v>
      </c>
      <c r="N16" s="137">
        <f>'WGJ-2'!V90</f>
        <v>6465820.8964173887</v>
      </c>
    </row>
    <row r="17" spans="1:14" ht="12.75" customHeight="1"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</row>
    <row r="18" spans="1:14">
      <c r="A18" s="130" t="s">
        <v>139</v>
      </c>
      <c r="B18" s="135">
        <f>SUM(C18:N18)</f>
        <v>161990705.50946832</v>
      </c>
      <c r="C18" s="135">
        <f>SUM(C10:C14)-C16</f>
        <v>18734092.715876106</v>
      </c>
      <c r="D18" s="135">
        <f t="shared" ref="D18:N18" si="0">SUM(D10:D14)-D16</f>
        <v>16929265.302692659</v>
      </c>
      <c r="E18" s="135">
        <f t="shared" si="0"/>
        <v>15564186.314858709</v>
      </c>
      <c r="F18" s="135">
        <f t="shared" si="0"/>
        <v>10196550.626839891</v>
      </c>
      <c r="G18" s="135">
        <f t="shared" si="0"/>
        <v>6836076.5660923552</v>
      </c>
      <c r="H18" s="135">
        <f t="shared" si="0"/>
        <v>7620445.0536257681</v>
      </c>
      <c r="I18" s="135">
        <f t="shared" si="0"/>
        <v>10165172.320314992</v>
      </c>
      <c r="J18" s="135">
        <f t="shared" si="0"/>
        <v>14423150.039056752</v>
      </c>
      <c r="K18" s="135">
        <f t="shared" si="0"/>
        <v>12540031.677407937</v>
      </c>
      <c r="L18" s="135">
        <f t="shared" si="0"/>
        <v>13924326.561223309</v>
      </c>
      <c r="M18" s="135">
        <f t="shared" si="0"/>
        <v>17251093.527289141</v>
      </c>
      <c r="N18" s="135">
        <f t="shared" si="0"/>
        <v>17806314.804190695</v>
      </c>
    </row>
    <row r="19" spans="1:14" ht="12.75" customHeight="1"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</row>
    <row r="20" spans="1:14" ht="12.75" customHeight="1">
      <c r="A20" s="130" t="s">
        <v>174</v>
      </c>
      <c r="B20" s="135">
        <f>SUM(C20:N20)</f>
        <v>18168735.751119997</v>
      </c>
      <c r="C20" s="135">
        <f>'WGJ-2'!K72</f>
        <v>1569091.4333199998</v>
      </c>
      <c r="D20" s="135">
        <f>'WGJ-2'!L72</f>
        <v>1549290.8546535999</v>
      </c>
      <c r="E20" s="135">
        <f>'WGJ-2'!M72</f>
        <v>1536435.7073583999</v>
      </c>
      <c r="F20" s="135">
        <f>'WGJ-2'!N72</f>
        <v>1542935.6869059999</v>
      </c>
      <c r="G20" s="135">
        <f>'WGJ-2'!O72</f>
        <v>1526524.970122</v>
      </c>
      <c r="H20" s="135">
        <f>'WGJ-2'!P72</f>
        <v>1496904.735478</v>
      </c>
      <c r="I20" s="135">
        <f>'WGJ-2'!Q72</f>
        <v>1480643.1336399999</v>
      </c>
      <c r="J20" s="135">
        <f>'WGJ-2'!R72</f>
        <v>1475243.3136</v>
      </c>
      <c r="K20" s="135">
        <f>'WGJ-2'!S72</f>
        <v>1456445.2095600001</v>
      </c>
      <c r="L20" s="135">
        <f>'WGJ-2'!T72</f>
        <v>1488979.860962</v>
      </c>
      <c r="M20" s="135">
        <f>'WGJ-2'!U72</f>
        <v>1496003.0938136</v>
      </c>
      <c r="N20" s="135">
        <f>'WGJ-2'!V72</f>
        <v>1550237.7517064</v>
      </c>
    </row>
    <row r="21" spans="1:14" ht="12.75" customHeight="1">
      <c r="A21" s="130"/>
    </row>
    <row r="22" spans="1:14" ht="12.75" customHeight="1">
      <c r="A22" s="130" t="s">
        <v>218</v>
      </c>
      <c r="B22" s="116">
        <f>SUM(C22:N22)</f>
        <v>16015348.880000001</v>
      </c>
      <c r="C22" s="116">
        <v>1304329.49</v>
      </c>
      <c r="D22" s="116">
        <v>1105921.49</v>
      </c>
      <c r="E22" s="116">
        <v>1123977.49</v>
      </c>
      <c r="F22" s="116">
        <v>1154782.49</v>
      </c>
      <c r="G22" s="116">
        <v>1377232.49</v>
      </c>
      <c r="H22" s="116">
        <v>1552357.49</v>
      </c>
      <c r="I22" s="116">
        <v>1659835.49</v>
      </c>
      <c r="J22" s="116">
        <v>1502892.49</v>
      </c>
      <c r="K22" s="116">
        <v>1306364.49</v>
      </c>
      <c r="L22" s="116">
        <v>1460291.49</v>
      </c>
      <c r="M22" s="116">
        <v>1241936.49</v>
      </c>
      <c r="N22" s="116">
        <v>1225427.49</v>
      </c>
    </row>
    <row r="23" spans="1:14" ht="12.75" customHeight="1">
      <c r="A23" s="130"/>
      <c r="B23" s="116"/>
    </row>
    <row r="24" spans="1:14" ht="12.75" customHeight="1">
      <c r="A24" s="130" t="s">
        <v>181</v>
      </c>
      <c r="B24" s="116">
        <f>SUM(C24:N24)</f>
        <v>407000.00000000006</v>
      </c>
      <c r="C24" s="135">
        <f>'WGJ-2'!K31</f>
        <v>33916.666666666664</v>
      </c>
      <c r="D24" s="135">
        <f>'WGJ-2'!L31</f>
        <v>33916.666666666664</v>
      </c>
      <c r="E24" s="135">
        <f>'WGJ-2'!M31</f>
        <v>33916.666666666664</v>
      </c>
      <c r="F24" s="135">
        <f>'WGJ-2'!N31</f>
        <v>33916.666666666664</v>
      </c>
      <c r="G24" s="135">
        <f>'WGJ-2'!O31</f>
        <v>33916.666666666664</v>
      </c>
      <c r="H24" s="135">
        <f>'WGJ-2'!P31</f>
        <v>33916.666666666664</v>
      </c>
      <c r="I24" s="135">
        <f>'WGJ-2'!Q31</f>
        <v>33916.666666666664</v>
      </c>
      <c r="J24" s="135">
        <f>'WGJ-2'!R31</f>
        <v>33916.666666666664</v>
      </c>
      <c r="K24" s="135">
        <f>'WGJ-2'!S31</f>
        <v>33916.666666666664</v>
      </c>
      <c r="L24" s="135">
        <f>'WGJ-2'!T31</f>
        <v>33916.666666666664</v>
      </c>
      <c r="M24" s="135">
        <f>'WGJ-2'!U31</f>
        <v>33916.666666666664</v>
      </c>
      <c r="N24" s="135">
        <f>'WGJ-2'!V31</f>
        <v>33916.666666666664</v>
      </c>
    </row>
    <row r="25" spans="1:14" ht="12.75" customHeight="1">
      <c r="A25" s="130"/>
      <c r="B25" s="116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</row>
    <row r="26" spans="1:14" ht="12.75" customHeight="1">
      <c r="A26" s="130" t="s">
        <v>238</v>
      </c>
      <c r="B26" s="116">
        <f>SUM(C26:N26)</f>
        <v>164551092.38058832</v>
      </c>
      <c r="C26" s="135">
        <f>C18+C20-C22+C24</f>
        <v>19032771.325862776</v>
      </c>
      <c r="D26" s="135">
        <f t="shared" ref="D26:N26" si="1">D18+D20-D22+D24</f>
        <v>17406551.334012929</v>
      </c>
      <c r="E26" s="135">
        <f t="shared" si="1"/>
        <v>16010561.198883776</v>
      </c>
      <c r="F26" s="135">
        <f t="shared" si="1"/>
        <v>10618620.490412557</v>
      </c>
      <c r="G26" s="135">
        <f t="shared" si="1"/>
        <v>7019285.7128810221</v>
      </c>
      <c r="H26" s="135">
        <f t="shared" si="1"/>
        <v>7598908.9657704355</v>
      </c>
      <c r="I26" s="135">
        <f t="shared" si="1"/>
        <v>10019896.630621659</v>
      </c>
      <c r="J26" s="135">
        <f t="shared" si="1"/>
        <v>14429417.529323418</v>
      </c>
      <c r="K26" s="135">
        <f t="shared" si="1"/>
        <v>12724029.063634602</v>
      </c>
      <c r="L26" s="135">
        <f t="shared" si="1"/>
        <v>13986931.598851975</v>
      </c>
      <c r="M26" s="135">
        <f t="shared" si="1"/>
        <v>17539076.797769412</v>
      </c>
      <c r="N26" s="135">
        <f t="shared" si="1"/>
        <v>18165041.732563764</v>
      </c>
    </row>
    <row r="27" spans="1:14" ht="12.75" customHeight="1">
      <c r="A27" s="130"/>
      <c r="B27" s="135"/>
    </row>
    <row r="28" spans="1:14">
      <c r="A28" s="130" t="s">
        <v>239</v>
      </c>
      <c r="B28" s="116">
        <f>SUM(C28:N28)</f>
        <v>106481011.87947871</v>
      </c>
      <c r="C28" s="135">
        <f>C26*$S$1</f>
        <v>12316106.324965803</v>
      </c>
      <c r="D28" s="135">
        <f t="shared" ref="D28:N28" si="2">D26*$S$1</f>
        <v>11263779.368239766</v>
      </c>
      <c r="E28" s="135">
        <f t="shared" si="2"/>
        <v>10360434.151797691</v>
      </c>
      <c r="F28" s="135">
        <f t="shared" si="2"/>
        <v>6871309.319345966</v>
      </c>
      <c r="G28" s="135">
        <f t="shared" si="2"/>
        <v>4542179.784805309</v>
      </c>
      <c r="H28" s="135">
        <f t="shared" si="2"/>
        <v>4917253.9917500485</v>
      </c>
      <c r="I28" s="135">
        <f t="shared" si="2"/>
        <v>6483875.1096752752</v>
      </c>
      <c r="J28" s="135">
        <f t="shared" si="2"/>
        <v>9337276.0832251832</v>
      </c>
      <c r="K28" s="135">
        <f t="shared" si="2"/>
        <v>8233719.2070779512</v>
      </c>
      <c r="L28" s="135">
        <f t="shared" si="2"/>
        <v>9050943.4376171138</v>
      </c>
      <c r="M28" s="135">
        <f t="shared" si="2"/>
        <v>11349536.595836587</v>
      </c>
      <c r="N28" s="135">
        <f t="shared" si="2"/>
        <v>11754598.505142013</v>
      </c>
    </row>
    <row r="29" spans="1:14">
      <c r="A29" s="130"/>
      <c r="B29" s="116"/>
      <c r="C29" s="135"/>
    </row>
    <row r="30" spans="1:14">
      <c r="A30" s="130"/>
      <c r="B30" s="116"/>
      <c r="C30" s="135"/>
    </row>
    <row r="31" spans="1:14">
      <c r="A31" s="130"/>
      <c r="B31" s="116"/>
      <c r="C31" s="135"/>
    </row>
    <row r="32" spans="1:14">
      <c r="A32" s="113" t="s">
        <v>214</v>
      </c>
    </row>
    <row r="34" spans="1:14">
      <c r="B34" s="133" t="s">
        <v>32</v>
      </c>
      <c r="C34" s="134" t="str">
        <f>C8</f>
        <v>January</v>
      </c>
      <c r="D34" s="134" t="str">
        <f t="shared" ref="D34:N34" si="3">D8</f>
        <v>February</v>
      </c>
      <c r="E34" s="134" t="str">
        <f t="shared" si="3"/>
        <v>March</v>
      </c>
      <c r="F34" s="134" t="str">
        <f t="shared" si="3"/>
        <v>April</v>
      </c>
      <c r="G34" s="134" t="str">
        <f t="shared" si="3"/>
        <v>May</v>
      </c>
      <c r="H34" s="134" t="str">
        <f t="shared" si="3"/>
        <v>June</v>
      </c>
      <c r="I34" s="134" t="str">
        <f t="shared" si="3"/>
        <v>July</v>
      </c>
      <c r="J34" s="134" t="str">
        <f t="shared" si="3"/>
        <v>August</v>
      </c>
      <c r="K34" s="134" t="str">
        <f t="shared" si="3"/>
        <v>September</v>
      </c>
      <c r="L34" s="134" t="str">
        <f t="shared" si="3"/>
        <v>October</v>
      </c>
      <c r="M34" s="134" t="str">
        <f t="shared" si="3"/>
        <v>November</v>
      </c>
      <c r="N34" s="134" t="str">
        <f t="shared" si="3"/>
        <v>December</v>
      </c>
    </row>
    <row r="36" spans="1:14">
      <c r="A36" s="130" t="s">
        <v>219</v>
      </c>
      <c r="B36" s="129">
        <f>SUM(C36:N36)</f>
        <v>5687562.6260000002</v>
      </c>
      <c r="C36" s="129">
        <v>539781.76899999997</v>
      </c>
      <c r="D36" s="129">
        <v>480360.23100000003</v>
      </c>
      <c r="E36" s="129">
        <v>488540.853</v>
      </c>
      <c r="F36" s="129">
        <v>438785.73200000002</v>
      </c>
      <c r="G36" s="129">
        <v>426014.61</v>
      </c>
      <c r="H36" s="129">
        <v>431765.58799999999</v>
      </c>
      <c r="I36" s="129">
        <v>489661.777</v>
      </c>
      <c r="J36" s="129">
        <v>477851.777</v>
      </c>
      <c r="K36" s="129">
        <v>422173.81900000002</v>
      </c>
      <c r="L36" s="129">
        <v>452820.05200000003</v>
      </c>
      <c r="M36" s="129">
        <v>489500.18599999999</v>
      </c>
      <c r="N36" s="129">
        <v>550306.23199999996</v>
      </c>
    </row>
    <row r="38" spans="1:14">
      <c r="A38" s="130" t="s">
        <v>244</v>
      </c>
      <c r="B38" s="152">
        <f>B28/B36</f>
        <v>18.721730006578518</v>
      </c>
      <c r="C38" s="138" t="s">
        <v>182</v>
      </c>
    </row>
    <row r="43" spans="1:14">
      <c r="A43" s="151" t="str">
        <f>"(1)  Multiply system numbers by "&amp;TEXT(S1,"00.00%")&amp;" to determine Washington share."</f>
        <v>(1)  Multiply system numbers by 64.71% to determine Washington share.</v>
      </c>
    </row>
    <row r="44" spans="1:14">
      <c r="A44" s="112" t="s">
        <v>240</v>
      </c>
    </row>
  </sheetData>
  <phoneticPr fontId="6" type="noConversion"/>
  <pageMargins left="0.75" right="0.75" top="1" bottom="1" header="0.5" footer="0.5"/>
  <pageSetup scale="65" orientation="landscape" useFirstPageNumber="1" r:id="rId1"/>
  <headerFooter alignWithMargins="0">
    <oddHeader>&amp;RExhibit No.__(WGJ-5)</oddHeader>
    <oddFooter>&amp;RPage 2 of 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3:O58"/>
  <sheetViews>
    <sheetView topLeftCell="A25" workbookViewId="0">
      <selection activeCell="D35" sqref="D35"/>
    </sheetView>
  </sheetViews>
  <sheetFormatPr defaultRowHeight="12.75"/>
  <cols>
    <col min="1" max="1" width="6.85546875" customWidth="1"/>
    <col min="2" max="2" width="36.85546875" customWidth="1"/>
    <col min="3" max="3" width="13.7109375" customWidth="1"/>
    <col min="4" max="10" width="10.7109375" customWidth="1"/>
    <col min="11" max="11" width="11.85546875" customWidth="1"/>
    <col min="12" max="15" width="10.7109375" customWidth="1"/>
  </cols>
  <sheetData>
    <row r="3" spans="1:15">
      <c r="D3" s="2" t="s">
        <v>210</v>
      </c>
    </row>
    <row r="6" spans="1:15">
      <c r="C6" s="37">
        <f>SUM(D6:O6)</f>
        <v>8760</v>
      </c>
      <c r="D6" s="45">
        <f>'WGJ-4'!D6</f>
        <v>744</v>
      </c>
      <c r="E6" s="45">
        <v>672</v>
      </c>
      <c r="F6" s="45">
        <v>743</v>
      </c>
      <c r="G6" s="45">
        <v>720</v>
      </c>
      <c r="H6" s="45">
        <f>'WGJ-4'!H6</f>
        <v>744</v>
      </c>
      <c r="I6" s="45">
        <f>'WGJ-4'!I6</f>
        <v>720</v>
      </c>
      <c r="J6" s="45">
        <f>'WGJ-4'!J6</f>
        <v>744</v>
      </c>
      <c r="K6" s="45">
        <f>'WGJ-4'!K6</f>
        <v>744</v>
      </c>
      <c r="L6" s="45">
        <f>'WGJ-4'!L6</f>
        <v>720</v>
      </c>
      <c r="M6" s="45">
        <v>744</v>
      </c>
      <c r="N6" s="45">
        <v>721</v>
      </c>
      <c r="O6" s="45">
        <f>'WGJ-4'!O6</f>
        <v>744</v>
      </c>
    </row>
    <row r="7" spans="1:15">
      <c r="C7" s="83" t="s">
        <v>32</v>
      </c>
      <c r="D7" s="46">
        <v>41274</v>
      </c>
      <c r="E7" s="46">
        <v>41305</v>
      </c>
      <c r="F7" s="46">
        <v>41333</v>
      </c>
      <c r="G7" s="46">
        <v>41364</v>
      </c>
      <c r="H7" s="46">
        <v>41394</v>
      </c>
      <c r="I7" s="46">
        <v>41425</v>
      </c>
      <c r="J7" s="46">
        <v>41455</v>
      </c>
      <c r="K7" s="46">
        <v>41486</v>
      </c>
      <c r="L7" s="46">
        <v>41517</v>
      </c>
      <c r="M7" s="46">
        <v>41547</v>
      </c>
      <c r="N7" s="46">
        <v>41578</v>
      </c>
      <c r="O7" s="46">
        <v>41608</v>
      </c>
    </row>
    <row r="8" spans="1:15">
      <c r="C8" s="12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5">
      <c r="A9" s="2" t="s">
        <v>211</v>
      </c>
      <c r="C9" s="120">
        <f>AVERAGE(D9:O9)</f>
        <v>27.263046896457649</v>
      </c>
      <c r="D9" s="94">
        <v>28.711086297035187</v>
      </c>
      <c r="E9" s="94">
        <v>26.464070570468881</v>
      </c>
      <c r="F9" s="94">
        <v>24.985817688703509</v>
      </c>
      <c r="G9" s="94">
        <v>21.527304130792594</v>
      </c>
      <c r="H9" s="94">
        <v>20.87425732612607</v>
      </c>
      <c r="I9" s="94">
        <v>21.093090987205471</v>
      </c>
      <c r="J9" s="94">
        <v>30.080394601821876</v>
      </c>
      <c r="K9" s="94">
        <v>33.634082198142991</v>
      </c>
      <c r="L9" s="94">
        <v>29.996613121032691</v>
      </c>
      <c r="M9" s="94">
        <v>26.505273783206917</v>
      </c>
      <c r="N9" s="94">
        <v>29.62859535217283</v>
      </c>
      <c r="O9" s="94">
        <v>33.655976700782759</v>
      </c>
    </row>
    <row r="10" spans="1:15">
      <c r="A10" s="2" t="s">
        <v>212</v>
      </c>
      <c r="C10" s="120">
        <f>AVERAGE(D10:O10)</f>
        <v>20.671533562196394</v>
      </c>
      <c r="D10" s="94">
        <v>24.649756520986536</v>
      </c>
      <c r="E10" s="94">
        <v>22.693053884804222</v>
      </c>
      <c r="F10" s="94">
        <v>21.620197418332079</v>
      </c>
      <c r="G10" s="94">
        <v>16.881057935953113</v>
      </c>
      <c r="H10" s="94">
        <v>12.182536230981322</v>
      </c>
      <c r="I10" s="94">
        <v>10.366980483569183</v>
      </c>
      <c r="J10" s="94">
        <v>18.570965594053238</v>
      </c>
      <c r="K10" s="94">
        <v>23.366109442710854</v>
      </c>
      <c r="L10" s="94">
        <v>24.05587847232816</v>
      </c>
      <c r="M10" s="94">
        <v>23.0788350343704</v>
      </c>
      <c r="N10" s="94">
        <v>23.723137617111181</v>
      </c>
      <c r="O10" s="94">
        <v>26.869894111156441</v>
      </c>
    </row>
    <row r="11" spans="1:15">
      <c r="A11" s="2" t="s">
        <v>224</v>
      </c>
      <c r="C11" s="120">
        <f>AVERAGE(D11:O11)</f>
        <v>24.434652961790533</v>
      </c>
      <c r="D11" s="94">
        <v>26.920607650279969</v>
      </c>
      <c r="E11" s="94">
        <v>24.847920811176273</v>
      </c>
      <c r="F11" s="94">
        <v>23.574428361654256</v>
      </c>
      <c r="G11" s="94">
        <v>19.462305819988217</v>
      </c>
      <c r="H11" s="94">
        <v>17.229341900348622</v>
      </c>
      <c r="I11" s="94">
        <v>16.564288711547825</v>
      </c>
      <c r="J11" s="94">
        <v>25.006345272064188</v>
      </c>
      <c r="K11" s="94">
        <v>29.328158116340614</v>
      </c>
      <c r="L11" s="94">
        <v>27.488302850723244</v>
      </c>
      <c r="M11" s="94">
        <v>24.994693279266325</v>
      </c>
      <c r="N11" s="94">
        <v>27.135179877281168</v>
      </c>
      <c r="O11" s="94">
        <v>30.664262890815717</v>
      </c>
    </row>
    <row r="12" spans="1:15">
      <c r="C12" s="12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</row>
    <row r="13" spans="1:15">
      <c r="A13" s="2" t="s">
        <v>41</v>
      </c>
      <c r="C13" s="12"/>
      <c r="D13">
        <v>-5.766</v>
      </c>
      <c r="E13">
        <v>-5.2080000000000002</v>
      </c>
      <c r="F13">
        <v>-5.766</v>
      </c>
      <c r="G13">
        <v>-5.58</v>
      </c>
      <c r="H13">
        <v>-5.766</v>
      </c>
      <c r="I13">
        <v>-5.58</v>
      </c>
      <c r="J13">
        <v>-5.766</v>
      </c>
      <c r="K13">
        <v>-5.766</v>
      </c>
      <c r="L13">
        <v>-5.58</v>
      </c>
      <c r="M13">
        <v>-5.766</v>
      </c>
      <c r="N13">
        <v>-5.58</v>
      </c>
      <c r="O13">
        <v>-5.766</v>
      </c>
    </row>
    <row r="14" spans="1:15">
      <c r="B14" t="s">
        <v>40</v>
      </c>
      <c r="C14" s="12"/>
    </row>
    <row r="15" spans="1:15">
      <c r="B15" t="s">
        <v>92</v>
      </c>
      <c r="C15" s="118">
        <f>SUM(D15:O15)</f>
        <v>59130</v>
      </c>
      <c r="D15" s="3">
        <f>-D13*1000-D6</f>
        <v>5022</v>
      </c>
      <c r="E15" s="3">
        <f t="shared" ref="E15:O15" si="0">-E13*1000-E6</f>
        <v>4536</v>
      </c>
      <c r="F15" s="3">
        <f t="shared" si="0"/>
        <v>5023</v>
      </c>
      <c r="G15" s="3">
        <f t="shared" si="0"/>
        <v>4860</v>
      </c>
      <c r="H15" s="3">
        <f t="shared" si="0"/>
        <v>5022</v>
      </c>
      <c r="I15" s="3">
        <f t="shared" si="0"/>
        <v>4860</v>
      </c>
      <c r="J15" s="3">
        <f t="shared" si="0"/>
        <v>5022</v>
      </c>
      <c r="K15" s="3">
        <f t="shared" si="0"/>
        <v>5022</v>
      </c>
      <c r="L15" s="3">
        <f t="shared" si="0"/>
        <v>4860</v>
      </c>
      <c r="M15" s="3">
        <f t="shared" si="0"/>
        <v>5022</v>
      </c>
      <c r="N15" s="3">
        <f t="shared" si="0"/>
        <v>4859</v>
      </c>
      <c r="O15" s="3">
        <f t="shared" si="0"/>
        <v>5022</v>
      </c>
    </row>
    <row r="16" spans="1:15">
      <c r="B16" t="s">
        <v>104</v>
      </c>
      <c r="C16" s="98">
        <f>SUM(D16:O16)</f>
        <v>1317705.3800199404</v>
      </c>
      <c r="D16" s="25">
        <f>((D9*0.57+D10*0.43)-2.16)*D15</f>
        <v>124569.27618552468</v>
      </c>
      <c r="E16" s="25">
        <f t="shared" ref="E16:O16" si="1">((E9*0.57+E10*0.43)-2.16)*E15</f>
        <v>102887.97148259163</v>
      </c>
      <c r="F16" s="25">
        <f t="shared" si="1"/>
        <v>107384.71268458519</v>
      </c>
      <c r="G16" s="25">
        <f t="shared" si="1"/>
        <v>84415.372777676443</v>
      </c>
      <c r="H16" s="25">
        <f t="shared" si="1"/>
        <v>75213.576255683845</v>
      </c>
      <c r="I16" s="25">
        <f t="shared" si="1"/>
        <v>69599.396467319471</v>
      </c>
      <c r="J16" s="25">
        <f t="shared" si="1"/>
        <v>115362.0701252334</v>
      </c>
      <c r="K16" s="25">
        <f t="shared" si="1"/>
        <v>135889.5643526286</v>
      </c>
      <c r="L16" s="25">
        <f t="shared" si="1"/>
        <v>122870.99249935614</v>
      </c>
      <c r="M16" s="25">
        <f t="shared" si="1"/>
        <v>114862.70751870262</v>
      </c>
      <c r="N16" s="25">
        <f t="shared" si="1"/>
        <v>121131.21858830201</v>
      </c>
      <c r="O16" s="25">
        <f t="shared" si="1"/>
        <v>143518.52108233658</v>
      </c>
    </row>
    <row r="17" spans="1:15">
      <c r="C17" s="12"/>
    </row>
    <row r="18" spans="1:15">
      <c r="B18" t="s">
        <v>226</v>
      </c>
      <c r="C18" s="12"/>
      <c r="D18">
        <v>-37.200000000000003</v>
      </c>
      <c r="E18">
        <v>-33.6</v>
      </c>
      <c r="F18">
        <v>-37.200000000000003</v>
      </c>
      <c r="G18">
        <v>-36</v>
      </c>
      <c r="H18">
        <v>-37.200000000000003</v>
      </c>
      <c r="I18">
        <v>-36</v>
      </c>
      <c r="J18">
        <v>-37.200000000000003</v>
      </c>
      <c r="K18">
        <v>-37.200000000000003</v>
      </c>
      <c r="L18">
        <v>-36</v>
      </c>
      <c r="M18">
        <v>-37.200000000000003</v>
      </c>
      <c r="N18">
        <v>-36</v>
      </c>
      <c r="O18">
        <v>-37.200000000000003</v>
      </c>
    </row>
    <row r="19" spans="1:15">
      <c r="B19" t="s">
        <v>92</v>
      </c>
      <c r="C19" s="118">
        <f>SUM(D19:O19)</f>
        <v>438000</v>
      </c>
      <c r="D19" s="141">
        <f>-D18*1000</f>
        <v>37200</v>
      </c>
      <c r="E19" s="141">
        <f t="shared" ref="E19:O19" si="2">-E18*1000</f>
        <v>33600</v>
      </c>
      <c r="F19" s="141">
        <f t="shared" si="2"/>
        <v>37200</v>
      </c>
      <c r="G19" s="141">
        <f t="shared" si="2"/>
        <v>36000</v>
      </c>
      <c r="H19" s="141">
        <f t="shared" si="2"/>
        <v>37200</v>
      </c>
      <c r="I19" s="141">
        <f t="shared" si="2"/>
        <v>36000</v>
      </c>
      <c r="J19" s="141">
        <f t="shared" si="2"/>
        <v>37200</v>
      </c>
      <c r="K19" s="141">
        <f t="shared" si="2"/>
        <v>37200</v>
      </c>
      <c r="L19" s="141">
        <f t="shared" si="2"/>
        <v>36000</v>
      </c>
      <c r="M19" s="141">
        <f t="shared" si="2"/>
        <v>37200</v>
      </c>
      <c r="N19" s="141">
        <f t="shared" si="2"/>
        <v>36000</v>
      </c>
      <c r="O19" s="141">
        <f t="shared" si="2"/>
        <v>37200</v>
      </c>
    </row>
    <row r="20" spans="1:15">
      <c r="B20" t="s">
        <v>225</v>
      </c>
      <c r="D20" s="29">
        <f>D11+3</f>
        <v>29.920607650279969</v>
      </c>
      <c r="E20" s="29">
        <f t="shared" ref="E20:O20" si="3">E11+3</f>
        <v>27.847920811176273</v>
      </c>
      <c r="F20" s="29">
        <f t="shared" si="3"/>
        <v>26.574428361654256</v>
      </c>
      <c r="G20" s="29">
        <f t="shared" si="3"/>
        <v>22.462305819988217</v>
      </c>
      <c r="H20" s="29">
        <f t="shared" si="3"/>
        <v>20.229341900348622</v>
      </c>
      <c r="I20" s="29">
        <f t="shared" si="3"/>
        <v>19.564288711547825</v>
      </c>
      <c r="J20" s="29">
        <f t="shared" si="3"/>
        <v>28.006345272064188</v>
      </c>
      <c r="K20" s="29">
        <f t="shared" si="3"/>
        <v>32.328158116340617</v>
      </c>
      <c r="L20" s="29">
        <f t="shared" si="3"/>
        <v>30.488302850723244</v>
      </c>
      <c r="M20" s="29">
        <f t="shared" si="3"/>
        <v>27.994693279266325</v>
      </c>
      <c r="N20" s="29">
        <f t="shared" si="3"/>
        <v>30.135179877281168</v>
      </c>
      <c r="O20" s="29">
        <f t="shared" si="3"/>
        <v>33.664262890815721</v>
      </c>
    </row>
    <row r="21" spans="1:15">
      <c r="B21" t="s">
        <v>104</v>
      </c>
      <c r="C21" s="98">
        <f>SUM(D21:O21)</f>
        <v>12023396.474511612</v>
      </c>
      <c r="D21" s="25">
        <f>D19*D20</f>
        <v>1113046.6045904148</v>
      </c>
      <c r="E21" s="25">
        <f t="shared" ref="E21:O21" si="4">E19*E20</f>
        <v>935690.13925552275</v>
      </c>
      <c r="F21" s="25">
        <f t="shared" si="4"/>
        <v>988568.73505353834</v>
      </c>
      <c r="G21" s="25">
        <f t="shared" si="4"/>
        <v>808643.00951957575</v>
      </c>
      <c r="H21" s="25">
        <f t="shared" si="4"/>
        <v>752531.51869296876</v>
      </c>
      <c r="I21" s="25">
        <f t="shared" si="4"/>
        <v>704314.39361572172</v>
      </c>
      <c r="J21" s="25">
        <f t="shared" si="4"/>
        <v>1041836.0441207878</v>
      </c>
      <c r="K21" s="25">
        <f t="shared" si="4"/>
        <v>1202607.481927871</v>
      </c>
      <c r="L21" s="25">
        <f t="shared" si="4"/>
        <v>1097578.9026260367</v>
      </c>
      <c r="M21" s="25">
        <f t="shared" si="4"/>
        <v>1041402.5899887073</v>
      </c>
      <c r="N21" s="25">
        <f t="shared" si="4"/>
        <v>1084866.4755821221</v>
      </c>
      <c r="O21" s="25">
        <f t="shared" si="4"/>
        <v>1252310.5795383449</v>
      </c>
    </row>
    <row r="22" spans="1:15">
      <c r="C22" s="104"/>
      <c r="K22" s="29"/>
      <c r="L22" s="29"/>
      <c r="M22" s="25"/>
    </row>
    <row r="23" spans="1:15">
      <c r="A23" s="2" t="s">
        <v>148</v>
      </c>
      <c r="C23" s="104"/>
      <c r="K23" s="29"/>
      <c r="L23" s="29"/>
      <c r="M23" s="25"/>
    </row>
    <row r="24" spans="1:15">
      <c r="C24" s="119" t="s">
        <v>32</v>
      </c>
      <c r="D24" s="108">
        <f>D7</f>
        <v>41274</v>
      </c>
      <c r="E24" s="108">
        <f t="shared" ref="E24:O24" si="5">E7</f>
        <v>41305</v>
      </c>
      <c r="F24" s="108">
        <f t="shared" si="5"/>
        <v>41333</v>
      </c>
      <c r="G24" s="108">
        <f t="shared" si="5"/>
        <v>41364</v>
      </c>
      <c r="H24" s="108">
        <f t="shared" si="5"/>
        <v>41394</v>
      </c>
      <c r="I24" s="108">
        <f t="shared" si="5"/>
        <v>41425</v>
      </c>
      <c r="J24" s="108">
        <f t="shared" si="5"/>
        <v>41455</v>
      </c>
      <c r="K24" s="108">
        <f t="shared" si="5"/>
        <v>41486</v>
      </c>
      <c r="L24" s="108">
        <f t="shared" si="5"/>
        <v>41517</v>
      </c>
      <c r="M24" s="108">
        <f t="shared" si="5"/>
        <v>41547</v>
      </c>
      <c r="N24" s="108">
        <f t="shared" si="5"/>
        <v>41578</v>
      </c>
      <c r="O24" s="108">
        <f t="shared" si="5"/>
        <v>41608</v>
      </c>
    </row>
    <row r="25" spans="1:15">
      <c r="A25" s="2"/>
      <c r="C25" s="104"/>
      <c r="K25" s="29"/>
      <c r="L25" s="29"/>
      <c r="M25" s="25"/>
    </row>
    <row r="26" spans="1:15">
      <c r="B26" t="s">
        <v>213</v>
      </c>
      <c r="C26" s="104"/>
      <c r="D26" s="94">
        <f>0.65*D9+0.35*D10+5</f>
        <v>32.289620875418159</v>
      </c>
      <c r="E26" s="94">
        <f t="shared" ref="E26:O26" si="6">0.65*E9+0.35*E10+5</f>
        <v>30.144214730486247</v>
      </c>
      <c r="F26" s="94">
        <f t="shared" si="6"/>
        <v>28.807850594073507</v>
      </c>
      <c r="G26" s="94">
        <f t="shared" si="6"/>
        <v>24.901117962598775</v>
      </c>
      <c r="H26" s="94">
        <f t="shared" si="6"/>
        <v>22.832154942825408</v>
      </c>
      <c r="I26" s="94">
        <f t="shared" si="6"/>
        <v>22.338952310932772</v>
      </c>
      <c r="J26" s="94">
        <f t="shared" si="6"/>
        <v>31.052094449102853</v>
      </c>
      <c r="K26" s="94">
        <f t="shared" si="6"/>
        <v>35.040291733741739</v>
      </c>
      <c r="L26" s="94">
        <f t="shared" si="6"/>
        <v>32.917355993986106</v>
      </c>
      <c r="M26" s="94">
        <f t="shared" si="6"/>
        <v>30.306020221114135</v>
      </c>
      <c r="N26" s="94">
        <f t="shared" si="6"/>
        <v>32.561685144901254</v>
      </c>
      <c r="O26" s="94">
        <f t="shared" si="6"/>
        <v>36.280847794413546</v>
      </c>
    </row>
    <row r="27" spans="1:15">
      <c r="C27" s="11"/>
      <c r="K27" s="29"/>
      <c r="L27" s="29"/>
      <c r="M27" s="25"/>
    </row>
    <row r="28" spans="1:15">
      <c r="B28" t="s">
        <v>160</v>
      </c>
      <c r="C28" s="118">
        <f>SUM(D28:O28)</f>
        <v>170920.48250122069</v>
      </c>
      <c r="D28" s="124">
        <v>16082.035986328097</v>
      </c>
      <c r="E28" s="124">
        <v>13675.3127502441</v>
      </c>
      <c r="F28" s="124">
        <v>13712.052185058601</v>
      </c>
      <c r="G28" s="124">
        <v>14590.818084716801</v>
      </c>
      <c r="H28" s="124">
        <v>17601.611364746099</v>
      </c>
      <c r="I28" s="124">
        <v>16754.994854736298</v>
      </c>
      <c r="J28" s="124">
        <v>15677.038232421901</v>
      </c>
      <c r="K28" s="124">
        <v>13024.965344238301</v>
      </c>
      <c r="L28" s="124">
        <v>10412.902880859399</v>
      </c>
      <c r="M28" s="124">
        <v>10606.779675293001</v>
      </c>
      <c r="N28" s="124">
        <v>13477.5066040039</v>
      </c>
      <c r="O28" s="124">
        <v>15304.464538574201</v>
      </c>
    </row>
    <row r="29" spans="1:15">
      <c r="B29" t="s">
        <v>161</v>
      </c>
      <c r="C29" s="118">
        <f>SUM(D29:O29)</f>
        <v>162340.86307373052</v>
      </c>
      <c r="D29" s="124">
        <v>15001.8740661621</v>
      </c>
      <c r="E29" s="124">
        <v>12583.879370117198</v>
      </c>
      <c r="F29" s="124">
        <v>12650.914453125</v>
      </c>
      <c r="G29" s="124">
        <v>14341.7871520996</v>
      </c>
      <c r="H29" s="124">
        <v>17510.654772949201</v>
      </c>
      <c r="I29" s="124">
        <v>16850.928302002001</v>
      </c>
      <c r="J29" s="124">
        <v>15723.584777831999</v>
      </c>
      <c r="K29" s="124">
        <v>13607.529205322302</v>
      </c>
      <c r="L29" s="124">
        <v>8998.70536499023</v>
      </c>
      <c r="M29" s="124">
        <v>8996.8272583007802</v>
      </c>
      <c r="N29" s="124">
        <v>12098.888397216801</v>
      </c>
      <c r="O29" s="124">
        <v>13975.289953613299</v>
      </c>
    </row>
    <row r="30" spans="1:15">
      <c r="B30" t="s">
        <v>134</v>
      </c>
      <c r="C30" s="97"/>
      <c r="D30" s="97">
        <v>3.3000000000000002E-2</v>
      </c>
      <c r="E30" s="97">
        <v>3.3000000000000002E-2</v>
      </c>
      <c r="F30" s="97">
        <v>3.3000000000000002E-2</v>
      </c>
      <c r="G30" s="97">
        <v>3.3000000000000002E-2</v>
      </c>
      <c r="H30" s="97">
        <v>3.3000000000000002E-2</v>
      </c>
      <c r="I30" s="97">
        <v>3.3000000000000002E-2</v>
      </c>
      <c r="J30" s="97">
        <v>3.3000000000000002E-2</v>
      </c>
      <c r="K30" s="97">
        <v>3.3000000000000002E-2</v>
      </c>
      <c r="L30" s="97">
        <v>3.3000000000000002E-2</v>
      </c>
      <c r="M30" s="97">
        <v>3.3000000000000002E-2</v>
      </c>
      <c r="N30" s="97">
        <v>3.3000000000000002E-2</v>
      </c>
      <c r="O30" s="97">
        <v>3.3000000000000002E-2</v>
      </c>
    </row>
    <row r="31" spans="1:15">
      <c r="B31" t="s">
        <v>159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5">
        <v>0</v>
      </c>
      <c r="K31" s="115">
        <v>0</v>
      </c>
      <c r="L31" s="115">
        <v>0</v>
      </c>
      <c r="M31" s="115">
        <v>0</v>
      </c>
      <c r="N31" s="115">
        <v>0</v>
      </c>
      <c r="O31" s="115">
        <v>0</v>
      </c>
    </row>
    <row r="32" spans="1:15">
      <c r="B32" t="s">
        <v>135</v>
      </c>
      <c r="C32" s="97"/>
      <c r="D32" s="97">
        <v>4.8999999999999998E-3</v>
      </c>
      <c r="E32" s="97">
        <v>4.8999999999999998E-3</v>
      </c>
      <c r="F32" s="97">
        <v>4.8999999999999998E-3</v>
      </c>
      <c r="G32" s="97">
        <v>4.8999999999999998E-3</v>
      </c>
      <c r="H32" s="97">
        <v>4.8999999999999998E-3</v>
      </c>
      <c r="I32" s="97">
        <v>4.8999999999999998E-3</v>
      </c>
      <c r="J32" s="97">
        <v>4.8999999999999998E-3</v>
      </c>
      <c r="K32" s="97">
        <v>4.8999999999999998E-3</v>
      </c>
      <c r="L32" s="97">
        <v>4.8999999999999998E-3</v>
      </c>
      <c r="M32" s="97">
        <v>4.8999999999999998E-3</v>
      </c>
      <c r="N32" s="97">
        <v>4.8999999999999998E-3</v>
      </c>
      <c r="O32" s="97">
        <v>4.8999999999999998E-3</v>
      </c>
    </row>
    <row r="33" spans="2:15">
      <c r="B33" t="s">
        <v>138</v>
      </c>
      <c r="C33" s="97"/>
      <c r="D33" s="97">
        <f>D30+D31+D32</f>
        <v>3.7900000000000003E-2</v>
      </c>
      <c r="E33" s="97">
        <f t="shared" ref="E33:O33" si="7">E30+E31+E32</f>
        <v>3.7900000000000003E-2</v>
      </c>
      <c r="F33" s="97">
        <f t="shared" si="7"/>
        <v>3.7900000000000003E-2</v>
      </c>
      <c r="G33" s="97">
        <f t="shared" si="7"/>
        <v>3.7900000000000003E-2</v>
      </c>
      <c r="H33" s="97">
        <f t="shared" si="7"/>
        <v>3.7900000000000003E-2</v>
      </c>
      <c r="I33" s="97">
        <f t="shared" si="7"/>
        <v>3.7900000000000003E-2</v>
      </c>
      <c r="J33" s="97">
        <f t="shared" si="7"/>
        <v>3.7900000000000003E-2</v>
      </c>
      <c r="K33" s="97">
        <f t="shared" si="7"/>
        <v>3.7900000000000003E-2</v>
      </c>
      <c r="L33" s="97">
        <f t="shared" si="7"/>
        <v>3.7900000000000003E-2</v>
      </c>
      <c r="M33" s="97">
        <f t="shared" si="7"/>
        <v>3.7900000000000003E-2</v>
      </c>
      <c r="N33" s="97">
        <f t="shared" si="7"/>
        <v>3.7900000000000003E-2</v>
      </c>
      <c r="O33" s="97">
        <f t="shared" si="7"/>
        <v>3.7900000000000003E-2</v>
      </c>
    </row>
    <row r="34" spans="2:15">
      <c r="B34" t="s">
        <v>146</v>
      </c>
      <c r="C34" s="97"/>
      <c r="D34" s="105">
        <f>150/((C56/8760)*0.3)</f>
        <v>0.49811357423888758</v>
      </c>
      <c r="E34" s="105">
        <f>D34</f>
        <v>0.49811357423888758</v>
      </c>
      <c r="F34" s="105">
        <f t="shared" ref="F34:O34" si="8">E34</f>
        <v>0.49811357423888758</v>
      </c>
      <c r="G34" s="105">
        <f t="shared" si="8"/>
        <v>0.49811357423888758</v>
      </c>
      <c r="H34" s="105">
        <f t="shared" si="8"/>
        <v>0.49811357423888758</v>
      </c>
      <c r="I34" s="105">
        <f t="shared" si="8"/>
        <v>0.49811357423888758</v>
      </c>
      <c r="J34" s="105">
        <f t="shared" si="8"/>
        <v>0.49811357423888758</v>
      </c>
      <c r="K34" s="105">
        <f t="shared" si="8"/>
        <v>0.49811357423888758</v>
      </c>
      <c r="L34" s="105">
        <f t="shared" si="8"/>
        <v>0.49811357423888758</v>
      </c>
      <c r="M34" s="105">
        <f t="shared" si="8"/>
        <v>0.49811357423888758</v>
      </c>
      <c r="N34" s="105">
        <f t="shared" si="8"/>
        <v>0.49811357423888758</v>
      </c>
      <c r="O34" s="105">
        <f t="shared" si="8"/>
        <v>0.49811357423888758</v>
      </c>
    </row>
    <row r="35" spans="2:15">
      <c r="C35" s="96"/>
    </row>
    <row r="36" spans="2:15">
      <c r="B36" t="s">
        <v>128</v>
      </c>
      <c r="C36" s="96">
        <f>SUM(D36:O36)</f>
        <v>290174.78638452216</v>
      </c>
      <c r="D36" s="3">
        <f>(D28+D29)*(D30/D33)</f>
        <v>27065.145955994099</v>
      </c>
      <c r="E36" s="3">
        <f t="shared" ref="E36:O36" si="9">(E28+E29)*(E30/E33)</f>
        <v>22864.204220895059</v>
      </c>
      <c r="F36" s="3">
        <f t="shared" si="9"/>
        <v>22954.561980476483</v>
      </c>
      <c r="G36" s="3">
        <f t="shared" si="9"/>
        <v>25191.978174536707</v>
      </c>
      <c r="H36" s="3">
        <f t="shared" si="9"/>
        <v>30572.685555249209</v>
      </c>
      <c r="I36" s="3">
        <f t="shared" si="9"/>
        <v>29261.094041487169</v>
      </c>
      <c r="J36" s="3">
        <f t="shared" si="9"/>
        <v>27340.911855893894</v>
      </c>
      <c r="K36" s="3">
        <f t="shared" si="9"/>
        <v>23189.243275343</v>
      </c>
      <c r="L36" s="3">
        <f t="shared" si="9"/>
        <v>16901.928024090706</v>
      </c>
      <c r="M36" s="3">
        <f t="shared" si="9"/>
        <v>17069.103662495902</v>
      </c>
      <c r="N36" s="3">
        <f t="shared" si="9"/>
        <v>22269.684301854431</v>
      </c>
      <c r="O36" s="3">
        <f t="shared" si="9"/>
        <v>25494.245336205477</v>
      </c>
    </row>
    <row r="37" spans="2:15">
      <c r="B37" t="s">
        <v>129</v>
      </c>
      <c r="C37" s="95">
        <f>SUM(D37:O37)</f>
        <v>8588734.3661506083</v>
      </c>
      <c r="D37" s="25">
        <f>D36*D26</f>
        <v>873923.30185690639</v>
      </c>
      <c r="E37" s="25">
        <f t="shared" ref="E37:O37" si="10">E36*E26</f>
        <v>689223.4816763507</v>
      </c>
      <c r="F37" s="25">
        <f t="shared" si="10"/>
        <v>661271.59198596654</v>
      </c>
      <c r="G37" s="25">
        <f t="shared" si="10"/>
        <v>627308.42023535236</v>
      </c>
      <c r="H37" s="25">
        <f t="shared" si="10"/>
        <v>698040.29361573013</v>
      </c>
      <c r="I37" s="25">
        <f t="shared" si="10"/>
        <v>653662.18435850099</v>
      </c>
      <c r="J37" s="25">
        <f t="shared" si="10"/>
        <v>848992.57727381319</v>
      </c>
      <c r="K37" s="25">
        <f t="shared" si="10"/>
        <v>812557.84945272759</v>
      </c>
      <c r="L37" s="25">
        <f t="shared" si="10"/>
        <v>556366.78175372398</v>
      </c>
      <c r="M37" s="25">
        <f t="shared" si="10"/>
        <v>517296.60075189412</v>
      </c>
      <c r="N37" s="25">
        <f t="shared" si="10"/>
        <v>725138.44851333415</v>
      </c>
      <c r="O37" s="25">
        <f t="shared" si="10"/>
        <v>924952.83467630832</v>
      </c>
    </row>
    <row r="38" spans="2:15">
      <c r="D38" s="25"/>
    </row>
    <row r="39" spans="2:15">
      <c r="B39" t="s">
        <v>130</v>
      </c>
      <c r="C39" s="95">
        <f>SUM(D39:O39)</f>
        <v>1323844.4313513797</v>
      </c>
      <c r="D39" s="25">
        <f>((D36*10.66/11.03)*(D26-$C58))*(1-D34)</f>
        <v>158806.58267126305</v>
      </c>
      <c r="E39" s="25">
        <f t="shared" ref="E39:O39" si="11">((E36*10.66/11.03)*(E26-$C58))*(1-E34)</f>
        <v>110364.0772472789</v>
      </c>
      <c r="F39" s="25">
        <f t="shared" si="11"/>
        <v>95920.981106324383</v>
      </c>
      <c r="G39" s="25">
        <f t="shared" si="11"/>
        <v>57532.668301802107</v>
      </c>
      <c r="H39" s="25">
        <f t="shared" si="11"/>
        <v>39139.684057068873</v>
      </c>
      <c r="I39" s="25">
        <f t="shared" si="11"/>
        <v>30460.48042365583</v>
      </c>
      <c r="J39" s="25">
        <f t="shared" si="11"/>
        <v>144012.91818994316</v>
      </c>
      <c r="K39" s="25">
        <f t="shared" si="11"/>
        <v>167003.89298250584</v>
      </c>
      <c r="L39" s="25">
        <f t="shared" si="11"/>
        <v>104319.56686617259</v>
      </c>
      <c r="M39" s="25">
        <f t="shared" si="11"/>
        <v>83731.140222639704</v>
      </c>
      <c r="N39" s="25">
        <f t="shared" si="11"/>
        <v>133607.7037553096</v>
      </c>
      <c r="O39" s="25">
        <f t="shared" si="11"/>
        <v>198944.7355274155</v>
      </c>
    </row>
    <row r="41" spans="2:15">
      <c r="B41" t="s">
        <v>131</v>
      </c>
      <c r="C41" s="121">
        <f>SUM(D41:O41)</f>
        <v>7264889.9347992297</v>
      </c>
      <c r="D41" s="25">
        <f>D37-D39</f>
        <v>715116.71918564336</v>
      </c>
      <c r="E41" s="25">
        <f t="shared" ref="E41:O41" si="12">E37-E39</f>
        <v>578859.40442907182</v>
      </c>
      <c r="F41" s="25">
        <f t="shared" si="12"/>
        <v>565350.61087964219</v>
      </c>
      <c r="G41" s="25">
        <f t="shared" si="12"/>
        <v>569775.75193355023</v>
      </c>
      <c r="H41" s="25">
        <f t="shared" si="12"/>
        <v>658900.60955866124</v>
      </c>
      <c r="I41" s="25">
        <f t="shared" si="12"/>
        <v>623201.70393484517</v>
      </c>
      <c r="J41" s="25">
        <f t="shared" si="12"/>
        <v>704979.65908387001</v>
      </c>
      <c r="K41" s="25">
        <f t="shared" si="12"/>
        <v>645553.95647022175</v>
      </c>
      <c r="L41" s="25">
        <f t="shared" si="12"/>
        <v>452047.21488755138</v>
      </c>
      <c r="M41" s="25">
        <f t="shared" si="12"/>
        <v>433565.4605292544</v>
      </c>
      <c r="N41" s="25">
        <f t="shared" si="12"/>
        <v>591530.74475802458</v>
      </c>
      <c r="O41" s="25">
        <f t="shared" si="12"/>
        <v>726008.0991488928</v>
      </c>
    </row>
    <row r="42" spans="2:15">
      <c r="B42" t="s">
        <v>132</v>
      </c>
      <c r="C42" s="109">
        <f t="shared" ref="C42:O42" si="13">C41/C36</f>
        <v>25.03625495969948</v>
      </c>
      <c r="D42" s="29">
        <f t="shared" si="13"/>
        <v>26.42205293658381</v>
      </c>
      <c r="E42" s="29">
        <f t="shared" si="13"/>
        <v>25.317277559131746</v>
      </c>
      <c r="F42" s="29">
        <f t="shared" si="13"/>
        <v>24.629117791944328</v>
      </c>
      <c r="G42" s="29">
        <f t="shared" si="13"/>
        <v>22.617348585569289</v>
      </c>
      <c r="H42" s="29">
        <f t="shared" si="13"/>
        <v>21.551937541369526</v>
      </c>
      <c r="I42" s="29">
        <f t="shared" si="13"/>
        <v>21.297963194788718</v>
      </c>
      <c r="J42" s="29">
        <f t="shared" si="13"/>
        <v>25.784789578329196</v>
      </c>
      <c r="K42" s="29">
        <f t="shared" si="13"/>
        <v>27.838508950252631</v>
      </c>
      <c r="L42" s="29">
        <f t="shared" si="13"/>
        <v>26.745304692058689</v>
      </c>
      <c r="M42" s="29">
        <f t="shared" si="13"/>
        <v>25.400599182128172</v>
      </c>
      <c r="N42" s="29">
        <f t="shared" si="13"/>
        <v>26.562152239794745</v>
      </c>
      <c r="O42" s="29">
        <f t="shared" si="13"/>
        <v>28.477332416577063</v>
      </c>
    </row>
    <row r="44" spans="2:15">
      <c r="B44" t="s">
        <v>162</v>
      </c>
      <c r="C44" s="96">
        <f>SUM(D44:O44)</f>
        <v>0</v>
      </c>
      <c r="D44" s="3">
        <f>(D28+D29)*(D31/D33)</f>
        <v>0</v>
      </c>
      <c r="E44" s="3">
        <f t="shared" ref="E44:O44" si="14">(E28+E29)*(E31/E33)</f>
        <v>0</v>
      </c>
      <c r="F44" s="3">
        <f t="shared" si="14"/>
        <v>0</v>
      </c>
      <c r="G44" s="3">
        <f t="shared" si="14"/>
        <v>0</v>
      </c>
      <c r="H44" s="3">
        <f t="shared" si="14"/>
        <v>0</v>
      </c>
      <c r="I44" s="3">
        <f t="shared" si="14"/>
        <v>0</v>
      </c>
      <c r="J44" s="3">
        <f t="shared" si="14"/>
        <v>0</v>
      </c>
      <c r="K44" s="3">
        <f t="shared" si="14"/>
        <v>0</v>
      </c>
      <c r="L44" s="3">
        <f t="shared" si="14"/>
        <v>0</v>
      </c>
      <c r="M44" s="3">
        <f t="shared" si="14"/>
        <v>0</v>
      </c>
      <c r="N44" s="3">
        <f t="shared" si="14"/>
        <v>0</v>
      </c>
      <c r="O44" s="3">
        <f t="shared" si="14"/>
        <v>0</v>
      </c>
    </row>
    <row r="45" spans="2:15">
      <c r="B45" t="s">
        <v>147</v>
      </c>
      <c r="D45" s="107">
        <f>$C58</f>
        <v>20.192807380016191</v>
      </c>
      <c r="E45" s="107">
        <f t="shared" ref="E45:O45" si="15">$C58</f>
        <v>20.192807380016191</v>
      </c>
      <c r="F45" s="107">
        <f t="shared" si="15"/>
        <v>20.192807380016191</v>
      </c>
      <c r="G45" s="107">
        <f t="shared" si="15"/>
        <v>20.192807380016191</v>
      </c>
      <c r="H45" s="107">
        <f t="shared" si="15"/>
        <v>20.192807380016191</v>
      </c>
      <c r="I45" s="107">
        <f t="shared" si="15"/>
        <v>20.192807380016191</v>
      </c>
      <c r="J45" s="107">
        <f t="shared" si="15"/>
        <v>20.192807380016191</v>
      </c>
      <c r="K45" s="107">
        <f t="shared" si="15"/>
        <v>20.192807380016191</v>
      </c>
      <c r="L45" s="107">
        <f t="shared" si="15"/>
        <v>20.192807380016191</v>
      </c>
      <c r="M45" s="107">
        <f t="shared" si="15"/>
        <v>20.192807380016191</v>
      </c>
      <c r="N45" s="107">
        <f t="shared" si="15"/>
        <v>20.192807380016191</v>
      </c>
      <c r="O45" s="107">
        <f t="shared" si="15"/>
        <v>20.192807380016191</v>
      </c>
    </row>
    <row r="46" spans="2:15">
      <c r="B46" t="s">
        <v>163</v>
      </c>
      <c r="C46" s="122">
        <f>SUM(D46:O46)</f>
        <v>0</v>
      </c>
      <c r="D46" s="25">
        <f>D44*D45</f>
        <v>0</v>
      </c>
      <c r="E46" s="25">
        <f t="shared" ref="E46:O46" si="16">E44*E45</f>
        <v>0</v>
      </c>
      <c r="F46" s="25">
        <f t="shared" si="16"/>
        <v>0</v>
      </c>
      <c r="G46" s="25">
        <f t="shared" si="16"/>
        <v>0</v>
      </c>
      <c r="H46" s="25">
        <f t="shared" si="16"/>
        <v>0</v>
      </c>
      <c r="I46" s="25">
        <f t="shared" si="16"/>
        <v>0</v>
      </c>
      <c r="J46" s="25">
        <f t="shared" si="16"/>
        <v>0</v>
      </c>
      <c r="K46" s="25">
        <f t="shared" si="16"/>
        <v>0</v>
      </c>
      <c r="L46" s="25">
        <f t="shared" si="16"/>
        <v>0</v>
      </c>
      <c r="M46" s="25">
        <f t="shared" si="16"/>
        <v>0</v>
      </c>
      <c r="N46" s="25">
        <f t="shared" si="16"/>
        <v>0</v>
      </c>
      <c r="O46" s="25">
        <f t="shared" si="16"/>
        <v>0</v>
      </c>
    </row>
    <row r="47" spans="2:15">
      <c r="C47" s="109"/>
      <c r="D47" s="25"/>
    </row>
    <row r="48" spans="2:15">
      <c r="B48" t="s">
        <v>137</v>
      </c>
      <c r="C48" s="96">
        <f>SUM(D48:O48)</f>
        <v>43086.559190429049</v>
      </c>
      <c r="D48" s="3">
        <f>(D28+D29)*(D32/D33)</f>
        <v>4018.7640964960938</v>
      </c>
      <c r="E48" s="3">
        <f t="shared" ref="E48:O48" si="17">(E28+E29)*(E32/E33)</f>
        <v>3394.9878994662363</v>
      </c>
      <c r="F48" s="3">
        <f t="shared" si="17"/>
        <v>3408.4046577071144</v>
      </c>
      <c r="G48" s="3">
        <f t="shared" si="17"/>
        <v>3740.6270622796928</v>
      </c>
      <c r="H48" s="3">
        <f t="shared" si="17"/>
        <v>4539.580582446094</v>
      </c>
      <c r="I48" s="3">
        <f t="shared" si="17"/>
        <v>4344.8291152511247</v>
      </c>
      <c r="J48" s="3">
        <f t="shared" si="17"/>
        <v>4059.7111543600022</v>
      </c>
      <c r="K48" s="3">
        <f t="shared" si="17"/>
        <v>3443.2512742175973</v>
      </c>
      <c r="L48" s="3">
        <f t="shared" si="17"/>
        <v>2509.6802217589229</v>
      </c>
      <c r="M48" s="3">
        <f t="shared" si="17"/>
        <v>2534.5032710978762</v>
      </c>
      <c r="N48" s="3">
        <f t="shared" si="17"/>
        <v>3306.7106993662642</v>
      </c>
      <c r="O48" s="3">
        <f t="shared" si="17"/>
        <v>3785.5091559820248</v>
      </c>
    </row>
    <row r="49" spans="2:15">
      <c r="B49" t="s">
        <v>147</v>
      </c>
      <c r="D49" s="107">
        <f>$C58</f>
        <v>20.192807380016191</v>
      </c>
      <c r="E49" s="107">
        <f t="shared" ref="E49:O49" si="18">$C58</f>
        <v>20.192807380016191</v>
      </c>
      <c r="F49" s="107">
        <f t="shared" si="18"/>
        <v>20.192807380016191</v>
      </c>
      <c r="G49" s="107">
        <f t="shared" si="18"/>
        <v>20.192807380016191</v>
      </c>
      <c r="H49" s="107">
        <f t="shared" si="18"/>
        <v>20.192807380016191</v>
      </c>
      <c r="I49" s="107">
        <f t="shared" si="18"/>
        <v>20.192807380016191</v>
      </c>
      <c r="J49" s="107">
        <f t="shared" si="18"/>
        <v>20.192807380016191</v>
      </c>
      <c r="K49" s="107">
        <f t="shared" si="18"/>
        <v>20.192807380016191</v>
      </c>
      <c r="L49" s="107">
        <f t="shared" si="18"/>
        <v>20.192807380016191</v>
      </c>
      <c r="M49" s="107">
        <f t="shared" si="18"/>
        <v>20.192807380016191</v>
      </c>
      <c r="N49" s="107">
        <f t="shared" si="18"/>
        <v>20.192807380016191</v>
      </c>
      <c r="O49" s="107">
        <f t="shared" si="18"/>
        <v>20.192807380016191</v>
      </c>
    </row>
    <row r="50" spans="2:15">
      <c r="B50" t="s">
        <v>136</v>
      </c>
      <c r="C50" s="122">
        <f>SUM(D50:O50)</f>
        <v>870038.5904000001</v>
      </c>
      <c r="D50" s="25">
        <f>D48*D49</f>
        <v>81150.129306270421</v>
      </c>
      <c r="E50" s="25">
        <f t="shared" ref="E50:O50" si="19">E48*E49</f>
        <v>68554.336711407479</v>
      </c>
      <c r="F50" s="25">
        <f t="shared" si="19"/>
        <v>68825.258726229775</v>
      </c>
      <c r="G50" s="25">
        <f t="shared" si="19"/>
        <v>75533.761749089666</v>
      </c>
      <c r="H50" s="25">
        <f t="shared" si="19"/>
        <v>91666.876287395688</v>
      </c>
      <c r="I50" s="25">
        <f t="shared" si="19"/>
        <v>87734.297423352124</v>
      </c>
      <c r="J50" s="25">
        <f t="shared" si="19"/>
        <v>81976.965358494708</v>
      </c>
      <c r="K50" s="25">
        <f t="shared" si="19"/>
        <v>69528.909741271258</v>
      </c>
      <c r="L50" s="25">
        <f t="shared" si="19"/>
        <v>50677.489303414251</v>
      </c>
      <c r="M50" s="25">
        <f t="shared" si="19"/>
        <v>51178.736357300375</v>
      </c>
      <c r="N50" s="25">
        <f t="shared" si="19"/>
        <v>66771.772213741599</v>
      </c>
      <c r="O50" s="25">
        <f t="shared" si="19"/>
        <v>76440.057222032687</v>
      </c>
    </row>
    <row r="51" spans="2:15">
      <c r="B51" t="s">
        <v>149</v>
      </c>
      <c r="C51" s="109">
        <f>C50/C48</f>
        <v>20.192807380016191</v>
      </c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</row>
    <row r="52" spans="2:15"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>
      <c r="B53" t="s">
        <v>150</v>
      </c>
      <c r="C53" s="122">
        <f>SUM(D53:O53)</f>
        <v>8134928.5251992289</v>
      </c>
      <c r="D53" s="25">
        <f>D41+D46+D50</f>
        <v>796266.84849191376</v>
      </c>
      <c r="E53" s="25">
        <f t="shared" ref="E53:O53" si="20">E41+E46+E50</f>
        <v>647413.74114047934</v>
      </c>
      <c r="F53" s="25">
        <f t="shared" si="20"/>
        <v>634175.86960587197</v>
      </c>
      <c r="G53" s="25">
        <f t="shared" si="20"/>
        <v>645309.51368263992</v>
      </c>
      <c r="H53" s="25">
        <f t="shared" si="20"/>
        <v>750567.48584605695</v>
      </c>
      <c r="I53" s="25">
        <f t="shared" si="20"/>
        <v>710936.0013581973</v>
      </c>
      <c r="J53" s="25">
        <f t="shared" si="20"/>
        <v>786956.62444236467</v>
      </c>
      <c r="K53" s="25">
        <f t="shared" si="20"/>
        <v>715082.86621149303</v>
      </c>
      <c r="L53" s="25">
        <f t="shared" si="20"/>
        <v>502724.70419096563</v>
      </c>
      <c r="M53" s="25">
        <f t="shared" si="20"/>
        <v>484744.19688655477</v>
      </c>
      <c r="N53" s="25">
        <f t="shared" si="20"/>
        <v>658302.51697176613</v>
      </c>
      <c r="O53" s="25">
        <f t="shared" si="20"/>
        <v>802448.15637092548</v>
      </c>
    </row>
    <row r="54" spans="2:15">
      <c r="B54" t="s">
        <v>151</v>
      </c>
      <c r="C54" s="109">
        <f>C53/(C28+C29)</f>
        <v>24.410057251508235</v>
      </c>
    </row>
    <row r="56" spans="2:15">
      <c r="B56" t="s">
        <v>187</v>
      </c>
      <c r="C56" s="104">
        <f>SUM(D56:O56)</f>
        <v>8793175.3449855186</v>
      </c>
      <c r="D56" s="55">
        <f>(D28+D29)/D33</f>
        <v>820155.9380604272</v>
      </c>
      <c r="E56" s="55">
        <f>(E28+E29)/E33</f>
        <v>692854.67336045636</v>
      </c>
      <c r="F56" s="55">
        <f t="shared" ref="F56:O56" si="21">(F28+F29)/F33</f>
        <v>695592.78728716611</v>
      </c>
      <c r="G56" s="55">
        <f t="shared" si="21"/>
        <v>763393.27801626385</v>
      </c>
      <c r="H56" s="55">
        <f t="shared" si="21"/>
        <v>926445.01682573359</v>
      </c>
      <c r="I56" s="55">
        <f t="shared" si="21"/>
        <v>886699.81943900511</v>
      </c>
      <c r="J56" s="55">
        <f t="shared" si="21"/>
        <v>828512.4804816331</v>
      </c>
      <c r="K56" s="55">
        <f t="shared" si="21"/>
        <v>702704.3416770607</v>
      </c>
      <c r="L56" s="55">
        <f t="shared" si="21"/>
        <v>512179.63709365774</v>
      </c>
      <c r="M56" s="55">
        <f t="shared" si="21"/>
        <v>517245.56553017884</v>
      </c>
      <c r="N56" s="55">
        <f t="shared" si="21"/>
        <v>674838.91823801305</v>
      </c>
      <c r="O56" s="55">
        <f t="shared" si="21"/>
        <v>772552.88897592342</v>
      </c>
    </row>
    <row r="57" spans="2:15">
      <c r="B57" t="s">
        <v>150</v>
      </c>
      <c r="C57" s="106">
        <v>177558896</v>
      </c>
    </row>
    <row r="58" spans="2:15">
      <c r="B58" t="s">
        <v>189</v>
      </c>
      <c r="C58" s="29">
        <f>C57/C56</f>
        <v>20.192807380016191</v>
      </c>
    </row>
  </sheetData>
  <phoneticPr fontId="6" type="noConversion"/>
  <pageMargins left="0.75" right="0.75" top="1" bottom="1" header="0.5" footer="0.5"/>
  <pageSetup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P36"/>
  <sheetViews>
    <sheetView workbookViewId="0">
      <pane xSplit="4470" ySplit="825" activePane="bottomRight"/>
      <selection activeCell="B2" sqref="B2"/>
      <selection pane="topRight" activeCell="K1" sqref="K1"/>
      <selection pane="bottomLeft" activeCell="A26" sqref="A26:XFD26"/>
      <selection pane="bottomRight" activeCell="B5" sqref="B5:G33"/>
    </sheetView>
  </sheetViews>
  <sheetFormatPr defaultColWidth="9.140625" defaultRowHeight="12.75"/>
  <cols>
    <col min="1" max="1" width="20.140625" style="59" customWidth="1"/>
    <col min="2" max="13" width="9.140625" style="59"/>
    <col min="14" max="14" width="10.28515625" style="61" customWidth="1"/>
    <col min="15" max="15" width="9.28515625" style="59" customWidth="1"/>
    <col min="16" max="16384" width="9.140625" style="59"/>
  </cols>
  <sheetData>
    <row r="1" spans="1:16" ht="16.5" thickBot="1">
      <c r="A1" s="56" t="s">
        <v>62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8"/>
      <c r="O1" s="57"/>
    </row>
    <row r="2" spans="1:16">
      <c r="A2" s="60"/>
      <c r="B2" s="69" t="s">
        <v>75</v>
      </c>
      <c r="C2" s="69" t="s">
        <v>76</v>
      </c>
      <c r="D2" s="69" t="s">
        <v>77</v>
      </c>
      <c r="E2" s="69" t="s">
        <v>78</v>
      </c>
      <c r="F2" s="69" t="s">
        <v>79</v>
      </c>
      <c r="G2" s="69" t="s">
        <v>80</v>
      </c>
      <c r="H2" s="69" t="s">
        <v>81</v>
      </c>
      <c r="I2" s="69" t="s">
        <v>82</v>
      </c>
      <c r="J2" s="69" t="s">
        <v>83</v>
      </c>
      <c r="K2" s="69" t="s">
        <v>84</v>
      </c>
      <c r="L2" s="69" t="s">
        <v>85</v>
      </c>
      <c r="M2" s="69" t="s">
        <v>86</v>
      </c>
    </row>
    <row r="3" spans="1:16">
      <c r="B3" s="62">
        <v>1</v>
      </c>
      <c r="C3" s="62">
        <v>2</v>
      </c>
      <c r="D3" s="62">
        <v>3</v>
      </c>
      <c r="E3" s="62">
        <v>4</v>
      </c>
      <c r="F3" s="62">
        <v>5</v>
      </c>
      <c r="G3" s="62">
        <v>6</v>
      </c>
      <c r="H3" s="62">
        <v>7</v>
      </c>
      <c r="I3" s="62">
        <v>8</v>
      </c>
      <c r="J3" s="62">
        <v>9</v>
      </c>
      <c r="K3" s="62">
        <v>10</v>
      </c>
      <c r="L3" s="62">
        <v>11</v>
      </c>
      <c r="M3" s="62">
        <v>12</v>
      </c>
      <c r="N3" s="63" t="s">
        <v>63</v>
      </c>
    </row>
    <row r="4" spans="1:16">
      <c r="A4" s="73" t="s">
        <v>64</v>
      </c>
      <c r="N4" s="74" t="s">
        <v>90</v>
      </c>
    </row>
    <row r="5" spans="1:16">
      <c r="A5" s="64" t="s">
        <v>65</v>
      </c>
      <c r="B5" s="65">
        <v>3.5227076988220203</v>
      </c>
      <c r="C5" s="65">
        <v>2.1855252626478601</v>
      </c>
      <c r="D5" s="65">
        <v>1.7648233884334499</v>
      </c>
      <c r="E5" s="65">
        <v>1.5608150314807796</v>
      </c>
      <c r="F5" s="65">
        <v>0.78064911618232702</v>
      </c>
      <c r="G5" s="65">
        <v>0.972815857696533</v>
      </c>
      <c r="H5" s="65">
        <v>4.27497959136962</v>
      </c>
      <c r="I5" s="65">
        <v>5.7901986694335905</v>
      </c>
      <c r="J5" s="65">
        <v>3.5462369098663298</v>
      </c>
      <c r="K5" s="65">
        <v>1.54536170578002</v>
      </c>
      <c r="L5" s="65">
        <v>3.0415967521667397</v>
      </c>
      <c r="M5" s="65">
        <v>4.5566454772949196</v>
      </c>
      <c r="N5" s="61">
        <f>SUM(B5:M5)</f>
        <v>33.542355461174189</v>
      </c>
      <c r="O5" s="59">
        <f>N5/8760*1000</f>
        <v>3.8290360115495647</v>
      </c>
    </row>
    <row r="6" spans="1:16">
      <c r="A6" s="64" t="s">
        <v>23</v>
      </c>
      <c r="B6" s="65">
        <v>144.712698876953</v>
      </c>
      <c r="C6" s="65">
        <v>129.27272778320309</v>
      </c>
      <c r="D6" s="65">
        <v>142.84465986328118</v>
      </c>
      <c r="E6" s="65">
        <v>126.51411694335931</v>
      </c>
      <c r="F6" s="65">
        <v>105.49204140624991</v>
      </c>
      <c r="G6" s="65">
        <v>90.6909759277343</v>
      </c>
      <c r="H6" s="65">
        <v>134.373451953125</v>
      </c>
      <c r="I6" s="65">
        <v>142.9759381347655</v>
      </c>
      <c r="J6" s="65">
        <v>141.2450988281249</v>
      </c>
      <c r="K6" s="65">
        <v>145.06331953124987</v>
      </c>
      <c r="L6" s="65">
        <v>140.41230888671859</v>
      </c>
      <c r="M6" s="65">
        <v>145.36945190429682</v>
      </c>
      <c r="N6" s="61">
        <f t="shared" ref="N6:N12" si="0">SUM(B6:M6)</f>
        <v>1588.9667900390614</v>
      </c>
      <c r="O6" s="59">
        <f t="shared" ref="O6:O13" si="1">N6/8760*1000</f>
        <v>181.3889029724956</v>
      </c>
    </row>
    <row r="7" spans="1:16">
      <c r="A7" s="64" t="s">
        <v>66</v>
      </c>
      <c r="B7" s="65">
        <v>198.54330574951101</v>
      </c>
      <c r="C7" s="65">
        <v>159.93199960327098</v>
      </c>
      <c r="D7" s="65">
        <v>174.04530892333901</v>
      </c>
      <c r="E7" s="65">
        <v>142.767755187988</v>
      </c>
      <c r="F7" s="65">
        <v>79.146665631103502</v>
      </c>
      <c r="G7" s="65">
        <v>49.2046671783447</v>
      </c>
      <c r="H7" s="65">
        <v>128.00682596435499</v>
      </c>
      <c r="I7" s="65">
        <v>172.471734228515</v>
      </c>
      <c r="J7" s="65">
        <v>176.544290625</v>
      </c>
      <c r="K7" s="65">
        <v>172.46953457031202</v>
      </c>
      <c r="L7" s="65">
        <v>173.062648535156</v>
      </c>
      <c r="M7" s="65">
        <v>201.42102646484295</v>
      </c>
      <c r="N7" s="61">
        <f t="shared" si="0"/>
        <v>1827.6157626617382</v>
      </c>
      <c r="O7" s="59">
        <f t="shared" si="1"/>
        <v>208.63193637691077</v>
      </c>
      <c r="P7" s="59">
        <f>SUM(B7:M7)</f>
        <v>1827.6157626617382</v>
      </c>
    </row>
    <row r="8" spans="1:16">
      <c r="A8" s="64" t="s">
        <v>21</v>
      </c>
      <c r="B8" s="65">
        <v>30.826760900878899</v>
      </c>
      <c r="C8" s="65">
        <v>26.330560742187494</v>
      </c>
      <c r="D8" s="65">
        <v>25.975250292968699</v>
      </c>
      <c r="E8" s="65">
        <v>21.713142028808498</v>
      </c>
      <c r="F8" s="65">
        <v>15.0045510131835</v>
      </c>
      <c r="G8" s="65">
        <v>0.809349166107177</v>
      </c>
      <c r="H8" s="65">
        <v>22.198525463867099</v>
      </c>
      <c r="I8" s="65">
        <v>29.7045734130859</v>
      </c>
      <c r="J8" s="65">
        <v>30.2218376464843</v>
      </c>
      <c r="K8" s="65">
        <v>29.819654223632803</v>
      </c>
      <c r="L8" s="65">
        <v>29.428260717773398</v>
      </c>
      <c r="M8" s="65">
        <v>32.267627221679597</v>
      </c>
      <c r="N8" s="61">
        <f t="shared" si="0"/>
        <v>294.30009283065738</v>
      </c>
      <c r="O8" s="59">
        <f t="shared" si="1"/>
        <v>33.595901008065916</v>
      </c>
    </row>
    <row r="9" spans="1:16">
      <c r="A9" s="64" t="s">
        <v>67</v>
      </c>
      <c r="B9" s="65">
        <v>0.853397668242454</v>
      </c>
      <c r="C9" s="65">
        <v>0.52988627948760902</v>
      </c>
      <c r="D9" s="65">
        <v>0.24970782291889101</v>
      </c>
      <c r="E9" s="65">
        <v>0.12185146555900501</v>
      </c>
      <c r="F9" s="65">
        <v>9.6793496370315493E-2</v>
      </c>
      <c r="G9" s="65">
        <v>0.31388736279010698</v>
      </c>
      <c r="H9" s="65">
        <v>1.4529870053768099</v>
      </c>
      <c r="I9" s="65">
        <v>2.4963669277191101</v>
      </c>
      <c r="J9" s="65">
        <v>1.39402878437042</v>
      </c>
      <c r="K9" s="65">
        <v>0.47033542900085401</v>
      </c>
      <c r="L9" s="65">
        <v>0.78189575352668717</v>
      </c>
      <c r="M9" s="65">
        <v>1.52366688427925</v>
      </c>
      <c r="N9" s="61">
        <f t="shared" si="0"/>
        <v>10.284804879641511</v>
      </c>
      <c r="O9" s="59">
        <f t="shared" si="1"/>
        <v>1.1740644839773415</v>
      </c>
    </row>
    <row r="10" spans="1:16">
      <c r="A10" s="64" t="s">
        <v>165</v>
      </c>
      <c r="B10" s="65">
        <v>180.14879378662101</v>
      </c>
      <c r="C10" s="65">
        <v>143.86260590209901</v>
      </c>
      <c r="D10" s="65">
        <v>156.332318511962</v>
      </c>
      <c r="E10" s="65">
        <v>127.20097865600501</v>
      </c>
      <c r="F10" s="65">
        <v>70.980345397949208</v>
      </c>
      <c r="G10" s="65">
        <v>47.194445443725492</v>
      </c>
      <c r="H10" s="65">
        <v>107.23869659423801</v>
      </c>
      <c r="I10" s="65">
        <v>141.58512558593699</v>
      </c>
      <c r="J10" s="65">
        <v>148.395824023437</v>
      </c>
      <c r="K10" s="65">
        <v>158.30819062499998</v>
      </c>
      <c r="L10" s="65">
        <v>158.49813046874999</v>
      </c>
      <c r="M10" s="65">
        <v>181.95498759765599</v>
      </c>
    </row>
    <row r="11" spans="1:16">
      <c r="A11" s="64" t="s">
        <v>68</v>
      </c>
      <c r="B11" s="65">
        <v>0.42568185787200802</v>
      </c>
      <c r="C11" s="65">
        <v>0.16049421920776349</v>
      </c>
      <c r="D11" s="65">
        <v>1.5284371852874749E-3</v>
      </c>
      <c r="E11" s="65">
        <v>0</v>
      </c>
      <c r="F11" s="65">
        <v>0</v>
      </c>
      <c r="G11" s="65">
        <v>0.13378474454879752</v>
      </c>
      <c r="H11" s="65">
        <v>0.451879600524901</v>
      </c>
      <c r="I11" s="65">
        <v>1.9356854381084441</v>
      </c>
      <c r="J11" s="65">
        <v>0.27789785704612702</v>
      </c>
      <c r="K11" s="65">
        <v>2.2466506648063499E-2</v>
      </c>
      <c r="L11" s="65">
        <v>4.1072986125945905E-2</v>
      </c>
      <c r="M11" s="65">
        <v>0.39860494832992399</v>
      </c>
      <c r="N11" s="61">
        <f t="shared" si="0"/>
        <v>3.849096595597262</v>
      </c>
      <c r="O11" s="59">
        <f t="shared" si="1"/>
        <v>0.43939458853850022</v>
      </c>
    </row>
    <row r="12" spans="1:16">
      <c r="A12" s="64" t="s">
        <v>69</v>
      </c>
      <c r="B12" s="65">
        <v>6.0548809720992907</v>
      </c>
      <c r="C12" s="65">
        <v>3.20864543704986</v>
      </c>
      <c r="D12" s="65">
        <v>0.62320754547119095</v>
      </c>
      <c r="E12" s="65">
        <v>0.35614857139587297</v>
      </c>
      <c r="F12" s="65">
        <v>0.16541411037445061</v>
      </c>
      <c r="G12" s="65">
        <v>1.4780205221176139</v>
      </c>
      <c r="H12" s="65">
        <v>9.4195541438102701</v>
      </c>
      <c r="I12" s="65">
        <v>21.016874869537197</v>
      </c>
      <c r="J12" s="65">
        <v>7.3903343630790594</v>
      </c>
      <c r="K12" s="65">
        <v>1.271108094787597</v>
      </c>
      <c r="L12" s="65">
        <v>2.9525146976470902</v>
      </c>
      <c r="M12" s="65">
        <v>9.4028033203124899</v>
      </c>
      <c r="N12" s="61">
        <f t="shared" si="0"/>
        <v>63.339506647681986</v>
      </c>
      <c r="O12" s="59">
        <f t="shared" si="1"/>
        <v>7.230537288548172</v>
      </c>
    </row>
    <row r="13" spans="1:16">
      <c r="A13" s="64" t="s">
        <v>223</v>
      </c>
      <c r="B13" s="66">
        <v>-1.9340625E-2</v>
      </c>
      <c r="C13" s="66">
        <v>-1.9293749999999998E-2</v>
      </c>
      <c r="D13" s="66">
        <v>-2.1434374999999999E-2</v>
      </c>
      <c r="E13" s="66">
        <v>-2.1628125000000002E-2</v>
      </c>
      <c r="F13" s="66">
        <v>-1.9846875E-2</v>
      </c>
      <c r="G13" s="66">
        <v>-1.6562500000000001E-2</v>
      </c>
      <c r="H13" s="66">
        <v>-1.9324999999999998E-2</v>
      </c>
      <c r="I13" s="66">
        <v>-2.2096875000000002E-2</v>
      </c>
      <c r="J13" s="66">
        <v>-2.1825000000000001E-2</v>
      </c>
      <c r="K13" s="66">
        <v>-2.2421875000000001E-2</v>
      </c>
      <c r="L13" s="66">
        <v>-2.1618749999999999E-2</v>
      </c>
      <c r="M13" s="66">
        <v>-2.2762499999999998E-2</v>
      </c>
      <c r="N13" s="67">
        <f>SUM(N5:N12)</f>
        <v>3821.8984091155512</v>
      </c>
      <c r="O13" s="59">
        <f t="shared" si="1"/>
        <v>436.28977273008576</v>
      </c>
    </row>
    <row r="14" spans="1:16">
      <c r="A14" s="64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7"/>
    </row>
    <row r="15" spans="1:16">
      <c r="A15" s="64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7" t="e">
        <f>SUM(#REF!)</f>
        <v>#REF!</v>
      </c>
    </row>
    <row r="16" spans="1:16">
      <c r="A16" s="73" t="s">
        <v>70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6"/>
    </row>
    <row r="17" spans="1:15">
      <c r="A17" s="64" t="s">
        <v>65</v>
      </c>
      <c r="B17" s="65">
        <v>102.791586875915</v>
      </c>
      <c r="C17" s="65">
        <v>63.600616617128203</v>
      </c>
      <c r="D17" s="65">
        <v>50.208132132887798</v>
      </c>
      <c r="E17" s="65">
        <v>38.724027463793703</v>
      </c>
      <c r="F17" s="65">
        <v>19.323229479044599</v>
      </c>
      <c r="G17" s="65">
        <v>24.4505719684064</v>
      </c>
      <c r="H17" s="65">
        <v>107.30566711425701</v>
      </c>
      <c r="I17" s="65">
        <v>146.97928237914999</v>
      </c>
      <c r="J17" s="65">
        <v>89.984589350223501</v>
      </c>
      <c r="K17" s="65">
        <v>39.4791950792074</v>
      </c>
      <c r="L17" s="65">
        <v>81.701994854211804</v>
      </c>
      <c r="M17" s="65">
        <v>130.065117025375</v>
      </c>
      <c r="N17" s="66">
        <f>SUM(B17:M17)</f>
        <v>894.61401033960033</v>
      </c>
    </row>
    <row r="18" spans="1:15">
      <c r="A18" s="64" t="s">
        <v>23</v>
      </c>
      <c r="B18" s="65">
        <v>2036.5970840120817</v>
      </c>
      <c r="C18" s="65">
        <v>1899.3361064577607</v>
      </c>
      <c r="D18" s="65">
        <v>2022.3068259859588</v>
      </c>
      <c r="E18" s="65">
        <v>1877.7989829683797</v>
      </c>
      <c r="F18" s="65">
        <v>1694.7198897982148</v>
      </c>
      <c r="G18" s="65">
        <v>1567.7791011477025</v>
      </c>
      <c r="H18" s="65">
        <v>1987.6046304600609</v>
      </c>
      <c r="I18" s="65">
        <v>2059.9377004521266</v>
      </c>
      <c r="J18" s="65">
        <v>2041.7630666630639</v>
      </c>
      <c r="K18" s="65">
        <v>2078.0446622746367</v>
      </c>
      <c r="L18" s="65">
        <v>2034.8850164311298</v>
      </c>
      <c r="M18" s="65">
        <v>2081.0066244023219</v>
      </c>
      <c r="N18" s="66">
        <f t="shared" ref="N18:N24" si="2">SUM(B18:M18)</f>
        <v>23381.779691053434</v>
      </c>
    </row>
    <row r="19" spans="1:15">
      <c r="A19" s="64" t="s">
        <v>66</v>
      </c>
      <c r="B19" s="65">
        <v>4305.4460881970235</v>
      </c>
      <c r="C19" s="65">
        <v>3453.800884329984</v>
      </c>
      <c r="D19" s="65">
        <v>3680.8380276228354</v>
      </c>
      <c r="E19" s="65">
        <v>2643.425260007029</v>
      </c>
      <c r="F19" s="65">
        <v>1476.5940992015749</v>
      </c>
      <c r="G19" s="65">
        <v>929.85418456333707</v>
      </c>
      <c r="H19" s="65">
        <v>2426.9494677620519</v>
      </c>
      <c r="I19" s="65">
        <v>3294.6250499735643</v>
      </c>
      <c r="J19" s="65">
        <v>3364.6107474835085</v>
      </c>
      <c r="K19" s="65">
        <v>3292.0244895748388</v>
      </c>
      <c r="L19" s="65">
        <v>3477.6606980995307</v>
      </c>
      <c r="M19" s="65">
        <v>4278.7519830791043</v>
      </c>
      <c r="N19" s="66">
        <f t="shared" si="2"/>
        <v>36624.580979894388</v>
      </c>
      <c r="O19" s="59">
        <f>N19/8760*1000</f>
        <v>4180.8882397139705</v>
      </c>
    </row>
    <row r="20" spans="1:15">
      <c r="A20" s="64" t="s">
        <v>21</v>
      </c>
      <c r="B20" s="65">
        <v>601.02656974792399</v>
      </c>
      <c r="C20" s="65">
        <v>516.25557765960696</v>
      </c>
      <c r="D20" s="65">
        <v>510.63602371215802</v>
      </c>
      <c r="E20" s="65">
        <v>437.11203536987301</v>
      </c>
      <c r="F20" s="65">
        <v>305.51658382415701</v>
      </c>
      <c r="G20" s="65">
        <v>16.343884479999499</v>
      </c>
      <c r="H20" s="65">
        <v>418.52077522277801</v>
      </c>
      <c r="I20" s="65">
        <v>554.29263610839803</v>
      </c>
      <c r="J20" s="65">
        <v>563.60061264037995</v>
      </c>
      <c r="K20" s="65">
        <v>557.67630691528302</v>
      </c>
      <c r="L20" s="65">
        <v>549.03595046996998</v>
      </c>
      <c r="M20" s="65">
        <v>600.126609039306</v>
      </c>
      <c r="N20" s="66">
        <f t="shared" si="2"/>
        <v>5630.1435651898337</v>
      </c>
      <c r="O20" s="59">
        <f>N20/8760*1000</f>
        <v>642.71045264724125</v>
      </c>
    </row>
    <row r="21" spans="1:15">
      <c r="A21" s="64" t="s">
        <v>67</v>
      </c>
      <c r="B21" s="65">
        <v>24.0887436181306</v>
      </c>
      <c r="C21" s="65">
        <v>14.982439028471701</v>
      </c>
      <c r="D21" s="65">
        <v>6.8872597016394099</v>
      </c>
      <c r="E21" s="65">
        <v>2.9321877596899801</v>
      </c>
      <c r="F21" s="65">
        <v>2.3287852471694301</v>
      </c>
      <c r="G21" s="65">
        <v>7.6456091890111502</v>
      </c>
      <c r="H21" s="65">
        <v>35.334506844729098</v>
      </c>
      <c r="I21" s="65">
        <v>61.424971824884402</v>
      </c>
      <c r="J21" s="65">
        <v>34.283374915271999</v>
      </c>
      <c r="K21" s="65">
        <v>11.626196282356901</v>
      </c>
      <c r="L21" s="65">
        <v>20.357256922125799</v>
      </c>
      <c r="M21" s="65">
        <v>42.184707249700999</v>
      </c>
      <c r="N21" s="66">
        <f t="shared" si="2"/>
        <v>264.07603858318146</v>
      </c>
      <c r="O21" s="59">
        <f>N21/8760*1000</f>
        <v>30.145666504929391</v>
      </c>
    </row>
    <row r="22" spans="1:15">
      <c r="A22" s="64" t="s">
        <v>165</v>
      </c>
      <c r="B22" s="65">
        <v>4006.5201633850202</v>
      </c>
      <c r="C22" s="65">
        <v>3190.5247624383414</v>
      </c>
      <c r="D22" s="65">
        <v>3409.4053344245795</v>
      </c>
      <c r="E22" s="65">
        <v>2434.7016179607322</v>
      </c>
      <c r="F22" s="65">
        <v>1380.5715800911487</v>
      </c>
      <c r="G22" s="65">
        <v>937.70021384157872</v>
      </c>
      <c r="H22" s="65">
        <v>2120.7614816806204</v>
      </c>
      <c r="I22" s="65">
        <v>2819.1496793990223</v>
      </c>
      <c r="J22" s="65">
        <v>2936.9048125248996</v>
      </c>
      <c r="K22" s="65">
        <v>3122.4521307323162</v>
      </c>
      <c r="L22" s="65">
        <v>3277.8197112992766</v>
      </c>
      <c r="M22" s="65">
        <v>3969.0352706796948</v>
      </c>
      <c r="N22" s="66"/>
    </row>
    <row r="23" spans="1:15">
      <c r="A23" s="64" t="s">
        <v>68</v>
      </c>
      <c r="B23" s="65">
        <v>17.7977991580963</v>
      </c>
      <c r="C23" s="65">
        <v>6.6583452701568504</v>
      </c>
      <c r="D23" s="65">
        <v>5.9568136930465601E-2</v>
      </c>
      <c r="E23" s="65">
        <v>0</v>
      </c>
      <c r="F23" s="65">
        <v>0</v>
      </c>
      <c r="G23" s="65">
        <v>4.8285612165927798</v>
      </c>
      <c r="H23" s="65">
        <v>16.27833171188831</v>
      </c>
      <c r="I23" s="65">
        <v>70.579886247217502</v>
      </c>
      <c r="J23" s="65">
        <v>10.112445612251751</v>
      </c>
      <c r="K23" s="65">
        <v>0.82482577040791405</v>
      </c>
      <c r="L23" s="65">
        <v>1.5896598786115641</v>
      </c>
      <c r="M23" s="65">
        <v>16.46247282624244</v>
      </c>
      <c r="N23" s="66">
        <f t="shared" si="2"/>
        <v>145.19189582839587</v>
      </c>
    </row>
    <row r="24" spans="1:15">
      <c r="A24" s="64" t="s">
        <v>69</v>
      </c>
      <c r="B24" s="65">
        <v>223.28539506936008</v>
      </c>
      <c r="C24" s="65">
        <v>118.48090639183505</v>
      </c>
      <c r="D24" s="65">
        <v>23.087938644838228</v>
      </c>
      <c r="E24" s="65">
        <v>11.733749885702119</v>
      </c>
      <c r="F24" s="65">
        <v>5.4241707542657709</v>
      </c>
      <c r="G24" s="65">
        <v>48.478811356425176</v>
      </c>
      <c r="H24" s="65">
        <v>312.15661404206082</v>
      </c>
      <c r="I24" s="65">
        <v>701.24566244048935</v>
      </c>
      <c r="J24" s="65">
        <v>249.3027127127402</v>
      </c>
      <c r="K24" s="65">
        <v>45.095798382163004</v>
      </c>
      <c r="L24" s="65">
        <v>107.32447718596447</v>
      </c>
      <c r="M24" s="65">
        <v>348.55520675868877</v>
      </c>
      <c r="N24" s="66">
        <f t="shared" si="2"/>
        <v>2194.1714436245329</v>
      </c>
    </row>
    <row r="25" spans="1:15">
      <c r="A25" s="64" t="s">
        <v>223</v>
      </c>
      <c r="B25" s="66">
        <v>0</v>
      </c>
      <c r="C25" s="66">
        <v>0</v>
      </c>
      <c r="D25" s="66">
        <v>0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7">
        <f>SUM(N17:N24)</f>
        <v>69134.557624513371</v>
      </c>
    </row>
    <row r="26" spans="1:15">
      <c r="A26" s="64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7"/>
    </row>
    <row r="27" spans="1:15">
      <c r="A27" s="73" t="s">
        <v>71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6"/>
    </row>
    <row r="28" spans="1:15">
      <c r="A28" s="64" t="s">
        <v>72</v>
      </c>
      <c r="B28" s="66">
        <v>13.926329048502401</v>
      </c>
      <c r="C28" s="59">
        <v>23.206603829145394</v>
      </c>
      <c r="D28" s="59">
        <v>19.1242645106196</v>
      </c>
      <c r="E28" s="59">
        <v>2.6476780178874701</v>
      </c>
      <c r="F28" s="65">
        <v>1.2411837865442001</v>
      </c>
      <c r="G28" s="65">
        <v>17.697875790119099</v>
      </c>
      <c r="H28" s="65">
        <v>25.333146915435702</v>
      </c>
      <c r="I28" s="65">
        <v>59.936134396362299</v>
      </c>
      <c r="J28" s="65">
        <v>27.292485678215304</v>
      </c>
      <c r="K28" s="65">
        <v>32.821486838674502</v>
      </c>
      <c r="L28" s="65">
        <v>25.348121315002405</v>
      </c>
      <c r="M28" s="65">
        <v>15.291964850234899</v>
      </c>
      <c r="N28" s="66">
        <f>SUM(B28:M28)</f>
        <v>263.86727497674326</v>
      </c>
    </row>
    <row r="29" spans="1:15">
      <c r="A29" s="64" t="s">
        <v>73</v>
      </c>
      <c r="B29" s="66">
        <v>-120.63673487548799</v>
      </c>
      <c r="C29" s="65">
        <v>-92.630437017822203</v>
      </c>
      <c r="D29" s="59">
        <v>-121.823562609863</v>
      </c>
      <c r="E29" s="59">
        <v>-261.92889492187504</v>
      </c>
      <c r="F29" s="65">
        <v>-253.31110322265599</v>
      </c>
      <c r="G29" s="65">
        <v>-164.12097578125</v>
      </c>
      <c r="H29" s="65">
        <v>-130.457573730468</v>
      </c>
      <c r="I29" s="65">
        <v>-71.685591088867199</v>
      </c>
      <c r="J29" s="65">
        <v>-98.623202392578094</v>
      </c>
      <c r="K29" s="65">
        <v>-74.273213134765598</v>
      </c>
      <c r="L29" s="65">
        <v>-109.328894726562</v>
      </c>
      <c r="M29" s="65">
        <v>-150.85746074218699</v>
      </c>
      <c r="N29" s="66">
        <f>SUM(B29:M29)</f>
        <v>-1649.677644244382</v>
      </c>
    </row>
    <row r="30" spans="1:15"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7">
        <f>SUM(B28:B29)</f>
        <v>-106.71040582698559</v>
      </c>
      <c r="O30" s="59">
        <f>N30/8.76</f>
        <v>-12.181553176596529</v>
      </c>
    </row>
    <row r="31" spans="1:15">
      <c r="A31" s="73" t="s">
        <v>74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6"/>
    </row>
    <row r="32" spans="1:15">
      <c r="A32" s="64" t="s">
        <v>72</v>
      </c>
      <c r="B32" s="61">
        <v>329.41052457690199</v>
      </c>
      <c r="C32" s="59">
        <v>451.59333092570301</v>
      </c>
      <c r="D32" s="59">
        <v>369.31435238942498</v>
      </c>
      <c r="E32" s="59">
        <v>42.611814026627599</v>
      </c>
      <c r="F32" s="65">
        <v>21.971305883256701</v>
      </c>
      <c r="G32" s="65">
        <v>410.80603456403998</v>
      </c>
      <c r="H32" s="65">
        <v>704.80326130390097</v>
      </c>
      <c r="I32" s="65">
        <v>1638.56101512908</v>
      </c>
      <c r="J32" s="65">
        <v>763.02443327086496</v>
      </c>
      <c r="K32" s="65">
        <v>849.668470986187</v>
      </c>
      <c r="L32" s="65">
        <v>675.42180030345901</v>
      </c>
      <c r="M32" s="65">
        <v>426.12697530984798</v>
      </c>
      <c r="N32" s="66">
        <f>SUM(B32:M32)</f>
        <v>6683.3133186692949</v>
      </c>
    </row>
    <row r="33" spans="1:14">
      <c r="A33" s="64" t="s">
        <v>73</v>
      </c>
      <c r="B33" s="61">
        <v>-3743.0907855987498</v>
      </c>
      <c r="C33" s="59">
        <v>-2679.6310303688001</v>
      </c>
      <c r="D33" s="59">
        <v>-3309.0545468330301</v>
      </c>
      <c r="E33" s="59">
        <v>-5887.5823577880801</v>
      </c>
      <c r="F33" s="65">
        <v>-4720.6863639831499</v>
      </c>
      <c r="G33" s="65">
        <v>-2429.7997030735</v>
      </c>
      <c r="H33" s="65">
        <v>-3334.98397407531</v>
      </c>
      <c r="I33" s="65">
        <v>-2256.4161582946699</v>
      </c>
      <c r="J33" s="65">
        <v>-2844.4877883911099</v>
      </c>
      <c r="K33" s="65">
        <v>-1915.9389669418299</v>
      </c>
      <c r="L33" s="65">
        <v>-3096.5875244140602</v>
      </c>
      <c r="M33" s="65">
        <v>-4911.3587356567296</v>
      </c>
      <c r="N33" s="66">
        <f>SUM(B33:M33)</f>
        <v>-41129.617935419017</v>
      </c>
    </row>
    <row r="34" spans="1:14">
      <c r="N34" s="67">
        <f>SUM(N32:N33)</f>
        <v>-34446.304616749723</v>
      </c>
    </row>
    <row r="36" spans="1:14">
      <c r="M36" s="68" t="s">
        <v>91</v>
      </c>
      <c r="N36" s="67">
        <f>N25+N34</f>
        <v>34688.253007763647</v>
      </c>
    </row>
  </sheetData>
  <phoneticPr fontId="6" type="noConversion"/>
  <pageMargins left="0.75" right="0.75" top="1" bottom="1" header="0.5" footer="0.5"/>
  <pageSetup scale="76" orientation="landscape" r:id="rId1"/>
  <headerFooter alignWithMargins="0">
    <oddFooter>&amp;L&amp;"Geneva,Bold Italic"&amp;9&amp;F &amp;A&amp;R&amp;"Geneva,Bold Italic"&amp;9&amp;D WGJ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218176324CF6849A8986D4A702B20CC" ma:contentTypeVersion="104" ma:contentTypeDescription="" ma:contentTypeScope="" ma:versionID="97424a1e254364ebc1c868c518289af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2016-02-19T08:00:00+00:00</OpenedDate>
    <Date1 xmlns="dc463f71-b30c-4ab2-9473-d307f9d35888">2016-02-19T08:00:00+00:00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160229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40033AD5-B224-4BC2-B05B-EDF71D1CD1E4}"/>
</file>

<file path=customXml/itemProps2.xml><?xml version="1.0" encoding="utf-8"?>
<ds:datastoreItem xmlns:ds="http://schemas.openxmlformats.org/officeDocument/2006/customXml" ds:itemID="{AFA3D24D-EFFF-436E-804A-8887BBD50C2E}"/>
</file>

<file path=customXml/itemProps3.xml><?xml version="1.0" encoding="utf-8"?>
<ds:datastoreItem xmlns:ds="http://schemas.openxmlformats.org/officeDocument/2006/customXml" ds:itemID="{BCD2C56E-EF06-4469-8BFC-30C2430D4C00}"/>
</file>

<file path=customXml/itemProps4.xml><?xml version="1.0" encoding="utf-8"?>
<ds:datastoreItem xmlns:ds="http://schemas.openxmlformats.org/officeDocument/2006/customXml" ds:itemID="{D5FF6690-3CFE-4276-86B1-DE97133839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WGJ-2</vt:lpstr>
      <vt:lpstr>WGJ-4</vt:lpstr>
      <vt:lpstr>WGJ-5</vt:lpstr>
      <vt:lpstr>Index</vt:lpstr>
      <vt:lpstr>Aurora</vt:lpstr>
      <vt:lpstr>Index!Print_Area</vt:lpstr>
      <vt:lpstr>'WGJ-2'!Print_Area</vt:lpstr>
      <vt:lpstr>'WGJ-4'!Print_Area</vt:lpstr>
      <vt:lpstr>'WGJ-5'!Print_Area</vt:lpstr>
      <vt:lpstr>'WGJ-2'!Print_Titles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Resources</dc:creator>
  <cp:lastModifiedBy>jzlfgj</cp:lastModifiedBy>
  <cp:lastPrinted>2016-02-09T16:13:25Z</cp:lastPrinted>
  <dcterms:created xsi:type="dcterms:W3CDTF">1998-10-07T00:01:47Z</dcterms:created>
  <dcterms:modified xsi:type="dcterms:W3CDTF">2016-02-09T16:13:31Z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0x0101006E56B4D1795A2E4DB2F0B01679ED314A005218176324CF6849A8986D4A702B20CC</vt:lpwstr>
  </property>
  <property fmtid="{D5CDD505-2E9C-101B-9397-08002B2CF9AE}" pid="3" name="_docset_NoMedatataSyncRequired">
    <vt:lpwstr>False</vt:lpwstr>
  </property>
</Properties>
</file>