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home.utc.wa.gov/sites/ue-200900/Staffs Testimony and Exhibits/"/>
    </mc:Choice>
  </mc:AlternateContent>
  <xr:revisionPtr revIDLastSave="0" documentId="13_ncr:1_{AD058BD7-4921-4A39-BCF3-B3B06054256D}" xr6:coauthVersionLast="46" xr6:coauthVersionMax="46" xr10:uidLastSave="{00000000-0000-0000-0000-000000000000}"/>
  <bookViews>
    <workbookView xWindow="-120" yWindow="-120" windowWidth="29040" windowHeight="17640" activeTab="1" xr2:uid="{63B63319-07AE-496D-AD94-8DCF1D109323}"/>
  </bookViews>
  <sheets>
    <sheet name="Exh BAE-2, 3.03 E-ARAM" sheetId="3" r:id="rId1"/>
    <sheet name="Exh BAE-3, 3.03 G-ARAM" sheetId="4" r:id="rId2"/>
    <sheet name="Adj Using Flow-Thru Detail" sheetId="1" r:id="rId3"/>
    <sheet name="ARAM Allocation" sheetId="2" r:id="rId4"/>
  </sheets>
  <externalReferences>
    <externalReference r:id="rId5"/>
    <externalReference r:id="rId6"/>
    <externalReference r:id="rId7"/>
  </externalReferences>
  <definedNames>
    <definedName name="_Fill" localSheetId="3" hidden="1">#REF!</definedName>
    <definedName name="_Fill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xlnm.Print_Area" localSheetId="2">'Adj Using Flow-Thru Detail'!$A$1:$X$31</definedName>
    <definedName name="_xlnm.Print_Area" localSheetId="3">'ARAM Allocation'!$A$5:$J$50</definedName>
    <definedName name="_xlnm.Print_Area" localSheetId="0">'Exh BAE-2, 3.03 E-ARAM'!$A$1:$I$84</definedName>
    <definedName name="_xlnm.Print_Area" localSheetId="1">'Exh BAE-3, 3.03 G-ARAM'!$A$1:$I$83</definedName>
    <definedName name="TB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4" l="1"/>
  <c r="I88" i="4"/>
  <c r="I89" i="3"/>
  <c r="I88" i="3"/>
  <c r="H54" i="3"/>
  <c r="T16" i="1"/>
  <c r="G89" i="3" l="1"/>
  <c r="G89" i="4" l="1"/>
  <c r="G55" i="4"/>
  <c r="H55" i="4"/>
  <c r="H71" i="4"/>
  <c r="H65" i="4"/>
  <c r="H72" i="4" s="1"/>
  <c r="H74" i="4" s="1"/>
  <c r="H81" i="4" s="1"/>
  <c r="H47" i="4"/>
  <c r="H36" i="4"/>
  <c r="H30" i="4"/>
  <c r="H24" i="4"/>
  <c r="H48" i="4" s="1"/>
  <c r="H17" i="4"/>
  <c r="H50" i="4" l="1"/>
  <c r="H54" i="4"/>
  <c r="H53" i="4" l="1"/>
  <c r="H58" i="4"/>
  <c r="H88" i="4" s="1"/>
  <c r="H89" i="4" l="1"/>
  <c r="E86" i="4"/>
  <c r="G83" i="3"/>
  <c r="G54" i="3"/>
  <c r="H73" i="3"/>
  <c r="H66" i="3"/>
  <c r="H74" i="3" s="1"/>
  <c r="H77" i="3" s="1"/>
  <c r="H81" i="3" s="1"/>
  <c r="H46" i="3"/>
  <c r="H47" i="3" s="1"/>
  <c r="H35" i="3"/>
  <c r="H28" i="3"/>
  <c r="H17" i="3"/>
  <c r="H19" i="3" s="1"/>
  <c r="H49" i="3" s="1"/>
  <c r="E87" i="4"/>
  <c r="G71" i="4"/>
  <c r="G65" i="4"/>
  <c r="G47" i="4"/>
  <c r="G36" i="4"/>
  <c r="G30" i="4"/>
  <c r="G24" i="4"/>
  <c r="G48" i="4" s="1"/>
  <c r="G17" i="4"/>
  <c r="G73" i="3"/>
  <c r="G66" i="3"/>
  <c r="G74" i="3" s="1"/>
  <c r="G77" i="3" s="1"/>
  <c r="G81" i="3" s="1"/>
  <c r="G46" i="3"/>
  <c r="G47" i="3" s="1"/>
  <c r="G35" i="3"/>
  <c r="G28" i="3"/>
  <c r="G19" i="3"/>
  <c r="G17" i="3"/>
  <c r="H83" i="4" l="1"/>
  <c r="H53" i="3"/>
  <c r="H52" i="3"/>
  <c r="G72" i="4"/>
  <c r="G74" i="4" s="1"/>
  <c r="G81" i="4" s="1"/>
  <c r="G50" i="4"/>
  <c r="G49" i="3"/>
  <c r="H57" i="3" l="1"/>
  <c r="H88" i="3" s="1"/>
  <c r="G53" i="4"/>
  <c r="G58" i="4" s="1"/>
  <c r="G88" i="4" s="1"/>
  <c r="G52" i="3"/>
  <c r="G57" i="3" s="1"/>
  <c r="G88" i="3" s="1"/>
  <c r="H89" i="3" l="1"/>
  <c r="E23" i="1"/>
  <c r="E16" i="1"/>
  <c r="H5" i="1"/>
  <c r="E21" i="1"/>
  <c r="E20" i="1"/>
  <c r="E19" i="1"/>
  <c r="E18" i="1"/>
  <c r="C18" i="1" s="1"/>
  <c r="H18" i="1" s="1"/>
  <c r="E17" i="1"/>
  <c r="C17" i="1" s="1"/>
  <c r="H17" i="1" s="1"/>
  <c r="G45" i="2"/>
  <c r="F45" i="2"/>
  <c r="D45" i="2"/>
  <c r="C45" i="2"/>
  <c r="G44" i="2"/>
  <c r="F44" i="2"/>
  <c r="D44" i="2"/>
  <c r="C44" i="2"/>
  <c r="G43" i="2"/>
  <c r="F43" i="2"/>
  <c r="D43" i="2"/>
  <c r="C43" i="2"/>
  <c r="G42" i="2"/>
  <c r="F42" i="2"/>
  <c r="D42" i="2"/>
  <c r="C42" i="2"/>
  <c r="G41" i="2"/>
  <c r="F41" i="2"/>
  <c r="D41" i="2"/>
  <c r="C41" i="2"/>
  <c r="G40" i="2"/>
  <c r="F40" i="2"/>
  <c r="D40" i="2"/>
  <c r="C40" i="2"/>
  <c r="G39" i="2"/>
  <c r="F39" i="2"/>
  <c r="F47" i="2" s="1"/>
  <c r="D39" i="2"/>
  <c r="D47" i="2" s="1"/>
  <c r="C39" i="2"/>
  <c r="J34" i="2"/>
  <c r="I34" i="2"/>
  <c r="G33" i="2"/>
  <c r="G35" i="2" s="1"/>
  <c r="F33" i="2"/>
  <c r="F35" i="2" s="1"/>
  <c r="D33" i="2"/>
  <c r="D35" i="2" s="1"/>
  <c r="C33" i="2"/>
  <c r="C35" i="2" s="1"/>
  <c r="J32" i="2"/>
  <c r="I32" i="2"/>
  <c r="J31" i="2"/>
  <c r="I31" i="2"/>
  <c r="J30" i="2"/>
  <c r="I30" i="2"/>
  <c r="J29" i="2"/>
  <c r="I29" i="2"/>
  <c r="J28" i="2"/>
  <c r="J43" i="2" s="1"/>
  <c r="I28" i="2"/>
  <c r="I43" i="2" s="1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J40" i="2" s="1"/>
  <c r="I12" i="2"/>
  <c r="I40" i="2" s="1"/>
  <c r="J11" i="2"/>
  <c r="I11" i="2"/>
  <c r="J10" i="2"/>
  <c r="I10" i="2"/>
  <c r="I44" i="2" s="1"/>
  <c r="J9" i="2"/>
  <c r="I9" i="2"/>
  <c r="J8" i="2"/>
  <c r="J45" i="2" s="1"/>
  <c r="I8" i="2"/>
  <c r="I45" i="2" s="1"/>
  <c r="J7" i="2"/>
  <c r="I7" i="2"/>
  <c r="J6" i="2"/>
  <c r="I6" i="2"/>
  <c r="H83" i="3" l="1"/>
  <c r="C47" i="2"/>
  <c r="T17" i="1"/>
  <c r="U17" i="1"/>
  <c r="T18" i="1"/>
  <c r="U18" i="1"/>
  <c r="G47" i="2"/>
  <c r="G48" i="2" s="1"/>
  <c r="J44" i="2"/>
  <c r="I39" i="2"/>
  <c r="I41" i="2"/>
  <c r="J41" i="2"/>
  <c r="I33" i="2"/>
  <c r="I35" i="2" s="1"/>
  <c r="J42" i="2"/>
  <c r="J39" i="2"/>
  <c r="I42" i="2"/>
  <c r="J33" i="2"/>
  <c r="C48" i="2"/>
  <c r="D48" i="2"/>
  <c r="F48" i="2"/>
  <c r="J47" i="2" l="1"/>
  <c r="J50" i="2" s="1"/>
  <c r="I47" i="2"/>
  <c r="I48" i="2"/>
  <c r="I50" i="2"/>
  <c r="G50" i="2" s="1"/>
  <c r="J48" i="2"/>
  <c r="J35" i="2"/>
  <c r="E22" i="1" l="1"/>
  <c r="E24" i="1" s="1"/>
  <c r="Q19" i="1" l="1"/>
  <c r="P19" i="1"/>
  <c r="O16" i="1"/>
  <c r="N16" i="1"/>
  <c r="D16" i="1" l="1"/>
  <c r="C16" i="1" s="1"/>
  <c r="D19" i="1"/>
  <c r="D20" i="1"/>
  <c r="D21" i="1"/>
  <c r="D22" i="1"/>
  <c r="D23" i="1"/>
  <c r="G16" i="1"/>
  <c r="G19" i="1"/>
  <c r="G20" i="1"/>
  <c r="G21" i="1"/>
  <c r="G22" i="1"/>
  <c r="G23" i="1"/>
  <c r="H16" i="1" l="1"/>
  <c r="F24" i="1"/>
  <c r="O23" i="1"/>
  <c r="N23" i="1"/>
  <c r="C23" i="1"/>
  <c r="H23" i="1" s="1"/>
  <c r="O22" i="1"/>
  <c r="N22" i="1"/>
  <c r="C22" i="1"/>
  <c r="H22" i="1" s="1"/>
  <c r="Q21" i="1"/>
  <c r="Q22" i="1" s="1"/>
  <c r="P21" i="1"/>
  <c r="P22" i="1" s="1"/>
  <c r="O21" i="1"/>
  <c r="N21" i="1"/>
  <c r="C20" i="1"/>
  <c r="H20" i="1" s="1"/>
  <c r="C19" i="1"/>
  <c r="H19" i="1" s="1"/>
  <c r="G24" i="1"/>
  <c r="D24" i="1"/>
  <c r="G11" i="1"/>
  <c r="F11" i="1"/>
  <c r="E11" i="1"/>
  <c r="D11" i="1"/>
  <c r="C11" i="1"/>
  <c r="O10" i="1"/>
  <c r="N10" i="1"/>
  <c r="T10" i="1" s="1"/>
  <c r="H10" i="1"/>
  <c r="W10" i="1" s="1"/>
  <c r="O9" i="1"/>
  <c r="N9" i="1"/>
  <c r="H9" i="1"/>
  <c r="X9" i="1" s="1"/>
  <c r="Q8" i="1"/>
  <c r="Q9" i="1" s="1"/>
  <c r="P8" i="1"/>
  <c r="P9" i="1" s="1"/>
  <c r="O8" i="1"/>
  <c r="N8" i="1"/>
  <c r="H8" i="1"/>
  <c r="H7" i="1"/>
  <c r="W7" i="1" s="1"/>
  <c r="H6" i="1"/>
  <c r="U5" i="1"/>
  <c r="U6" i="1" l="1"/>
  <c r="H11" i="1"/>
  <c r="U8" i="1"/>
  <c r="T9" i="1"/>
  <c r="U10" i="1"/>
  <c r="U9" i="1"/>
  <c r="V10" i="1"/>
  <c r="V9" i="1"/>
  <c r="V8" i="1"/>
  <c r="V7" i="1"/>
  <c r="X7" i="1"/>
  <c r="G26" i="1"/>
  <c r="D26" i="1"/>
  <c r="W23" i="1"/>
  <c r="V23" i="1"/>
  <c r="U23" i="1"/>
  <c r="T23" i="1"/>
  <c r="X20" i="1"/>
  <c r="W20" i="1"/>
  <c r="V20" i="1"/>
  <c r="U20" i="1"/>
  <c r="T20" i="1"/>
  <c r="W19" i="1"/>
  <c r="V19" i="1"/>
  <c r="U19" i="1"/>
  <c r="T19" i="1"/>
  <c r="W22" i="1"/>
  <c r="V22" i="1"/>
  <c r="T22" i="1"/>
  <c r="U22" i="1"/>
  <c r="X22" i="1"/>
  <c r="V6" i="1"/>
  <c r="W8" i="1"/>
  <c r="W6" i="1"/>
  <c r="W9" i="1"/>
  <c r="C21" i="1"/>
  <c r="H21" i="1" s="1"/>
  <c r="T5" i="1"/>
  <c r="T7" i="1"/>
  <c r="E26" i="1"/>
  <c r="E30" i="1" s="1"/>
  <c r="X8" i="1"/>
  <c r="X11" i="1" s="1"/>
  <c r="U7" i="1"/>
  <c r="U11" i="1" s="1"/>
  <c r="T8" i="1"/>
  <c r="T6" i="1"/>
  <c r="T11" i="1" l="1"/>
  <c r="V11" i="1"/>
  <c r="C24" i="1"/>
  <c r="W11" i="1"/>
  <c r="T21" i="1"/>
  <c r="X21" i="1"/>
  <c r="X24" i="1" s="1"/>
  <c r="W21" i="1"/>
  <c r="W24" i="1" s="1"/>
  <c r="V21" i="1"/>
  <c r="V24" i="1" s="1"/>
  <c r="U21" i="1"/>
  <c r="V26" i="1" l="1"/>
  <c r="V30" i="1" s="1"/>
  <c r="W26" i="1"/>
  <c r="X26" i="1"/>
  <c r="C26" i="1"/>
  <c r="U16" i="1"/>
  <c r="U24" i="1" s="1"/>
  <c r="H24" i="1"/>
  <c r="T24" i="1"/>
  <c r="T26" i="1" l="1"/>
  <c r="T30" i="1" s="1"/>
  <c r="H26" i="1"/>
  <c r="U26" i="1"/>
</calcChain>
</file>

<file path=xl/sharedStrings.xml><?xml version="1.0" encoding="utf-8"?>
<sst xmlns="http://schemas.openxmlformats.org/spreadsheetml/2006/main" count="308" uniqueCount="201">
  <si>
    <t>Total FT</t>
  </si>
  <si>
    <t>Other FT</t>
  </si>
  <si>
    <t>ARAM FT</t>
  </si>
  <si>
    <t>FAS 106 FT</t>
  </si>
  <si>
    <t>E</t>
  </si>
  <si>
    <t>GN</t>
  </si>
  <si>
    <t>GS</t>
  </si>
  <si>
    <t>WA E</t>
  </si>
  <si>
    <t>ID E</t>
  </si>
  <si>
    <t>WA G</t>
  </si>
  <si>
    <t>ID G</t>
  </si>
  <si>
    <t>OR G</t>
  </si>
  <si>
    <t>Electric</t>
  </si>
  <si>
    <t>GAS</t>
  </si>
  <si>
    <t>GAS-Oregon</t>
  </si>
  <si>
    <t>Utility - CD AA</t>
  </si>
  <si>
    <t>Utility  - CD AN</t>
  </si>
  <si>
    <t>Rathdrum Turbine</t>
  </si>
  <si>
    <t>Pro Forma ARAM Amortization in Rate Year</t>
  </si>
  <si>
    <t>ARAM Amortization in Historical Test Year</t>
  </si>
  <si>
    <t>Source: FIT_DFIT Expense Adjustment 2.06 3) Reconcile 2019 SCH Ms to DFIT Expense</t>
  </si>
  <si>
    <t>Forecasted Excess Deferreds</t>
  </si>
  <si>
    <t>Based on PowerTax Case 2021-2025 Forecast for Budget</t>
  </si>
  <si>
    <t>Adjusted ARAM</t>
  </si>
  <si>
    <t>Forecasted ARAM</t>
  </si>
  <si>
    <t>ARAM on Meters and IDD #5</t>
  </si>
  <si>
    <t>excluding Meters and IDD#5</t>
  </si>
  <si>
    <t>AMR-Elec</t>
  </si>
  <si>
    <t>AMR-Gas</t>
  </si>
  <si>
    <t>AMR-Util 9</t>
  </si>
  <si>
    <t>AN</t>
  </si>
  <si>
    <t>Boulder Park</t>
  </si>
  <si>
    <t>Buildings</t>
  </si>
  <si>
    <t>AA</t>
  </si>
  <si>
    <t>Colstrip 3 - ID</t>
  </si>
  <si>
    <t>CI</t>
  </si>
  <si>
    <t>Colstrip 3 - WA</t>
  </si>
  <si>
    <t>CW</t>
  </si>
  <si>
    <t>Colstrip 4 - ID</t>
  </si>
  <si>
    <t>Colstrip 4 - WA</t>
  </si>
  <si>
    <t>Colstrip Transmission - ID</t>
  </si>
  <si>
    <t>Colstrip Transmission - WA</t>
  </si>
  <si>
    <t>Computer Equipment</t>
  </si>
  <si>
    <t>Coyote Springs 2</t>
  </si>
  <si>
    <t>Electric Distribution</t>
  </si>
  <si>
    <t>Gas Distribution</t>
  </si>
  <si>
    <t>General Transportation</t>
  </si>
  <si>
    <t>General Other</t>
  </si>
  <si>
    <t>Hydro Production</t>
  </si>
  <si>
    <t>Intangible Plant</t>
  </si>
  <si>
    <t>Kettle Falls</t>
  </si>
  <si>
    <t>Kettle Falls CT</t>
  </si>
  <si>
    <t>Land</t>
  </si>
  <si>
    <t>OR Distribution</t>
  </si>
  <si>
    <t>Other Production</t>
  </si>
  <si>
    <t>Solar Production</t>
  </si>
  <si>
    <t>Transmission</t>
  </si>
  <si>
    <t xml:space="preserve">     Total</t>
  </si>
  <si>
    <t>SOURCE:  Report 260</t>
  </si>
  <si>
    <t>Allocation</t>
  </si>
  <si>
    <t>Colstrip - ID</t>
  </si>
  <si>
    <t>Colstrip - WA</t>
  </si>
  <si>
    <t>Gas North</t>
  </si>
  <si>
    <t>Gas Oregon</t>
  </si>
  <si>
    <t>Common All</t>
  </si>
  <si>
    <t>Common North</t>
  </si>
  <si>
    <t xml:space="preserve">     Total </t>
  </si>
  <si>
    <t>Revised PF ARAM DFIT Adj</t>
  </si>
  <si>
    <t>As Filed PF ARAM DFIT Adj</t>
  </si>
  <si>
    <t>Colstrip - ID Electric</t>
  </si>
  <si>
    <t>Colstrip - WA Electric</t>
  </si>
  <si>
    <t xml:space="preserve"> Flowthrough With 12ME 09.30.2022 ARAM Estimated Assignment Excluding ARAM on Meters and IDD#5</t>
  </si>
  <si>
    <t>3/12</t>
  </si>
  <si>
    <t>9/12</t>
  </si>
  <si>
    <t>12 ME 09.30.2022</t>
  </si>
  <si>
    <t>Incremental Change over As Filed Adjustment 3.03</t>
  </si>
  <si>
    <t>ARAM</t>
  </si>
  <si>
    <t>E-ARAM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</si>
  <si>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</si>
  <si>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</si>
  <si>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</si>
  <si>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</si>
  <si>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</si>
  <si>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</si>
  <si>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</si>
  <si>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</si>
  <si>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</si>
  <si>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</si>
  <si>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</si>
  <si>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</si>
  <si>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</si>
  <si>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</si>
  <si>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</si>
  <si>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</si>
  <si>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</si>
  <si>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</si>
  <si>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</si>
  <si>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</si>
  <si>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</si>
  <si>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</si>
  <si>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</si>
  <si>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</si>
  <si>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</si>
  <si>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</si>
  <si>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</si>
  <si>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>Regulatory Deferrals/Amortization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</si>
  <si>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</si>
  <si>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</si>
  <si>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</si>
  <si>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</si>
  <si>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</si>
  <si>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</si>
  <si>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</si>
  <si>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</si>
  <si>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</si>
  <si>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</si>
  <si>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</si>
  <si>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</si>
  <si>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</si>
  <si>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</si>
  <si>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</si>
  <si>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</si>
  <si>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</si>
  <si>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</si>
  <si>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</si>
  <si>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</si>
  <si>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</si>
  <si>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</si>
  <si>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</si>
  <si>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</si>
  <si>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RATE OF RETURN  </t>
  </si>
  <si>
    <t xml:space="preserve">REVENUE REQUIREMENT </t>
  </si>
  <si>
    <t xml:space="preserve">Revenue Conversion Factor </t>
  </si>
  <si>
    <t>NOI Requirement</t>
  </si>
  <si>
    <t xml:space="preserve">Revenue Requirement </t>
  </si>
  <si>
    <t xml:space="preserve">AVISTA UTILITIES  </t>
  </si>
  <si>
    <t xml:space="preserve">WASHINGTON ELECTRIC RESULTS </t>
  </si>
  <si>
    <t>TWELVE MONTHS ENDED DECEMBER 31, 2019</t>
  </si>
  <si>
    <t xml:space="preserve">(000'S OF DOLLARS)  </t>
  </si>
  <si>
    <t>As filed</t>
  </si>
  <si>
    <t xml:space="preserve">Staff's Revised </t>
  </si>
  <si>
    <t>Pro Forma</t>
  </si>
  <si>
    <t xml:space="preserve">Rate of Return </t>
  </si>
  <si>
    <t>AVISTA UTILITIES</t>
  </si>
  <si>
    <t>WASHINGTON NATURAL GAS</t>
  </si>
  <si>
    <t xml:space="preserve">(000'S OF DOLLARS)   </t>
  </si>
  <si>
    <t xml:space="preserve">As filed </t>
  </si>
  <si>
    <t>Staff's Revised</t>
  </si>
  <si>
    <t>Adjsutment Number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</si>
  <si>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</si>
  <si>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</si>
  <si>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</si>
  <si>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</si>
  <si>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</si>
  <si>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</si>
  <si>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</si>
  <si>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</si>
  <si>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</si>
  <si>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</si>
  <si>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</si>
  <si>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</si>
  <si>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</si>
  <si>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</si>
  <si>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</si>
  <si>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</si>
  <si>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</si>
  <si>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</si>
  <si>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</si>
  <si>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</si>
  <si>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</si>
  <si>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</si>
  <si>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</si>
  <si>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</si>
  <si>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</si>
  <si>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</si>
  <si>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</si>
  <si>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</si>
  <si>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</si>
  <si>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</si>
  <si>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</si>
  <si>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</si>
  <si>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</si>
  <si>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</si>
  <si>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</si>
  <si>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</si>
  <si>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</si>
  <si>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</si>
  <si>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</si>
  <si>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</si>
  <si>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OTHER</t>
  </si>
  <si>
    <t>TOTAL RATE BASE</t>
  </si>
  <si>
    <t>RATE OF RETURN</t>
  </si>
  <si>
    <t>REVENUE REQUIREMENT</t>
  </si>
  <si>
    <t>Rate of Return</t>
  </si>
  <si>
    <t>Revenue Conversion Factor Rebuttal</t>
  </si>
  <si>
    <t>Revenue Requirement Rebuttal</t>
  </si>
  <si>
    <t>G-ARAM</t>
  </si>
  <si>
    <t>Adjustment</t>
  </si>
  <si>
    <t>Docket UE-200900/UG-200901/UE-200894</t>
  </si>
  <si>
    <t>Exh. BAE-3</t>
  </si>
  <si>
    <t>Exh. BAE-2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</si>
</sst>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theme="1"/>
      <name val="Times New Roman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8"/>
      <name val="Times New Roman"/>
      <family val="1"/>
    </font>
    <font>
      <sz val="10"/>
      <name val="Arial"/>
    </font>
    <font>
      <sz val="10"/>
      <name val="Geneva"/>
    </font>
    <font>
      <b/>
      <sz val="10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9" fontId="11" fillId="0" borderId="0" applyFont="0" applyFill="0" applyBorder="0" applyAlignment="0" applyProtection="0"/>
    <xf numFmtId="0" fontId="14" fillId="0" borderId="0"/>
    <xf numFmtId="0" fontId="15" fillId="0" borderId="0"/>
    <xf numFmtId="0" fontId="7" fillId="0" borderId="0"/>
    <xf numFmtId="0" fontId="15" fillId="0" borderId="0"/>
    <xf numFmtId="43" fontId="11" fillId="0" borderId="0" applyFont="0" applyFill="0" applyBorder="0" applyAlignment="0" applyProtection="0"/>
    <xf numFmtId="0" fontId="15" fillId="0" borderId="0"/>
    <xf numFmtId="0" fontId="11" fillId="0" borderId="0"/>
  </cellStyleXfs>
  <cellXfs count="12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164" fontId="0" fillId="0" borderId="0" xfId="1" applyNumberFormat="1" applyFont="1"/>
    <xf numFmtId="165" fontId="0" fillId="0" borderId="0" xfId="2" applyNumberFormat="1" applyFont="1"/>
    <xf numFmtId="164" fontId="0" fillId="0" borderId="1" xfId="1" applyNumberFormat="1" applyFont="1" applyBorder="1"/>
    <xf numFmtId="164" fontId="0" fillId="0" borderId="0" xfId="0" applyNumberFormat="1"/>
    <xf numFmtId="0" fontId="2" fillId="0" borderId="0" xfId="0" applyFont="1"/>
    <xf numFmtId="164" fontId="0" fillId="2" borderId="1" xfId="1" applyNumberFormat="1" applyFont="1" applyFill="1" applyBorder="1"/>
    <xf numFmtId="164" fontId="2" fillId="3" borderId="2" xfId="0" applyNumberFormat="1" applyFont="1" applyFill="1" applyBorder="1"/>
    <xf numFmtId="164" fontId="0" fillId="3" borderId="0" xfId="0" applyNumberFormat="1" applyFill="1"/>
    <xf numFmtId="164" fontId="3" fillId="2" borderId="0" xfId="1" applyNumberFormat="1" applyFont="1" applyFill="1"/>
    <xf numFmtId="0" fontId="2" fillId="0" borderId="0" xfId="3" applyFont="1"/>
    <xf numFmtId="0" fontId="1" fillId="0" borderId="0" xfId="3" applyFont="1"/>
    <xf numFmtId="164" fontId="1" fillId="0" borderId="0" xfId="4" applyNumberFormat="1" applyFont="1"/>
    <xf numFmtId="14" fontId="2" fillId="0" borderId="0" xfId="3" applyNumberFormat="1" applyFont="1" applyAlignment="1">
      <alignment horizontal="left"/>
    </xf>
    <xf numFmtId="0" fontId="2" fillId="0" borderId="0" xfId="4" applyNumberFormat="1" applyFont="1" applyAlignment="1">
      <alignment horizontal="center"/>
    </xf>
    <xf numFmtId="164" fontId="1" fillId="0" borderId="0" xfId="3" applyNumberFormat="1" applyFont="1"/>
    <xf numFmtId="0" fontId="5" fillId="0" borderId="0" xfId="3" applyFont="1"/>
    <xf numFmtId="164" fontId="5" fillId="0" borderId="0" xfId="4" applyNumberFormat="1" applyFont="1"/>
    <xf numFmtId="164" fontId="1" fillId="0" borderId="3" xfId="4" applyNumberFormat="1" applyFont="1" applyBorder="1"/>
    <xf numFmtId="0" fontId="6" fillId="0" borderId="0" xfId="3" applyFont="1"/>
    <xf numFmtId="1" fontId="2" fillId="0" borderId="0" xfId="3" applyNumberFormat="1" applyFont="1" applyAlignment="1">
      <alignment horizontal="left"/>
    </xf>
    <xf numFmtId="164" fontId="2" fillId="0" borderId="0" xfId="4" applyNumberFormat="1" applyFont="1" applyAlignment="1">
      <alignment horizontal="left"/>
    </xf>
    <xf numFmtId="164" fontId="1" fillId="0" borderId="0" xfId="4" applyNumberFormat="1" applyFont="1" applyAlignment="1">
      <alignment horizontal="center"/>
    </xf>
    <xf numFmtId="164" fontId="1" fillId="0" borderId="4" xfId="4" applyNumberFormat="1" applyFont="1" applyBorder="1"/>
    <xf numFmtId="0" fontId="1" fillId="0" borderId="0" xfId="3" applyFont="1" applyAlignment="1">
      <alignment horizontal="right"/>
    </xf>
    <xf numFmtId="0" fontId="0" fillId="0" borderId="0" xfId="0" applyFont="1"/>
    <xf numFmtId="164" fontId="0" fillId="0" borderId="0" xfId="0" applyNumberFormat="1" applyFill="1"/>
    <xf numFmtId="0" fontId="0" fillId="0" borderId="0" xfId="0" applyFill="1"/>
    <xf numFmtId="164" fontId="2" fillId="0" borderId="2" xfId="0" applyNumberFormat="1" applyFont="1" applyFill="1" applyBorder="1"/>
    <xf numFmtId="0" fontId="1" fillId="0" borderId="0" xfId="3" quotePrefix="1" applyFont="1"/>
    <xf numFmtId="0" fontId="1" fillId="0" borderId="0" xfId="3" quotePrefix="1" applyFont="1" applyAlignment="1">
      <alignment horizontal="center"/>
    </xf>
    <xf numFmtId="41" fontId="8" fillId="0" borderId="0" xfId="5" applyNumberFormat="1" applyFont="1"/>
    <xf numFmtId="2" fontId="9" fillId="0" borderId="0" xfId="7" applyNumberFormat="1" applyFont="1" applyAlignment="1" applyProtection="1">
      <alignment horizontal="center"/>
    </xf>
    <xf numFmtId="5" fontId="8" fillId="0" borderId="0" xfId="8" applyNumberFormat="1" applyFont="1"/>
    <xf numFmtId="41" fontId="8" fillId="0" borderId="5" xfId="5" applyNumberFormat="1" applyFont="1" applyBorder="1"/>
    <xf numFmtId="5" fontId="8" fillId="0" borderId="6" xfId="5" applyNumberFormat="1" applyFont="1" applyBorder="1"/>
    <xf numFmtId="5" fontId="8" fillId="0" borderId="0" xfId="5" applyNumberFormat="1" applyFont="1"/>
    <xf numFmtId="41" fontId="8" fillId="0" borderId="7" xfId="5" applyNumberFormat="1" applyFont="1" applyBorder="1"/>
    <xf numFmtId="0" fontId="8" fillId="0" borderId="0" xfId="5" applyFont="1" applyAlignment="1">
      <alignment horizontal="left"/>
    </xf>
    <xf numFmtId="0" fontId="9" fillId="0" borderId="8" xfId="5" applyFont="1" applyBorder="1" applyAlignment="1">
      <alignment horizontal="center"/>
    </xf>
    <xf numFmtId="0" fontId="9" fillId="0" borderId="9" xfId="5" applyFont="1" applyBorder="1" applyAlignment="1">
      <alignment horizontal="center"/>
    </xf>
    <xf numFmtId="0" fontId="9" fillId="0" borderId="7" xfId="5" applyFont="1" applyBorder="1" applyAlignment="1">
      <alignment horizontal="center"/>
    </xf>
    <xf numFmtId="0" fontId="9" fillId="0" borderId="10" xfId="5" applyFont="1" applyBorder="1" applyAlignment="1">
      <alignment horizontal="center"/>
    </xf>
    <xf numFmtId="0" fontId="9" fillId="0" borderId="11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12" xfId="5" applyFont="1" applyBorder="1" applyAlignment="1">
      <alignment horizontal="center"/>
    </xf>
    <xf numFmtId="0" fontId="9" fillId="0" borderId="13" xfId="5" applyFont="1" applyBorder="1" applyAlignment="1">
      <alignment horizontal="center"/>
    </xf>
    <xf numFmtId="0" fontId="9" fillId="0" borderId="5" xfId="5" applyFont="1" applyBorder="1" applyAlignment="1">
      <alignment horizontal="center"/>
    </xf>
    <xf numFmtId="2" fontId="9" fillId="0" borderId="0" xfId="5" applyNumberFormat="1" applyFont="1" applyAlignment="1">
      <alignment horizontal="center"/>
    </xf>
    <xf numFmtId="2" fontId="8" fillId="0" borderId="0" xfId="5" applyNumberFormat="1" applyFont="1" applyAlignment="1">
      <alignment horizontal="left"/>
    </xf>
    <xf numFmtId="0" fontId="8" fillId="0" borderId="0" xfId="5" applyFont="1" applyAlignment="1">
      <alignment horizontal="center"/>
    </xf>
    <xf numFmtId="0" fontId="8" fillId="0" borderId="0" xfId="5" applyFont="1"/>
    <xf numFmtId="37" fontId="8" fillId="0" borderId="0" xfId="5" applyNumberFormat="1" applyFont="1" applyAlignment="1">
      <alignment horizontal="center"/>
    </xf>
    <xf numFmtId="37" fontId="8" fillId="0" borderId="0" xfId="5" applyNumberFormat="1" applyFont="1"/>
    <xf numFmtId="1" fontId="8" fillId="0" borderId="0" xfId="9" applyNumberFormat="1" applyFont="1" applyAlignment="1">
      <alignment horizontal="center"/>
    </xf>
    <xf numFmtId="9" fontId="8" fillId="0" borderId="0" xfId="2" applyFont="1" applyFill="1"/>
    <xf numFmtId="3" fontId="8" fillId="0" borderId="0" xfId="9" applyNumberFormat="1" applyFont="1" applyAlignment="1">
      <alignment horizontal="center"/>
    </xf>
    <xf numFmtId="0" fontId="8" fillId="0" borderId="0" xfId="5" applyFont="1" applyAlignment="1">
      <alignment vertical="top"/>
    </xf>
    <xf numFmtId="0" fontId="12" fillId="0" borderId="0" xfId="5" applyFont="1" applyAlignment="1">
      <alignment horizontal="left"/>
    </xf>
    <xf numFmtId="41" fontId="9" fillId="0" borderId="0" xfId="6" applyNumberFormat="1" applyFont="1" applyAlignment="1">
      <alignment horizontal="left"/>
    </xf>
    <xf numFmtId="41" fontId="9" fillId="0" borderId="0" xfId="6" quotePrefix="1" applyNumberFormat="1" applyFont="1" applyAlignment="1">
      <alignment horizontal="center"/>
    </xf>
    <xf numFmtId="41" fontId="9" fillId="4" borderId="8" xfId="5" applyNumberFormat="1" applyFont="1" applyFill="1" applyBorder="1" applyAlignment="1">
      <alignment horizontal="center"/>
    </xf>
    <xf numFmtId="41" fontId="9" fillId="4" borderId="10" xfId="5" applyNumberFormat="1" applyFont="1" applyFill="1" applyBorder="1" applyAlignment="1">
      <alignment horizontal="center"/>
    </xf>
    <xf numFmtId="41" fontId="9" fillId="4" borderId="12" xfId="5" applyNumberFormat="1" applyFont="1" applyFill="1" applyBorder="1" applyAlignment="1">
      <alignment horizontal="center"/>
    </xf>
    <xf numFmtId="2" fontId="9" fillId="4" borderId="0" xfId="7" applyNumberFormat="1" applyFont="1" applyFill="1" applyAlignment="1" applyProtection="1">
      <alignment horizontal="center"/>
    </xf>
    <xf numFmtId="37" fontId="13" fillId="0" borderId="0" xfId="5" applyNumberFormat="1" applyFont="1"/>
    <xf numFmtId="41" fontId="8" fillId="0" borderId="0" xfId="10" applyNumberFormat="1" applyFont="1" applyFill="1"/>
    <xf numFmtId="41" fontId="8" fillId="0" borderId="0" xfId="5" applyNumberFormat="1" applyFont="1" applyAlignment="1">
      <alignment vertical="top"/>
    </xf>
    <xf numFmtId="41" fontId="8" fillId="0" borderId="0" xfId="5" applyNumberFormat="1" applyFont="1" applyAlignment="1">
      <alignment horizontal="right"/>
    </xf>
    <xf numFmtId="165" fontId="8" fillId="0" borderId="0" xfId="2" applyNumberFormat="1" applyFont="1"/>
    <xf numFmtId="41" fontId="8" fillId="0" borderId="4" xfId="5" applyNumberFormat="1" applyFont="1" applyBorder="1"/>
    <xf numFmtId="166" fontId="8" fillId="0" borderId="0" xfId="10" applyNumberFormat="1" applyFont="1" applyBorder="1"/>
    <xf numFmtId="166" fontId="8" fillId="0" borderId="0" xfId="2" applyNumberFormat="1" applyFont="1" applyBorder="1"/>
    <xf numFmtId="0" fontId="14" fillId="0" borderId="0" xfId="11"/>
    <xf numFmtId="3" fontId="8" fillId="0" borderId="0" xfId="12" applyNumberFormat="1" applyFont="1"/>
    <xf numFmtId="0" fontId="8" fillId="0" borderId="0" xfId="12" applyFont="1" applyAlignment="1">
      <alignment horizontal="left"/>
    </xf>
    <xf numFmtId="0" fontId="12" fillId="0" borderId="0" xfId="0" applyFont="1"/>
    <xf numFmtId="0" fontId="12" fillId="0" borderId="0" xfId="11" applyFont="1"/>
    <xf numFmtId="41" fontId="9" fillId="0" borderId="0" xfId="13" applyNumberFormat="1" applyFont="1" applyAlignment="1">
      <alignment horizontal="left"/>
    </xf>
    <xf numFmtId="0" fontId="8" fillId="0" borderId="0" xfId="12" applyFont="1" applyAlignment="1">
      <alignment horizontal="center"/>
    </xf>
    <xf numFmtId="0" fontId="9" fillId="0" borderId="0" xfId="12" applyFont="1" applyAlignment="1">
      <alignment horizontal="center"/>
    </xf>
    <xf numFmtId="3" fontId="16" fillId="0" borderId="0" xfId="11" applyNumberFormat="1" applyFont="1"/>
    <xf numFmtId="3" fontId="17" fillId="0" borderId="0" xfId="12" applyNumberFormat="1" applyFont="1" applyAlignment="1">
      <alignment horizontal="center"/>
    </xf>
    <xf numFmtId="0" fontId="9" fillId="0" borderId="8" xfId="12" applyFont="1" applyBorder="1" applyAlignment="1">
      <alignment horizontal="center"/>
    </xf>
    <xf numFmtId="0" fontId="9" fillId="0" borderId="9" xfId="12" applyFont="1" applyBorder="1" applyAlignment="1">
      <alignment horizontal="center"/>
    </xf>
    <xf numFmtId="0" fontId="9" fillId="0" borderId="7" xfId="12" applyFont="1" applyBorder="1" applyAlignment="1">
      <alignment horizontal="center"/>
    </xf>
    <xf numFmtId="0" fontId="8" fillId="0" borderId="14" xfId="12" applyFont="1" applyBorder="1"/>
    <xf numFmtId="0" fontId="8" fillId="0" borderId="0" xfId="12" applyFont="1"/>
    <xf numFmtId="0" fontId="9" fillId="0" borderId="10" xfId="12" applyFont="1" applyBorder="1" applyAlignment="1">
      <alignment horizontal="center"/>
    </xf>
    <xf numFmtId="0" fontId="9" fillId="0" borderId="11" xfId="12" applyFont="1" applyBorder="1" applyAlignment="1">
      <alignment horizontal="center"/>
    </xf>
    <xf numFmtId="0" fontId="8" fillId="0" borderId="15" xfId="12" applyFont="1" applyBorder="1"/>
    <xf numFmtId="0" fontId="9" fillId="0" borderId="12" xfId="12" applyFont="1" applyBorder="1" applyAlignment="1">
      <alignment horizontal="center"/>
    </xf>
    <xf numFmtId="0" fontId="9" fillId="0" borderId="13" xfId="12" applyFont="1" applyBorder="1" applyAlignment="1">
      <alignment horizontal="center"/>
    </xf>
    <xf numFmtId="0" fontId="9" fillId="0" borderId="5" xfId="12" applyFont="1" applyBorder="1" applyAlignment="1">
      <alignment horizontal="center"/>
    </xf>
    <xf numFmtId="0" fontId="9" fillId="0" borderId="16" xfId="12" applyFont="1" applyBorder="1" applyAlignment="1">
      <alignment horizontal="center"/>
    </xf>
    <xf numFmtId="4" fontId="9" fillId="0" borderId="0" xfId="12" applyNumberFormat="1" applyFont="1" applyAlignment="1">
      <alignment horizontal="center"/>
    </xf>
    <xf numFmtId="3" fontId="9" fillId="0" borderId="0" xfId="12" applyNumberFormat="1" applyFont="1" applyAlignment="1">
      <alignment horizontal="center"/>
    </xf>
    <xf numFmtId="5" fontId="8" fillId="0" borderId="0" xfId="12" applyNumberFormat="1" applyFont="1"/>
    <xf numFmtId="42" fontId="8" fillId="0" borderId="0" xfId="14" applyNumberFormat="1" applyFont="1"/>
    <xf numFmtId="37" fontId="8" fillId="0" borderId="0" xfId="12" applyNumberFormat="1" applyFont="1"/>
    <xf numFmtId="41" fontId="8" fillId="0" borderId="0" xfId="14" applyNumberFormat="1" applyFont="1"/>
    <xf numFmtId="41" fontId="8" fillId="0" borderId="5" xfId="14" applyNumberFormat="1" applyFont="1" applyBorder="1"/>
    <xf numFmtId="41" fontId="8" fillId="0" borderId="0" xfId="12" applyNumberFormat="1" applyFont="1"/>
    <xf numFmtId="164" fontId="8" fillId="0" borderId="0" xfId="15" applyNumberFormat="1" applyFont="1" applyFill="1"/>
    <xf numFmtId="0" fontId="8" fillId="0" borderId="0" xfId="11" applyFont="1"/>
    <xf numFmtId="41" fontId="8" fillId="0" borderId="5" xfId="12" applyNumberFormat="1" applyFont="1" applyBorder="1"/>
    <xf numFmtId="42" fontId="8" fillId="0" borderId="6" xfId="12" applyNumberFormat="1" applyFont="1" applyBorder="1"/>
    <xf numFmtId="41" fontId="8" fillId="0" borderId="4" xfId="12" applyNumberFormat="1" applyFont="1" applyBorder="1"/>
    <xf numFmtId="5" fontId="9" fillId="0" borderId="0" xfId="12" applyNumberFormat="1" applyFont="1"/>
    <xf numFmtId="42" fontId="9" fillId="0" borderId="6" xfId="12" applyNumberFormat="1" applyFont="1" applyBorder="1"/>
    <xf numFmtId="0" fontId="8" fillId="0" borderId="0" xfId="16" applyFont="1"/>
    <xf numFmtId="165" fontId="8" fillId="0" borderId="0" xfId="2" applyNumberFormat="1" applyFont="1" applyFill="1"/>
    <xf numFmtId="41" fontId="8" fillId="0" borderId="5" xfId="16" applyNumberFormat="1" applyFont="1" applyBorder="1"/>
    <xf numFmtId="3" fontId="8" fillId="0" borderId="0" xfId="16" applyNumberFormat="1" applyFont="1"/>
    <xf numFmtId="0" fontId="8" fillId="0" borderId="0" xfId="16" applyFont="1" applyAlignment="1">
      <alignment horizontal="right"/>
    </xf>
    <xf numFmtId="0" fontId="0" fillId="0" borderId="0" xfId="0" applyBorder="1"/>
    <xf numFmtId="41" fontId="8" fillId="0" borderId="0" xfId="16" applyNumberFormat="1" applyFont="1" applyBorder="1"/>
    <xf numFmtId="41" fontId="8" fillId="0" borderId="6" xfId="5" applyNumberFormat="1" applyFont="1" applyBorder="1"/>
    <xf numFmtId="164" fontId="8" fillId="0" borderId="0" xfId="1" applyNumberFormat="1" applyFont="1"/>
    <xf numFmtId="0" fontId="8" fillId="0" borderId="0" xfId="5" applyFont="1" applyFill="1"/>
    <xf numFmtId="10" fontId="8" fillId="0" borderId="0" xfId="2" applyNumberFormat="1" applyFont="1" applyFill="1"/>
    <xf numFmtId="0" fontId="8" fillId="0" borderId="0" xfId="16" applyFont="1" applyFill="1"/>
    <xf numFmtId="41" fontId="0" fillId="0" borderId="0" xfId="0" applyNumberFormat="1"/>
    <xf numFmtId="0" fontId="11" fillId="0" borderId="0" xfId="17" applyAlignment="1">
      <alignment horizontal="right"/>
    </xf>
    <xf numFmtId="164" fontId="2" fillId="0" borderId="0" xfId="4" applyNumberFormat="1" applyFont="1" applyAlignment="1">
      <alignment horizontal="center"/>
    </xf>
  </cellXfs>
  <cellStyles count="18">
    <cellStyle name="Comma" xfId="1" builtinId="3"/>
    <cellStyle name="Comma 2" xfId="4" xr:uid="{7484FAC8-C55E-4F78-A6C5-E49F85D48C9C}"/>
    <cellStyle name="Comma 3" xfId="15" xr:uid="{6034F34C-B443-4693-8B6E-BC55B727C99D}"/>
    <cellStyle name="Followed Hyperlink" xfId="7" builtinId="9"/>
    <cellStyle name="Normal" xfId="0" builtinId="0"/>
    <cellStyle name="Normal 10 2" xfId="17" xr:uid="{2510EBA0-0252-4C73-B5A2-EEDFC1C36C31}"/>
    <cellStyle name="Normal 2" xfId="3" xr:uid="{1AF5EEB1-FC13-499F-9A28-1094B99B5E52}"/>
    <cellStyle name="Normal 3" xfId="11" xr:uid="{AC0BC61F-F3EE-49A1-B3B5-29A609059329}"/>
    <cellStyle name="Normal_DFIT-WaEle_SUM" xfId="9" xr:uid="{55CEF25B-2CB9-4CFD-8D57-549A8B67782B}"/>
    <cellStyle name="Normal_IDGas6_97" xfId="8" xr:uid="{4806D872-5E2D-4A7C-966B-547C4EB1ABE3}"/>
    <cellStyle name="Normal_IDGas6_97 2" xfId="14" xr:uid="{6B9191AD-E4C6-4652-AF49-92E8BDF120FC}"/>
    <cellStyle name="Normal_WAElec6_97" xfId="5" xr:uid="{9E5F50DC-4C07-4ECF-94F5-7D9DD20EF344}"/>
    <cellStyle name="Normal_WAElec6_97 3" xfId="16" xr:uid="{66FB3203-7DDC-461A-B032-4994F24417D6}"/>
    <cellStyle name="Normal_WAGas6_97" xfId="6" xr:uid="{C8EFB01A-77D3-4587-A20F-6F069C098659}"/>
    <cellStyle name="Normal_WAGas6_97 2" xfId="13" xr:uid="{FBC505F8-8EA4-46E4-BC6E-1DABE9D8F16D}"/>
    <cellStyle name="Normal_WAGas6_97 3" xfId="12" xr:uid="{BE8913E2-9D58-4C2D-AF8D-8034059D8526}"/>
    <cellStyle name="Percent" xfId="2" builtinId="5"/>
    <cellStyle name="Percent 2" xfId="10" xr:uid="{A8034BD8-5ADE-4E64-AC9C-14DDD78E1DC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%20200900-901-Staff-Huang-Exh%20JH-2%20Electric%20ROE%209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%20200900-901-Staff-Huang-Exh%20JH-3%20Gas%20ROE%209.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dahl215\AppData\Local\Microsoft\Windows\INetCache\Content.Outlook\3KXFC8G1\Staff%20AMI%20Adj%203.16%20Lead%20Sheet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COMPARISON"/>
      <sheetName val="ADJ SUMMARY"/>
      <sheetName val="LEAD SHEETS-DO NOT ENTER"/>
      <sheetName val="ROO INPUT"/>
      <sheetName val="DEBT CALC"/>
    </sheetNames>
    <sheetDataSet>
      <sheetData sheetId="0"/>
      <sheetData sheetId="1">
        <row r="12">
          <cell r="O12">
            <v>2.5600000000000001E-2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DETAIL INPUT"/>
      <sheetName val="Acerno_Cache_XXXXX"/>
      <sheetName val="COMPARISON"/>
      <sheetName val="ADJ SUMMARY"/>
      <sheetName val="DEBT CALC"/>
      <sheetName val="ROO INPUT"/>
      <sheetName val="LEAD SHEETS-DO NOT ENTER"/>
    </sheetNames>
    <sheetDataSet>
      <sheetData sheetId="0"/>
      <sheetData sheetId="1">
        <row r="12">
          <cell r="P12">
            <v>2.5600000000000001E-2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6 Electric"/>
      <sheetName val="3.16 Gas "/>
    </sheetNames>
    <sheetDataSet>
      <sheetData sheetId="0">
        <row r="87">
          <cell r="E87">
            <v>0.75529000000000002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5A6F7-3542-4165-AF01-13F5CEA9BCE6}">
  <sheetPr>
    <pageSetUpPr fitToPage="1"/>
  </sheetPr>
  <dimension ref="A1:I94"/>
  <sheetViews>
    <sheetView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5" sqref="A5"/>
    </sheetView>
  </sheetViews>
  <sheetFormatPr defaultRowHeight="15"/>
  <cols>
    <col min="1" max="1" width="5" style="52" customWidth="1"/>
    <col min="2" max="3" width="1.7109375" style="53" customWidth="1"/>
    <col min="4" max="4" width="29.7109375" style="53" customWidth="1"/>
    <col min="5" max="5" width="13.85546875" style="53" customWidth="1"/>
    <col min="6" max="6" width="2.42578125" style="53" customWidth="1"/>
    <col min="7" max="8" width="14.85546875" style="33" customWidth="1"/>
  </cols>
  <sheetData>
    <row r="1" spans="1:9">
      <c r="D1"/>
      <c r="E1"/>
      <c r="F1"/>
      <c r="I1" s="125" t="s">
        <v>200</v>
      </c>
    </row>
    <row r="2" spans="1:9">
      <c r="A2" s="60" t="s">
        <v>135</v>
      </c>
      <c r="D2" s="52"/>
      <c r="E2" s="52"/>
      <c r="F2" s="52"/>
      <c r="I2" s="125" t="s">
        <v>198</v>
      </c>
    </row>
    <row r="3" spans="1:9">
      <c r="A3" s="60" t="s">
        <v>136</v>
      </c>
      <c r="D3" s="52"/>
      <c r="E3" s="52"/>
      <c r="F3" s="52"/>
      <c r="G3" s="61"/>
      <c r="H3" s="61"/>
      <c r="I3" s="125"/>
    </row>
    <row r="4" spans="1:9">
      <c r="A4" s="60" t="s">
        <v>137</v>
      </c>
      <c r="D4" s="52"/>
      <c r="E4" s="52"/>
      <c r="F4" s="52"/>
      <c r="G4" s="61"/>
      <c r="H4" s="61"/>
    </row>
    <row r="5" spans="1:9">
      <c r="A5" s="60" t="s">
        <v>138</v>
      </c>
      <c r="D5" s="52"/>
      <c r="E5" s="52"/>
      <c r="F5" s="52"/>
      <c r="G5" s="61"/>
      <c r="H5" s="61"/>
    </row>
    <row r="6" spans="1:9">
      <c r="A6" s="40"/>
      <c r="B6" s="46"/>
      <c r="C6" s="46"/>
      <c r="D6" s="46"/>
      <c r="E6" s="46"/>
      <c r="F6" s="46"/>
      <c r="G6" s="62" t="s">
        <v>139</v>
      </c>
      <c r="H6" s="62" t="s">
        <v>140</v>
      </c>
    </row>
    <row r="7" spans="1:9">
      <c r="A7" s="41"/>
      <c r="B7" s="42"/>
      <c r="C7" s="43"/>
      <c r="D7" s="43"/>
      <c r="E7" s="43"/>
      <c r="F7" s="43"/>
      <c r="G7" s="63" t="s">
        <v>141</v>
      </c>
      <c r="H7" s="63" t="s">
        <v>141</v>
      </c>
    </row>
    <row r="8" spans="1:9">
      <c r="A8" s="44" t="s">
        <v>78</v>
      </c>
      <c r="B8" s="45"/>
      <c r="C8" s="46"/>
      <c r="D8" s="46"/>
      <c r="E8" s="46"/>
      <c r="F8" s="46"/>
      <c r="G8" s="64" t="s">
        <v>76</v>
      </c>
      <c r="H8" s="64" t="s">
        <v>76</v>
      </c>
    </row>
    <row r="9" spans="1:9">
      <c r="A9" s="47" t="s">
        <v>79</v>
      </c>
      <c r="B9" s="48"/>
      <c r="C9" s="49"/>
      <c r="D9" s="49" t="s">
        <v>80</v>
      </c>
      <c r="E9" s="49"/>
      <c r="F9" s="49"/>
      <c r="G9" s="65" t="s">
        <v>197</v>
      </c>
      <c r="H9" s="65" t="s">
        <v>197</v>
      </c>
    </row>
    <row r="10" spans="1:9">
      <c r="A10" s="50"/>
      <c r="B10" s="51" t="s">
        <v>81</v>
      </c>
      <c r="C10" s="50"/>
      <c r="D10" s="50"/>
      <c r="E10" s="50"/>
      <c r="F10" s="50"/>
      <c r="G10" s="66">
        <v>3.03</v>
      </c>
      <c r="H10" s="66">
        <v>3.03</v>
      </c>
    </row>
    <row r="11" spans="1:9">
      <c r="A11" s="50"/>
      <c r="B11" s="51" t="s">
        <v>82</v>
      </c>
      <c r="C11" s="50"/>
      <c r="D11" s="50"/>
      <c r="E11" s="50"/>
      <c r="F11" s="50"/>
      <c r="G11" s="66" t="s">
        <v>77</v>
      </c>
      <c r="H11" s="66" t="s">
        <v>77</v>
      </c>
    </row>
    <row r="12" spans="1:9">
      <c r="A12" s="50"/>
      <c r="B12" s="51"/>
      <c r="C12" s="50"/>
      <c r="D12" s="50"/>
      <c r="E12" s="50"/>
      <c r="F12" s="50"/>
      <c r="G12" s="34"/>
      <c r="H12" s="34"/>
    </row>
    <row r="13" spans="1:9">
      <c r="B13" s="53" t="s">
        <v>83</v>
      </c>
    </row>
    <row r="14" spans="1:9">
      <c r="A14" s="54">
        <v>1</v>
      </c>
      <c r="B14" s="38" t="s">
        <v>84</v>
      </c>
      <c r="C14" s="38"/>
      <c r="D14" s="38"/>
      <c r="E14" s="38"/>
      <c r="F14" s="38"/>
      <c r="G14" s="35">
        <v>0</v>
      </c>
      <c r="H14" s="35">
        <v>0</v>
      </c>
    </row>
    <row r="15" spans="1:9">
      <c r="A15" s="54">
        <v>2</v>
      </c>
      <c r="B15" s="55" t="s">
        <v>85</v>
      </c>
      <c r="C15" s="55"/>
      <c r="D15" s="55"/>
      <c r="E15" s="55"/>
      <c r="F15" s="55"/>
      <c r="G15" s="33">
        <v>0</v>
      </c>
      <c r="H15" s="33">
        <v>0</v>
      </c>
    </row>
    <row r="16" spans="1:9">
      <c r="A16" s="54">
        <v>3</v>
      </c>
      <c r="B16" s="55" t="s">
        <v>86</v>
      </c>
      <c r="C16" s="55"/>
      <c r="D16" s="55"/>
      <c r="E16" s="55"/>
      <c r="F16" s="55"/>
      <c r="G16" s="36">
        <v>0</v>
      </c>
      <c r="H16" s="36">
        <v>0</v>
      </c>
    </row>
    <row r="17" spans="1:8">
      <c r="A17" s="54">
        <v>4</v>
      </c>
      <c r="B17" s="55" t="s">
        <v>87</v>
      </c>
      <c r="C17" s="55"/>
      <c r="D17" s="55"/>
      <c r="E17" s="55"/>
      <c r="F17" s="55"/>
      <c r="G17" s="33">
        <f t="shared" ref="G17" si="0">SUM(G14:G16)</f>
        <v>0</v>
      </c>
      <c r="H17" s="33">
        <f>SUM(H14:H16)</f>
        <v>0</v>
      </c>
    </row>
    <row r="18" spans="1:8">
      <c r="A18" s="54">
        <v>5</v>
      </c>
      <c r="B18" s="55" t="s">
        <v>88</v>
      </c>
      <c r="C18" s="55"/>
      <c r="D18" s="55"/>
      <c r="E18" s="55"/>
      <c r="F18" s="55"/>
      <c r="G18" s="36">
        <v>0</v>
      </c>
      <c r="H18" s="36">
        <v>0</v>
      </c>
    </row>
    <row r="19" spans="1:8">
      <c r="A19" s="54">
        <v>6</v>
      </c>
      <c r="B19" s="55" t="s">
        <v>89</v>
      </c>
      <c r="C19" s="55"/>
      <c r="D19" s="55"/>
      <c r="E19" s="55"/>
      <c r="F19" s="55"/>
      <c r="G19" s="33">
        <f t="shared" ref="G19:H19" si="1">SUM(G17:G18)</f>
        <v>0</v>
      </c>
      <c r="H19" s="33">
        <f t="shared" si="1"/>
        <v>0</v>
      </c>
    </row>
    <row r="20" spans="1:8">
      <c r="A20" s="54"/>
      <c r="B20" s="55"/>
      <c r="C20" s="55"/>
      <c r="D20" s="55"/>
      <c r="E20" s="55"/>
      <c r="F20" s="55"/>
    </row>
    <row r="21" spans="1:8">
      <c r="A21" s="54"/>
      <c r="B21" s="55" t="s">
        <v>90</v>
      </c>
      <c r="C21" s="55"/>
      <c r="D21" s="55"/>
      <c r="E21" s="55"/>
      <c r="F21" s="55"/>
    </row>
    <row r="22" spans="1:8">
      <c r="A22" s="54"/>
      <c r="B22" s="55" t="s">
        <v>91</v>
      </c>
      <c r="C22" s="55"/>
      <c r="D22" s="55"/>
      <c r="E22" s="55"/>
      <c r="F22" s="55"/>
    </row>
    <row r="23" spans="1:8">
      <c r="A23" s="54">
        <v>7</v>
      </c>
      <c r="B23" s="55"/>
      <c r="C23" s="55" t="s">
        <v>92</v>
      </c>
      <c r="D23" s="55"/>
      <c r="E23" s="55"/>
      <c r="F23" s="55"/>
      <c r="G23" s="33">
        <v>0</v>
      </c>
      <c r="H23" s="33">
        <v>0</v>
      </c>
    </row>
    <row r="24" spans="1:8">
      <c r="A24" s="54">
        <v>8</v>
      </c>
      <c r="B24" s="55"/>
      <c r="C24" s="55" t="s">
        <v>93</v>
      </c>
      <c r="D24" s="55"/>
      <c r="E24" s="55"/>
      <c r="F24" s="55"/>
      <c r="G24" s="33">
        <v>0</v>
      </c>
      <c r="H24" s="33">
        <v>0</v>
      </c>
    </row>
    <row r="25" spans="1:8">
      <c r="A25" s="54">
        <v>9</v>
      </c>
      <c r="B25" s="55"/>
      <c r="C25" s="55" t="s">
        <v>94</v>
      </c>
      <c r="D25" s="55"/>
      <c r="E25" s="55"/>
      <c r="F25" s="55"/>
      <c r="G25" s="33">
        <v>0</v>
      </c>
      <c r="H25" s="33">
        <v>0</v>
      </c>
    </row>
    <row r="26" spans="1:8">
      <c r="A26" s="54">
        <v>10</v>
      </c>
      <c r="B26" s="55"/>
      <c r="C26" s="55" t="s">
        <v>95</v>
      </c>
      <c r="D26" s="55"/>
      <c r="E26" s="55"/>
      <c r="F26" s="55"/>
      <c r="G26" s="33">
        <v>0</v>
      </c>
      <c r="H26" s="33">
        <v>0</v>
      </c>
    </row>
    <row r="27" spans="1:8">
      <c r="A27" s="54">
        <v>11</v>
      </c>
      <c r="B27" s="55"/>
      <c r="C27" s="55" t="s">
        <v>96</v>
      </c>
      <c r="D27" s="55"/>
      <c r="E27" s="55"/>
      <c r="F27" s="55"/>
      <c r="G27" s="36">
        <v>0</v>
      </c>
      <c r="H27" s="36">
        <v>0</v>
      </c>
    </row>
    <row r="28" spans="1:8">
      <c r="A28" s="54">
        <v>12</v>
      </c>
      <c r="B28" s="55" t="s">
        <v>97</v>
      </c>
      <c r="C28" s="55"/>
      <c r="D28" s="55"/>
      <c r="E28" s="55"/>
      <c r="F28" s="55"/>
      <c r="G28" s="33">
        <f t="shared" ref="G28" si="2">SUM(G23:G27)</f>
        <v>0</v>
      </c>
      <c r="H28" s="33">
        <f>SUM(H23:H27)</f>
        <v>0</v>
      </c>
    </row>
    <row r="29" spans="1:8">
      <c r="A29" s="54"/>
      <c r="B29" s="55"/>
      <c r="C29" s="55"/>
      <c r="D29" s="55"/>
      <c r="E29" s="55"/>
      <c r="F29" s="55"/>
    </row>
    <row r="30" spans="1:8">
      <c r="A30" s="54"/>
      <c r="B30" s="55" t="s">
        <v>98</v>
      </c>
      <c r="C30" s="55"/>
      <c r="D30" s="55"/>
      <c r="E30" s="55"/>
      <c r="F30" s="55"/>
    </row>
    <row r="31" spans="1:8">
      <c r="A31" s="54">
        <v>13</v>
      </c>
      <c r="B31" s="55"/>
      <c r="C31" s="55" t="s">
        <v>92</v>
      </c>
      <c r="D31" s="55"/>
      <c r="E31" s="55"/>
      <c r="F31" s="55"/>
      <c r="H31" s="33">
        <v>0</v>
      </c>
    </row>
    <row r="32" spans="1:8">
      <c r="A32" s="54">
        <v>14</v>
      </c>
      <c r="B32" s="55"/>
      <c r="C32" s="55" t="s">
        <v>99</v>
      </c>
      <c r="D32" s="55"/>
      <c r="E32" s="55"/>
      <c r="F32" s="55"/>
      <c r="G32" s="33">
        <v>0</v>
      </c>
      <c r="H32" s="33">
        <v>0</v>
      </c>
    </row>
    <row r="33" spans="1:8">
      <c r="A33" s="54"/>
      <c r="B33" s="55"/>
      <c r="C33" s="55" t="s">
        <v>95</v>
      </c>
      <c r="D33" s="55"/>
      <c r="E33" s="55"/>
      <c r="F33" s="55"/>
    </row>
    <row r="34" spans="1:8">
      <c r="A34" s="54">
        <v>15</v>
      </c>
      <c r="B34" s="55"/>
      <c r="C34" s="55" t="s">
        <v>96</v>
      </c>
      <c r="D34" s="55"/>
      <c r="E34" s="55"/>
      <c r="F34" s="55"/>
      <c r="G34" s="36">
        <v>0</v>
      </c>
      <c r="H34" s="36">
        <v>0</v>
      </c>
    </row>
    <row r="35" spans="1:8">
      <c r="A35" s="54">
        <v>16</v>
      </c>
      <c r="B35" s="55" t="s">
        <v>100</v>
      </c>
      <c r="C35" s="55"/>
      <c r="D35" s="55"/>
      <c r="E35" s="55"/>
      <c r="F35" s="55"/>
      <c r="G35" s="33">
        <f t="shared" ref="G35" si="3">SUM(G31:G34)</f>
        <v>0</v>
      </c>
      <c r="H35" s="33">
        <f t="shared" ref="H35" si="4">SUM(H31:H34)</f>
        <v>0</v>
      </c>
    </row>
    <row r="36" spans="1:8">
      <c r="A36" s="55"/>
      <c r="B36" s="55"/>
      <c r="C36" s="55"/>
      <c r="D36" s="55"/>
      <c r="E36" s="55"/>
      <c r="F36" s="55"/>
    </row>
    <row r="37" spans="1:8">
      <c r="A37" s="54">
        <v>17</v>
      </c>
      <c r="B37" s="55" t="s">
        <v>101</v>
      </c>
      <c r="C37" s="55"/>
      <c r="D37" s="55"/>
      <c r="E37" s="55"/>
      <c r="F37" s="55"/>
      <c r="G37" s="33">
        <v>0</v>
      </c>
      <c r="H37" s="33">
        <v>0</v>
      </c>
    </row>
    <row r="38" spans="1:8">
      <c r="A38" s="54">
        <v>18</v>
      </c>
      <c r="B38" s="55" t="s">
        <v>102</v>
      </c>
      <c r="C38" s="55"/>
      <c r="D38" s="55"/>
      <c r="E38" s="55"/>
      <c r="F38" s="55"/>
      <c r="G38" s="33">
        <v>0</v>
      </c>
      <c r="H38" s="33">
        <v>0</v>
      </c>
    </row>
    <row r="39" spans="1:8">
      <c r="A39" s="54">
        <v>19</v>
      </c>
      <c r="B39" s="55" t="s">
        <v>103</v>
      </c>
      <c r="C39" s="55"/>
      <c r="D39" s="55"/>
      <c r="E39" s="55"/>
      <c r="F39" s="55"/>
      <c r="G39" s="33">
        <v>0</v>
      </c>
      <c r="H39" s="33">
        <v>0</v>
      </c>
    </row>
    <row r="40" spans="1:8">
      <c r="A40" s="54"/>
      <c r="B40" s="55"/>
      <c r="C40" s="55"/>
      <c r="D40" s="55"/>
      <c r="E40" s="55"/>
      <c r="F40" s="55"/>
    </row>
    <row r="41" spans="1:8">
      <c r="A41" s="55"/>
      <c r="B41" s="55" t="s">
        <v>104</v>
      </c>
      <c r="C41" s="55"/>
      <c r="D41" s="55"/>
      <c r="E41" s="55"/>
      <c r="F41" s="55"/>
    </row>
    <row r="42" spans="1:8">
      <c r="A42" s="54">
        <v>20</v>
      </c>
      <c r="B42" s="55"/>
      <c r="C42" s="55" t="s">
        <v>92</v>
      </c>
      <c r="D42" s="55"/>
      <c r="E42" s="55"/>
      <c r="F42" s="55"/>
      <c r="H42" s="33">
        <v>0</v>
      </c>
    </row>
    <row r="43" spans="1:8">
      <c r="A43" s="54">
        <v>21</v>
      </c>
      <c r="B43" s="55"/>
      <c r="C43" s="55" t="s">
        <v>99</v>
      </c>
      <c r="D43" s="55"/>
      <c r="E43" s="55"/>
      <c r="F43" s="55"/>
      <c r="H43" s="33">
        <v>0</v>
      </c>
    </row>
    <row r="44" spans="1:8">
      <c r="A44" s="54">
        <v>22</v>
      </c>
      <c r="B44" s="55"/>
      <c r="C44" s="55" t="s">
        <v>105</v>
      </c>
      <c r="D44" s="55"/>
      <c r="E44" s="55"/>
      <c r="F44" s="55"/>
      <c r="H44" s="33">
        <v>0</v>
      </c>
    </row>
    <row r="45" spans="1:8">
      <c r="A45" s="54">
        <v>23</v>
      </c>
      <c r="B45" s="55"/>
      <c r="C45" s="55" t="s">
        <v>96</v>
      </c>
      <c r="D45" s="55"/>
      <c r="E45" s="55"/>
      <c r="F45" s="55"/>
      <c r="G45" s="36">
        <v>0</v>
      </c>
      <c r="H45" s="36">
        <v>0</v>
      </c>
    </row>
    <row r="46" spans="1:8">
      <c r="A46" s="54">
        <v>24</v>
      </c>
      <c r="B46" s="55" t="s">
        <v>106</v>
      </c>
      <c r="C46" s="55"/>
      <c r="D46" s="55"/>
      <c r="E46" s="55"/>
      <c r="F46" s="55"/>
      <c r="G46" s="36">
        <f t="shared" ref="G46" si="5">SUM(G42:G45)</f>
        <v>0</v>
      </c>
      <c r="H46" s="36">
        <f>SUM(H42:H45)</f>
        <v>0</v>
      </c>
    </row>
    <row r="47" spans="1:8">
      <c r="A47" s="54">
        <v>25</v>
      </c>
      <c r="B47" s="55" t="s">
        <v>107</v>
      </c>
      <c r="C47" s="55"/>
      <c r="D47" s="55"/>
      <c r="E47" s="55"/>
      <c r="F47" s="55"/>
      <c r="G47" s="36">
        <f t="shared" ref="G47:H47" si="6">G46+G39+G38+G37+G35+G28</f>
        <v>0</v>
      </c>
      <c r="H47" s="36">
        <f t="shared" si="6"/>
        <v>0</v>
      </c>
    </row>
    <row r="48" spans="1:8">
      <c r="A48" s="55"/>
      <c r="B48" s="55"/>
      <c r="C48" s="55"/>
      <c r="D48" s="55"/>
      <c r="E48" s="55"/>
      <c r="F48" s="55"/>
    </row>
    <row r="49" spans="1:9">
      <c r="A49" s="54">
        <v>26</v>
      </c>
      <c r="B49" s="55" t="s">
        <v>108</v>
      </c>
      <c r="C49" s="55"/>
      <c r="D49" s="55"/>
      <c r="E49" s="55"/>
      <c r="F49" s="55"/>
      <c r="G49" s="33">
        <f>G19-G47</f>
        <v>0</v>
      </c>
      <c r="H49" s="33">
        <f t="shared" ref="H49" si="7">H19-H47</f>
        <v>0</v>
      </c>
    </row>
    <row r="50" spans="1:9">
      <c r="A50" s="54"/>
      <c r="B50" s="55"/>
      <c r="C50" s="55"/>
      <c r="D50" s="55"/>
      <c r="E50" s="55"/>
      <c r="F50" s="55"/>
    </row>
    <row r="51" spans="1:9">
      <c r="A51" s="56"/>
      <c r="B51" s="55" t="s">
        <v>109</v>
      </c>
      <c r="C51" s="55"/>
      <c r="D51" s="55"/>
      <c r="E51" s="55"/>
      <c r="F51" s="55"/>
    </row>
    <row r="52" spans="1:9">
      <c r="A52" s="54">
        <v>27</v>
      </c>
      <c r="B52" s="55" t="s">
        <v>110</v>
      </c>
      <c r="C52" s="55"/>
      <c r="D52" s="57"/>
      <c r="E52" s="57"/>
      <c r="F52" s="57"/>
      <c r="G52" s="33">
        <f>G49*0.21</f>
        <v>0</v>
      </c>
      <c r="H52" s="33">
        <f>H49*0.21</f>
        <v>0</v>
      </c>
    </row>
    <row r="53" spans="1:9">
      <c r="A53" s="54">
        <v>28</v>
      </c>
      <c r="B53" s="55" t="s">
        <v>111</v>
      </c>
      <c r="C53" s="55"/>
      <c r="D53" s="55"/>
      <c r="E53" s="55"/>
      <c r="F53" s="55"/>
      <c r="H53" s="33">
        <f>(H81*'[1]RR SUMMARY'!$O$12)*-0.21</f>
        <v>0</v>
      </c>
    </row>
    <row r="54" spans="1:9">
      <c r="A54" s="54">
        <v>29</v>
      </c>
      <c r="B54" s="55" t="s">
        <v>112</v>
      </c>
      <c r="C54" s="55"/>
      <c r="D54" s="55"/>
      <c r="E54" s="55"/>
      <c r="F54" s="55"/>
      <c r="G54" s="33">
        <f>+'Adj Using Flow-Thru Detail'!T28/1000</f>
        <v>-500.18239963818809</v>
      </c>
      <c r="H54" s="33">
        <f>+'Adj Using Flow-Thru Detail'!T26/1000</f>
        <v>-484.54184221647682</v>
      </c>
      <c r="I54" s="124"/>
    </row>
    <row r="55" spans="1:9">
      <c r="A55" s="56">
        <v>30</v>
      </c>
      <c r="B55" s="55" t="s">
        <v>113</v>
      </c>
      <c r="C55" s="55"/>
      <c r="D55" s="55"/>
      <c r="E55" s="55"/>
      <c r="F55" s="55"/>
      <c r="G55" s="36">
        <v>0</v>
      </c>
      <c r="H55" s="36">
        <v>0</v>
      </c>
    </row>
    <row r="57" spans="1:9" ht="15.75" thickBot="1">
      <c r="A57" s="58">
        <v>31</v>
      </c>
      <c r="B57" s="38" t="s">
        <v>114</v>
      </c>
      <c r="C57" s="38"/>
      <c r="D57" s="38"/>
      <c r="E57" s="38"/>
      <c r="F57" s="38"/>
      <c r="G57" s="37">
        <f t="shared" ref="G57" si="8">G49-SUM(G52:G55)</f>
        <v>500.18239963818809</v>
      </c>
      <c r="H57" s="37">
        <f t="shared" ref="H57" si="9">H49-SUM(H52:H55)</f>
        <v>484.54184221647682</v>
      </c>
    </row>
    <row r="58" spans="1:9" ht="15.75" thickTop="1">
      <c r="A58" s="58"/>
    </row>
    <row r="59" spans="1:9">
      <c r="A59" s="58"/>
      <c r="B59" s="53" t="s">
        <v>115</v>
      </c>
    </row>
    <row r="60" spans="1:9">
      <c r="B60" s="53" t="s">
        <v>116</v>
      </c>
    </row>
    <row r="61" spans="1:9">
      <c r="A61" s="58">
        <v>32</v>
      </c>
      <c r="B61" s="38"/>
      <c r="C61" s="38" t="s">
        <v>117</v>
      </c>
      <c r="D61" s="38"/>
      <c r="E61" s="38"/>
      <c r="F61" s="38"/>
      <c r="G61" s="38"/>
      <c r="H61" s="38"/>
    </row>
    <row r="62" spans="1:9">
      <c r="A62" s="58">
        <v>33</v>
      </c>
      <c r="B62" s="55"/>
      <c r="C62" s="55" t="s">
        <v>118</v>
      </c>
      <c r="D62" s="55"/>
      <c r="E62" s="55"/>
      <c r="F62" s="55"/>
      <c r="H62" s="33">
        <v>0</v>
      </c>
    </row>
    <row r="63" spans="1:9">
      <c r="A63" s="58">
        <v>34</v>
      </c>
      <c r="B63" s="55"/>
      <c r="C63" s="55" t="s">
        <v>119</v>
      </c>
      <c r="D63" s="55"/>
      <c r="E63" s="55"/>
      <c r="F63" s="55"/>
      <c r="H63" s="33">
        <v>0</v>
      </c>
    </row>
    <row r="64" spans="1:9">
      <c r="A64" s="58">
        <v>35</v>
      </c>
      <c r="B64" s="55"/>
      <c r="C64" s="55" t="s">
        <v>98</v>
      </c>
      <c r="D64" s="55"/>
      <c r="E64" s="55"/>
      <c r="F64" s="55"/>
      <c r="H64" s="33">
        <v>0</v>
      </c>
    </row>
    <row r="65" spans="1:8">
      <c r="A65" s="58">
        <v>36</v>
      </c>
      <c r="B65" s="55"/>
      <c r="C65" s="55" t="s">
        <v>120</v>
      </c>
      <c r="D65" s="55"/>
      <c r="E65" s="55"/>
      <c r="F65" s="55"/>
      <c r="G65" s="36"/>
      <c r="H65" s="36">
        <v>0</v>
      </c>
    </row>
    <row r="66" spans="1:8">
      <c r="A66" s="58">
        <v>37</v>
      </c>
      <c r="B66" s="55" t="s">
        <v>121</v>
      </c>
      <c r="C66" s="55"/>
      <c r="D66" s="55"/>
      <c r="E66" s="55"/>
      <c r="F66" s="55"/>
      <c r="G66" s="33">
        <f t="shared" ref="G66" si="10">SUM(G61:G65)</f>
        <v>0</v>
      </c>
      <c r="H66" s="33">
        <f>SUM(H61:H65)</f>
        <v>0</v>
      </c>
    </row>
    <row r="67" spans="1:8" ht="23.25">
      <c r="A67" s="58"/>
      <c r="B67" s="67" t="s">
        <v>122</v>
      </c>
      <c r="C67" s="55"/>
      <c r="D67" s="55"/>
      <c r="E67" s="55"/>
      <c r="F67" s="55"/>
    </row>
    <row r="68" spans="1:8">
      <c r="A68" s="58">
        <v>38</v>
      </c>
      <c r="B68" s="55"/>
      <c r="C68" s="38" t="s">
        <v>117</v>
      </c>
      <c r="D68" s="55"/>
      <c r="E68" s="55"/>
      <c r="F68" s="55"/>
      <c r="H68" s="33">
        <v>0</v>
      </c>
    </row>
    <row r="69" spans="1:8">
      <c r="A69" s="58">
        <v>39</v>
      </c>
      <c r="B69" s="55"/>
      <c r="C69" s="55" t="s">
        <v>118</v>
      </c>
      <c r="D69" s="55"/>
      <c r="E69" s="55"/>
      <c r="F69" s="55"/>
      <c r="H69" s="33">
        <v>0</v>
      </c>
    </row>
    <row r="70" spans="1:8">
      <c r="A70" s="58">
        <v>40</v>
      </c>
      <c r="B70" s="55"/>
      <c r="C70" s="55" t="s">
        <v>119</v>
      </c>
      <c r="D70" s="55"/>
      <c r="E70" s="55"/>
      <c r="F70" s="55"/>
      <c r="H70" s="33">
        <v>0</v>
      </c>
    </row>
    <row r="71" spans="1:8">
      <c r="A71" s="58">
        <v>41</v>
      </c>
      <c r="B71" s="55"/>
      <c r="C71" s="55" t="s">
        <v>98</v>
      </c>
      <c r="D71" s="55"/>
      <c r="E71" s="55"/>
      <c r="F71" s="55"/>
      <c r="H71" s="33">
        <v>0</v>
      </c>
    </row>
    <row r="72" spans="1:8">
      <c r="A72" s="58">
        <v>42</v>
      </c>
      <c r="B72" s="55"/>
      <c r="C72" s="55" t="s">
        <v>120</v>
      </c>
      <c r="D72" s="55"/>
      <c r="E72" s="55"/>
      <c r="F72" s="55"/>
      <c r="H72" s="33">
        <v>0</v>
      </c>
    </row>
    <row r="73" spans="1:8">
      <c r="A73" s="58">
        <v>43</v>
      </c>
      <c r="B73" s="55" t="s">
        <v>123</v>
      </c>
      <c r="C73" s="55"/>
      <c r="D73" s="55"/>
      <c r="E73" s="55"/>
      <c r="F73" s="55"/>
      <c r="G73" s="39">
        <f t="shared" ref="G73" si="11">SUM(G68:G72)</f>
        <v>0</v>
      </c>
      <c r="H73" s="39">
        <f>SUM(H68:H72)</f>
        <v>0</v>
      </c>
    </row>
    <row r="74" spans="1:8">
      <c r="A74" s="58">
        <v>44</v>
      </c>
      <c r="B74" s="55" t="s">
        <v>124</v>
      </c>
      <c r="C74" s="55"/>
      <c r="D74" s="55"/>
      <c r="E74" s="55"/>
      <c r="F74" s="55"/>
      <c r="G74" s="39">
        <f>G66+G73</f>
        <v>0</v>
      </c>
      <c r="H74" s="39">
        <f>H66+H73</f>
        <v>0</v>
      </c>
    </row>
    <row r="75" spans="1:8">
      <c r="A75" s="58"/>
      <c r="B75" s="55"/>
      <c r="C75" s="55"/>
      <c r="D75" s="55"/>
      <c r="E75" s="55"/>
      <c r="F75" s="55"/>
    </row>
    <row r="76" spans="1:8">
      <c r="A76" s="56">
        <v>45</v>
      </c>
      <c r="B76" s="55" t="s">
        <v>125</v>
      </c>
      <c r="C76" s="55"/>
      <c r="D76" s="55"/>
      <c r="E76" s="55"/>
      <c r="F76" s="55"/>
      <c r="G76" s="36"/>
      <c r="H76" s="36">
        <v>0</v>
      </c>
    </row>
    <row r="77" spans="1:8">
      <c r="A77" s="56">
        <v>46</v>
      </c>
      <c r="B77" s="55"/>
      <c r="C77" s="55" t="s">
        <v>126</v>
      </c>
      <c r="D77" s="55"/>
      <c r="E77" s="55"/>
      <c r="F77" s="55"/>
      <c r="G77" s="33">
        <f t="shared" ref="G77" si="12">SUM(G74:G76)</f>
        <v>0</v>
      </c>
      <c r="H77" s="33">
        <f>SUM(H74:H76)</f>
        <v>0</v>
      </c>
    </row>
    <row r="78" spans="1:8">
      <c r="A78" s="58">
        <v>47</v>
      </c>
      <c r="B78" s="55" t="s">
        <v>127</v>
      </c>
      <c r="C78" s="55"/>
      <c r="D78" s="55"/>
      <c r="E78" s="55"/>
      <c r="F78" s="55"/>
    </row>
    <row r="79" spans="1:8">
      <c r="A79" s="58">
        <v>48</v>
      </c>
      <c r="B79" s="55" t="s">
        <v>128</v>
      </c>
      <c r="C79" s="55"/>
      <c r="D79" s="55"/>
      <c r="E79" s="55"/>
      <c r="F79" s="55"/>
      <c r="G79" s="36">
        <v>0</v>
      </c>
      <c r="H79" s="36">
        <v>0</v>
      </c>
    </row>
    <row r="80" spans="1:8">
      <c r="A80" s="56"/>
      <c r="B80" s="55"/>
      <c r="C80" s="55"/>
      <c r="D80" s="55"/>
      <c r="E80" s="55"/>
      <c r="F80" s="55"/>
    </row>
    <row r="81" spans="1:9" ht="15.75" thickBot="1">
      <c r="A81" s="54">
        <v>49</v>
      </c>
      <c r="B81" s="38" t="s">
        <v>129</v>
      </c>
      <c r="C81" s="38"/>
      <c r="D81" s="38"/>
      <c r="E81" s="38"/>
      <c r="F81" s="38"/>
      <c r="G81" s="37">
        <f t="shared" ref="G81" si="13">SUM(G77:G79)</f>
        <v>0</v>
      </c>
      <c r="H81" s="119">
        <f>SUM(H77:H79)</f>
        <v>0</v>
      </c>
    </row>
    <row r="82" spans="1:9" ht="15.75" thickTop="1">
      <c r="A82" s="54">
        <v>50</v>
      </c>
      <c r="B82" s="53" t="s">
        <v>130</v>
      </c>
    </row>
    <row r="83" spans="1:9">
      <c r="A83" s="52">
        <v>51</v>
      </c>
      <c r="B83" s="53" t="s">
        <v>131</v>
      </c>
      <c r="G83" s="68">
        <f>G89</f>
        <v>-662.23887465501741</v>
      </c>
      <c r="H83" s="68">
        <f>H89</f>
        <v>-641.53085863241506</v>
      </c>
    </row>
    <row r="84" spans="1:9">
      <c r="B84" s="59"/>
      <c r="G84" s="69"/>
    </row>
    <row r="85" spans="1:9">
      <c r="G85" s="70"/>
    </row>
    <row r="86" spans="1:9">
      <c r="D86" s="121" t="s">
        <v>142</v>
      </c>
      <c r="E86" s="122">
        <v>7.0699999999999999E-2</v>
      </c>
      <c r="F86" s="113"/>
    </row>
    <row r="87" spans="1:9">
      <c r="D87" s="53" t="s">
        <v>132</v>
      </c>
      <c r="E87" s="71">
        <v>0.75529000000000002</v>
      </c>
      <c r="F87" s="71"/>
    </row>
    <row r="88" spans="1:9">
      <c r="D88" s="53" t="s">
        <v>133</v>
      </c>
      <c r="G88" s="72">
        <f>G81*$E$86-G57</f>
        <v>-500.18239963818809</v>
      </c>
      <c r="H88" s="72">
        <f t="shared" ref="H88" si="14">H81*$E$85-H57</f>
        <v>-484.54184221647682</v>
      </c>
      <c r="I88" s="124">
        <f>+H88-G88</f>
        <v>15.640557421711264</v>
      </c>
    </row>
    <row r="89" spans="1:9">
      <c r="D89" s="53" t="s">
        <v>134</v>
      </c>
      <c r="G89" s="36">
        <f>G88/$E$87</f>
        <v>-662.23887465501741</v>
      </c>
      <c r="H89" s="36">
        <f>H88/$E$87</f>
        <v>-641.53085863241506</v>
      </c>
      <c r="I89" s="124">
        <f>+H89-G89</f>
        <v>20.708016022602351</v>
      </c>
    </row>
    <row r="94" spans="1:9">
      <c r="G94" s="73"/>
      <c r="H94" s="74"/>
    </row>
  </sheetData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FE78-6475-4E62-A537-DF8FFC33B2BC}">
  <sheetPr>
    <pageSetUpPr fitToPage="1"/>
  </sheetPr>
  <dimension ref="A1:I98"/>
  <sheetViews>
    <sheetView tabSelected="1" workbookViewId="0">
      <pane xSplit="4" ySplit="9" topLeftCell="E61" activePane="bottomRight" state="frozen"/>
      <selection pane="topRight" activeCell="E1" sqref="E1"/>
      <selection pane="bottomLeft" activeCell="A10" sqref="A10"/>
      <selection pane="bottomRight" sqref="A1:I83"/>
    </sheetView>
  </sheetViews>
  <sheetFormatPr defaultRowHeight="15"/>
  <cols>
    <col min="2" max="2" width="3.42578125" customWidth="1"/>
    <col min="3" max="3" width="3.5703125" customWidth="1"/>
    <col min="4" max="4" width="26.85546875" bestFit="1" customWidth="1"/>
    <col min="5" max="5" width="7.140625" bestFit="1" customWidth="1"/>
    <col min="6" max="6" width="2" customWidth="1"/>
    <col min="7" max="7" width="18.42578125" style="76" customWidth="1"/>
    <col min="8" max="8" width="16.140625" customWidth="1"/>
  </cols>
  <sheetData>
    <row r="1" spans="1:9">
      <c r="A1" s="75"/>
      <c r="B1" s="75"/>
      <c r="C1" s="75"/>
      <c r="D1" s="75"/>
      <c r="E1" s="75"/>
      <c r="F1" s="75"/>
      <c r="H1" s="75"/>
      <c r="I1" s="125" t="s">
        <v>199</v>
      </c>
    </row>
    <row r="2" spans="1:9">
      <c r="A2" s="77" t="s">
        <v>143</v>
      </c>
      <c r="B2" s="75"/>
      <c r="C2" s="75"/>
      <c r="D2" s="75"/>
      <c r="E2" s="75"/>
      <c r="F2" s="75"/>
      <c r="G2" s="78"/>
      <c r="H2" s="79"/>
      <c r="I2" s="125" t="s">
        <v>198</v>
      </c>
    </row>
    <row r="3" spans="1:9">
      <c r="A3" s="77" t="s">
        <v>144</v>
      </c>
      <c r="B3" s="75"/>
      <c r="C3" s="75"/>
      <c r="D3" s="75"/>
      <c r="E3" s="75"/>
      <c r="F3" s="75"/>
      <c r="G3" s="80"/>
      <c r="H3" s="80"/>
      <c r="I3" s="125"/>
    </row>
    <row r="4" spans="1:9">
      <c r="A4" s="77" t="s">
        <v>137</v>
      </c>
      <c r="B4" s="75"/>
      <c r="C4" s="75"/>
      <c r="D4" s="75"/>
      <c r="E4" s="75"/>
      <c r="F4" s="75"/>
      <c r="G4" s="80"/>
      <c r="H4" s="80"/>
    </row>
    <row r="5" spans="1:9">
      <c r="A5" s="77" t="s">
        <v>145</v>
      </c>
      <c r="B5" s="81"/>
      <c r="C5" s="81"/>
      <c r="D5" s="81"/>
      <c r="E5" s="81"/>
      <c r="F5" s="81"/>
      <c r="G5" s="80"/>
      <c r="H5" s="80"/>
    </row>
    <row r="6" spans="1:9">
      <c r="A6" s="82"/>
      <c r="B6" s="82"/>
      <c r="C6" s="82"/>
      <c r="D6" s="83"/>
      <c r="E6" s="83"/>
      <c r="F6" s="83"/>
      <c r="G6" s="84" t="s">
        <v>146</v>
      </c>
      <c r="H6" s="84" t="s">
        <v>147</v>
      </c>
    </row>
    <row r="7" spans="1:9">
      <c r="A7" s="85"/>
      <c r="B7" s="86"/>
      <c r="C7" s="87"/>
      <c r="D7" s="88"/>
      <c r="E7" s="89"/>
      <c r="F7" s="89"/>
      <c r="G7" s="63" t="s">
        <v>141</v>
      </c>
      <c r="H7" s="63" t="s">
        <v>141</v>
      </c>
    </row>
    <row r="8" spans="1:9">
      <c r="A8" s="90" t="s">
        <v>78</v>
      </c>
      <c r="B8" s="91"/>
      <c r="C8" s="82"/>
      <c r="D8" s="92"/>
      <c r="E8" s="89"/>
      <c r="F8" s="89"/>
      <c r="G8" s="64" t="s">
        <v>76</v>
      </c>
      <c r="H8" s="64" t="s">
        <v>76</v>
      </c>
    </row>
    <row r="9" spans="1:9">
      <c r="A9" s="93" t="s">
        <v>79</v>
      </c>
      <c r="B9" s="94"/>
      <c r="C9" s="95"/>
      <c r="D9" s="96" t="s">
        <v>80</v>
      </c>
      <c r="E9" s="82"/>
      <c r="F9" s="82"/>
      <c r="G9" s="65" t="s">
        <v>197</v>
      </c>
      <c r="H9" s="65" t="s">
        <v>197</v>
      </c>
    </row>
    <row r="10" spans="1:9">
      <c r="A10" s="82"/>
      <c r="B10" s="77" t="s">
        <v>148</v>
      </c>
      <c r="C10" s="82"/>
      <c r="D10" s="82"/>
      <c r="E10" s="82"/>
      <c r="F10" s="82"/>
      <c r="G10" s="97">
        <v>3.03</v>
      </c>
      <c r="H10" s="97">
        <v>3.03</v>
      </c>
    </row>
    <row r="11" spans="1:9">
      <c r="A11" s="82"/>
      <c r="B11" s="77" t="s">
        <v>82</v>
      </c>
      <c r="C11" s="82"/>
      <c r="D11" s="82"/>
      <c r="E11" s="82"/>
      <c r="F11" s="82"/>
      <c r="G11" s="98" t="s">
        <v>196</v>
      </c>
      <c r="H11" s="98" t="s">
        <v>196</v>
      </c>
    </row>
    <row r="12" spans="1:9">
      <c r="A12" s="75"/>
      <c r="B12" s="75"/>
      <c r="C12" s="75"/>
      <c r="D12" s="75"/>
      <c r="E12" s="75"/>
      <c r="F12" s="75"/>
      <c r="H12" s="75"/>
    </row>
    <row r="13" spans="1:9">
      <c r="A13" s="75"/>
      <c r="B13" s="89" t="s">
        <v>149</v>
      </c>
      <c r="C13" s="75"/>
      <c r="D13" s="75"/>
      <c r="E13" s="75"/>
      <c r="F13" s="75"/>
      <c r="H13" s="75"/>
    </row>
    <row r="14" spans="1:9">
      <c r="A14" s="81">
        <v>1</v>
      </c>
      <c r="B14" s="99" t="s">
        <v>150</v>
      </c>
      <c r="C14" s="99"/>
      <c r="D14" s="99"/>
      <c r="E14" s="99"/>
      <c r="F14" s="99"/>
      <c r="G14" s="100">
        <v>0</v>
      </c>
      <c r="H14" s="100">
        <v>0</v>
      </c>
    </row>
    <row r="15" spans="1:9">
      <c r="A15" s="81">
        <v>2</v>
      </c>
      <c r="B15" s="101" t="s">
        <v>151</v>
      </c>
      <c r="C15" s="75"/>
      <c r="D15" s="101"/>
      <c r="E15" s="101"/>
      <c r="F15" s="101"/>
      <c r="G15" s="102">
        <v>0</v>
      </c>
      <c r="H15" s="102">
        <v>0</v>
      </c>
    </row>
    <row r="16" spans="1:9">
      <c r="A16" s="81">
        <v>3</v>
      </c>
      <c r="B16" s="101" t="s">
        <v>152</v>
      </c>
      <c r="C16" s="75"/>
      <c r="D16" s="101"/>
      <c r="E16" s="101"/>
      <c r="F16" s="101"/>
      <c r="G16" s="103">
        <v>0</v>
      </c>
      <c r="H16" s="103">
        <v>0</v>
      </c>
    </row>
    <row r="17" spans="1:8">
      <c r="A17" s="81">
        <v>4</v>
      </c>
      <c r="B17" s="89" t="s">
        <v>153</v>
      </c>
      <c r="C17" s="101"/>
      <c r="D17" s="101"/>
      <c r="E17" s="101"/>
      <c r="F17" s="101"/>
      <c r="G17" s="104">
        <f t="shared" ref="G17" si="0">SUM(G14:G16)</f>
        <v>0</v>
      </c>
      <c r="H17" s="104">
        <f>SUM(H14:H16)</f>
        <v>0</v>
      </c>
    </row>
    <row r="18" spans="1:8">
      <c r="A18" s="75"/>
      <c r="B18" s="75"/>
      <c r="C18" s="101"/>
      <c r="D18" s="101"/>
      <c r="E18" s="101"/>
      <c r="F18" s="101"/>
      <c r="G18" s="102"/>
      <c r="H18" s="102"/>
    </row>
    <row r="19" spans="1:8">
      <c r="A19" s="75"/>
      <c r="B19" s="89" t="s">
        <v>154</v>
      </c>
      <c r="C19" s="101"/>
      <c r="D19" s="101"/>
      <c r="E19" s="101"/>
      <c r="F19" s="101"/>
      <c r="G19" s="102"/>
      <c r="H19" s="102"/>
    </row>
    <row r="20" spans="1:8">
      <c r="A20" s="75"/>
      <c r="B20" s="101" t="s">
        <v>155</v>
      </c>
      <c r="C20" s="75"/>
      <c r="D20" s="101"/>
      <c r="E20" s="101"/>
      <c r="F20" s="101"/>
      <c r="G20" s="102"/>
      <c r="H20" s="102"/>
    </row>
    <row r="21" spans="1:8">
      <c r="A21" s="81">
        <v>5</v>
      </c>
      <c r="B21" s="75"/>
      <c r="C21" s="101" t="s">
        <v>156</v>
      </c>
      <c r="D21" s="101"/>
      <c r="E21" s="101"/>
      <c r="F21" s="101"/>
      <c r="G21" s="102">
        <v>0</v>
      </c>
      <c r="H21" s="102">
        <v>0</v>
      </c>
    </row>
    <row r="22" spans="1:8">
      <c r="A22" s="81">
        <v>6</v>
      </c>
      <c r="B22" s="75"/>
      <c r="C22" s="101" t="s">
        <v>157</v>
      </c>
      <c r="D22" s="101"/>
      <c r="E22" s="101"/>
      <c r="F22" s="101"/>
      <c r="G22" s="102">
        <v>0</v>
      </c>
      <c r="H22" s="102">
        <v>0</v>
      </c>
    </row>
    <row r="23" spans="1:8">
      <c r="A23" s="81">
        <v>7</v>
      </c>
      <c r="B23" s="75"/>
      <c r="C23" s="101" t="s">
        <v>158</v>
      </c>
      <c r="D23" s="101"/>
      <c r="E23" s="101"/>
      <c r="F23" s="101"/>
      <c r="G23" s="103">
        <v>0</v>
      </c>
      <c r="H23" s="103">
        <v>0</v>
      </c>
    </row>
    <row r="24" spans="1:8">
      <c r="A24" s="81">
        <v>8</v>
      </c>
      <c r="B24" s="101" t="s">
        <v>159</v>
      </c>
      <c r="C24" s="101"/>
      <c r="D24" s="75"/>
      <c r="E24" s="75"/>
      <c r="F24" s="75"/>
      <c r="G24" s="104">
        <f t="shared" ref="G24" si="1">SUM(G21:G23)</f>
        <v>0</v>
      </c>
      <c r="H24" s="104">
        <f>SUM(H21:H23)</f>
        <v>0</v>
      </c>
    </row>
    <row r="25" spans="1:8">
      <c r="A25" s="75"/>
      <c r="B25" s="101"/>
      <c r="C25" s="101"/>
      <c r="D25" s="75"/>
      <c r="E25" s="75"/>
      <c r="F25" s="75"/>
      <c r="G25" s="104"/>
      <c r="H25" s="104"/>
    </row>
    <row r="26" spans="1:8">
      <c r="A26" s="75"/>
      <c r="B26" s="101" t="s">
        <v>160</v>
      </c>
      <c r="C26" s="75"/>
      <c r="D26" s="101"/>
      <c r="E26" s="101"/>
      <c r="F26" s="101"/>
      <c r="G26" s="102"/>
      <c r="H26" s="102"/>
    </row>
    <row r="27" spans="1:8">
      <c r="A27" s="81">
        <v>9</v>
      </c>
      <c r="B27" s="75"/>
      <c r="C27" s="101" t="s">
        <v>161</v>
      </c>
      <c r="D27" s="101"/>
      <c r="E27" s="101"/>
      <c r="F27" s="101"/>
      <c r="G27" s="102">
        <v>0</v>
      </c>
      <c r="H27" s="102">
        <v>0</v>
      </c>
    </row>
    <row r="28" spans="1:8">
      <c r="A28" s="81">
        <v>10</v>
      </c>
      <c r="B28" s="75"/>
      <c r="C28" s="101" t="s">
        <v>99</v>
      </c>
      <c r="D28" s="101"/>
      <c r="E28" s="101"/>
      <c r="F28" s="101"/>
      <c r="G28" s="102">
        <v>0</v>
      </c>
      <c r="H28" s="102">
        <v>0</v>
      </c>
    </row>
    <row r="29" spans="1:8">
      <c r="A29" s="81">
        <v>11</v>
      </c>
      <c r="B29" s="75"/>
      <c r="C29" s="101" t="s">
        <v>162</v>
      </c>
      <c r="D29" s="101"/>
      <c r="E29" s="101"/>
      <c r="F29" s="101"/>
      <c r="G29" s="103">
        <v>0</v>
      </c>
      <c r="H29" s="103">
        <v>0</v>
      </c>
    </row>
    <row r="30" spans="1:8">
      <c r="A30" s="81">
        <v>12</v>
      </c>
      <c r="B30" s="101" t="s">
        <v>163</v>
      </c>
      <c r="C30" s="101"/>
      <c r="D30" s="75"/>
      <c r="E30" s="75"/>
      <c r="F30" s="75"/>
      <c r="G30" s="104">
        <f t="shared" ref="G30" si="2">SUM(G27:G29)</f>
        <v>0</v>
      </c>
      <c r="H30" s="104">
        <f>SUM(H27:H29)</f>
        <v>0</v>
      </c>
    </row>
    <row r="31" spans="1:8">
      <c r="A31" s="75"/>
      <c r="B31" s="101"/>
      <c r="C31" s="101"/>
      <c r="D31" s="75"/>
      <c r="E31" s="75"/>
      <c r="F31" s="75"/>
      <c r="G31" s="104"/>
      <c r="H31" s="104"/>
    </row>
    <row r="32" spans="1:8">
      <c r="A32" s="75"/>
      <c r="B32" s="101" t="s">
        <v>164</v>
      </c>
      <c r="C32" s="75"/>
      <c r="D32" s="101"/>
      <c r="E32" s="101"/>
      <c r="F32" s="101"/>
      <c r="G32" s="102"/>
      <c r="H32" s="102"/>
    </row>
    <row r="33" spans="1:8">
      <c r="A33" s="81">
        <v>13</v>
      </c>
      <c r="B33" s="75"/>
      <c r="C33" s="101" t="s">
        <v>161</v>
      </c>
      <c r="D33" s="101"/>
      <c r="E33" s="101"/>
      <c r="F33" s="101"/>
      <c r="G33" s="102"/>
      <c r="H33" s="102">
        <v>0</v>
      </c>
    </row>
    <row r="34" spans="1:8">
      <c r="A34" s="81">
        <v>14</v>
      </c>
      <c r="B34" s="75"/>
      <c r="C34" s="101" t="s">
        <v>99</v>
      </c>
      <c r="D34" s="101"/>
      <c r="E34" s="101"/>
      <c r="F34" s="101"/>
      <c r="G34" s="102"/>
      <c r="H34" s="102">
        <v>0</v>
      </c>
    </row>
    <row r="35" spans="1:8">
      <c r="A35" s="81">
        <v>15</v>
      </c>
      <c r="B35" s="75"/>
      <c r="C35" s="101" t="s">
        <v>162</v>
      </c>
      <c r="D35" s="101"/>
      <c r="E35" s="101"/>
      <c r="F35" s="101"/>
      <c r="G35" s="103">
        <v>0</v>
      </c>
      <c r="H35" s="103">
        <v>0</v>
      </c>
    </row>
    <row r="36" spans="1:8">
      <c r="A36" s="81">
        <v>16</v>
      </c>
      <c r="B36" s="101" t="s">
        <v>165</v>
      </c>
      <c r="C36" s="101"/>
      <c r="D36" s="75"/>
      <c r="E36" s="75"/>
      <c r="F36" s="75"/>
      <c r="G36" s="104">
        <f t="shared" ref="G36" si="3">SUM(G33:G35)</f>
        <v>0</v>
      </c>
      <c r="H36" s="104">
        <f>SUM(H33:H35)</f>
        <v>0</v>
      </c>
    </row>
    <row r="37" spans="1:8">
      <c r="A37" s="75"/>
      <c r="B37" s="75"/>
      <c r="C37" s="101"/>
      <c r="D37" s="101"/>
      <c r="E37" s="101"/>
      <c r="F37" s="101"/>
      <c r="G37" s="104"/>
      <c r="H37" s="104"/>
    </row>
    <row r="38" spans="1:8">
      <c r="A38" s="81">
        <v>17</v>
      </c>
      <c r="B38" s="89" t="s">
        <v>166</v>
      </c>
      <c r="C38" s="101"/>
      <c r="D38" s="101"/>
      <c r="E38" s="101"/>
      <c r="F38" s="101"/>
      <c r="G38" s="102"/>
      <c r="H38" s="102"/>
    </row>
    <row r="39" spans="1:8">
      <c r="A39" s="81">
        <v>18</v>
      </c>
      <c r="B39" s="89" t="s">
        <v>167</v>
      </c>
      <c r="C39" s="101"/>
      <c r="D39" s="101"/>
      <c r="E39" s="101"/>
      <c r="F39" s="101"/>
      <c r="G39" s="102">
        <v>0</v>
      </c>
      <c r="H39" s="102">
        <v>0</v>
      </c>
    </row>
    <row r="40" spans="1:8">
      <c r="A40" s="81">
        <v>19</v>
      </c>
      <c r="B40" s="89" t="s">
        <v>168</v>
      </c>
      <c r="C40" s="101"/>
      <c r="D40" s="101"/>
      <c r="E40" s="101"/>
      <c r="F40" s="101"/>
      <c r="G40" s="102">
        <v>0</v>
      </c>
      <c r="H40" s="102">
        <v>0</v>
      </c>
    </row>
    <row r="41" spans="1:8">
      <c r="A41" s="75"/>
      <c r="B41" s="75"/>
      <c r="C41" s="101"/>
      <c r="D41" s="101"/>
      <c r="E41" s="101"/>
      <c r="F41" s="101"/>
      <c r="G41" s="102"/>
      <c r="H41" s="102"/>
    </row>
    <row r="42" spans="1:8">
      <c r="A42" s="75"/>
      <c r="B42" s="89" t="s">
        <v>169</v>
      </c>
      <c r="C42" s="101"/>
      <c r="D42" s="101"/>
      <c r="E42" s="101"/>
      <c r="F42" s="101"/>
      <c r="G42" s="102"/>
      <c r="H42" s="102"/>
    </row>
    <row r="43" spans="1:8">
      <c r="A43" s="81">
        <v>20</v>
      </c>
      <c r="B43" s="75"/>
      <c r="C43" s="101" t="s">
        <v>161</v>
      </c>
      <c r="D43" s="101"/>
      <c r="E43" s="101"/>
      <c r="F43" s="101"/>
      <c r="G43" s="105">
        <v>0</v>
      </c>
      <c r="H43" s="105">
        <v>0</v>
      </c>
    </row>
    <row r="44" spans="1:8">
      <c r="A44" s="81">
        <v>21</v>
      </c>
      <c r="B44" s="75"/>
      <c r="C44" s="101" t="s">
        <v>99</v>
      </c>
      <c r="D44" s="101"/>
      <c r="E44" s="101"/>
      <c r="F44" s="101"/>
      <c r="G44" s="102"/>
      <c r="H44" s="102">
        <v>0</v>
      </c>
    </row>
    <row r="45" spans="1:8">
      <c r="A45" s="81">
        <v>22</v>
      </c>
      <c r="B45" s="75"/>
      <c r="C45" s="106" t="s">
        <v>170</v>
      </c>
      <c r="D45" s="101"/>
      <c r="E45" s="101"/>
      <c r="F45" s="101"/>
      <c r="G45" s="102"/>
      <c r="H45" s="102"/>
    </row>
    <row r="46" spans="1:8">
      <c r="A46" s="81">
        <v>23</v>
      </c>
      <c r="B46" s="75"/>
      <c r="C46" s="101" t="s">
        <v>162</v>
      </c>
      <c r="D46" s="101"/>
      <c r="E46" s="101"/>
      <c r="F46" s="101"/>
      <c r="G46" s="103">
        <v>0</v>
      </c>
      <c r="H46" s="103">
        <v>0</v>
      </c>
    </row>
    <row r="47" spans="1:8">
      <c r="A47" s="81">
        <v>24</v>
      </c>
      <c r="B47" s="101" t="s">
        <v>171</v>
      </c>
      <c r="C47" s="101"/>
      <c r="D47" s="75"/>
      <c r="E47" s="75"/>
      <c r="F47" s="75"/>
      <c r="G47" s="107">
        <f t="shared" ref="G47" si="4">SUM(G43:G46)</f>
        <v>0</v>
      </c>
      <c r="H47" s="107">
        <f>SUM(H43:H46)</f>
        <v>0</v>
      </c>
    </row>
    <row r="48" spans="1:8">
      <c r="A48" s="81">
        <v>25</v>
      </c>
      <c r="B48" s="89" t="s">
        <v>172</v>
      </c>
      <c r="C48" s="101"/>
      <c r="D48" s="101"/>
      <c r="E48" s="101"/>
      <c r="F48" s="101"/>
      <c r="G48" s="107">
        <f t="shared" ref="G48" si="5">G20+G24+G30+G36+G38+G39+G40+G47</f>
        <v>0</v>
      </c>
      <c r="H48" s="107">
        <f>H20+H24+H30+H36+H38+H39+H40+H47</f>
        <v>0</v>
      </c>
    </row>
    <row r="49" spans="1:9">
      <c r="A49" s="75"/>
      <c r="B49" s="75"/>
      <c r="C49" s="101"/>
      <c r="D49" s="101"/>
      <c r="E49" s="101"/>
      <c r="F49" s="101"/>
      <c r="G49" s="104"/>
      <c r="H49" s="104"/>
    </row>
    <row r="50" spans="1:9">
      <c r="A50" s="81">
        <v>26</v>
      </c>
      <c r="B50" s="89" t="s">
        <v>173</v>
      </c>
      <c r="C50" s="101"/>
      <c r="D50" s="101"/>
      <c r="E50" s="101"/>
      <c r="F50" s="101"/>
      <c r="G50" s="104">
        <f t="shared" ref="G50" si="6">G17-G48</f>
        <v>0</v>
      </c>
      <c r="H50" s="104">
        <f>H17-H48</f>
        <v>0</v>
      </c>
    </row>
    <row r="51" spans="1:9">
      <c r="A51" s="75"/>
      <c r="B51" s="75"/>
      <c r="C51" s="101"/>
      <c r="D51" s="101"/>
      <c r="E51" s="101"/>
      <c r="F51" s="101"/>
      <c r="G51" s="104"/>
      <c r="H51" s="104"/>
    </row>
    <row r="52" spans="1:9">
      <c r="A52" s="75"/>
      <c r="B52" s="89" t="s">
        <v>174</v>
      </c>
      <c r="C52" s="101"/>
      <c r="D52" s="101"/>
      <c r="E52" s="101"/>
      <c r="F52" s="101"/>
      <c r="G52" s="102"/>
      <c r="H52" s="102"/>
    </row>
    <row r="53" spans="1:9">
      <c r="A53" s="81">
        <v>27</v>
      </c>
      <c r="B53" s="101" t="s">
        <v>175</v>
      </c>
      <c r="C53" s="75"/>
      <c r="D53" s="101"/>
      <c r="E53" s="101"/>
      <c r="F53" s="101"/>
      <c r="G53" s="102">
        <f t="shared" ref="G53:H53" si="7">G50*0.21</f>
        <v>0</v>
      </c>
      <c r="H53" s="102">
        <f t="shared" si="7"/>
        <v>0</v>
      </c>
    </row>
    <row r="54" spans="1:9">
      <c r="A54" s="81">
        <v>28</v>
      </c>
      <c r="B54" s="101" t="s">
        <v>111</v>
      </c>
      <c r="C54" s="75"/>
      <c r="D54" s="101"/>
      <c r="E54" s="101"/>
      <c r="F54" s="101"/>
      <c r="G54" s="102"/>
      <c r="H54" s="102">
        <f>(H81*'[2]RR SUMMARY'!$P$12)*-0.21</f>
        <v>0</v>
      </c>
    </row>
    <row r="55" spans="1:9">
      <c r="A55" s="81">
        <v>29</v>
      </c>
      <c r="B55" s="101" t="s">
        <v>176</v>
      </c>
      <c r="C55" s="75"/>
      <c r="D55" s="101"/>
      <c r="E55" s="101"/>
      <c r="F55" s="101"/>
      <c r="G55" s="102">
        <f>+'Adj Using Flow-Thru Detail'!V28/1000</f>
        <v>41.022319674043331</v>
      </c>
      <c r="H55" s="102">
        <f>+'Adj Using Flow-Thru Detail'!V26/1000</f>
        <v>-5.232930889953626</v>
      </c>
      <c r="I55" s="124"/>
    </row>
    <row r="56" spans="1:9">
      <c r="A56" s="81">
        <v>30</v>
      </c>
      <c r="B56" s="101" t="s">
        <v>177</v>
      </c>
      <c r="C56" s="75"/>
      <c r="D56" s="101"/>
      <c r="E56" s="101"/>
      <c r="F56" s="101"/>
      <c r="G56" s="103">
        <v>0</v>
      </c>
      <c r="H56" s="103">
        <v>0</v>
      </c>
    </row>
    <row r="57" spans="1:9">
      <c r="A57" s="75"/>
      <c r="B57" s="75"/>
      <c r="C57" s="75"/>
      <c r="D57" s="75"/>
      <c r="E57" s="75"/>
      <c r="F57" s="75"/>
      <c r="G57" s="104"/>
      <c r="H57" s="104"/>
    </row>
    <row r="58" spans="1:9" ht="15.75" thickBot="1">
      <c r="A58" s="81">
        <v>31</v>
      </c>
      <c r="B58" s="99" t="s">
        <v>178</v>
      </c>
      <c r="C58" s="99"/>
      <c r="D58" s="99"/>
      <c r="E58" s="99"/>
      <c r="F58" s="99"/>
      <c r="G58" s="108">
        <f t="shared" ref="G58" si="8">G50-SUM(G53:G56)</f>
        <v>-41.022319674043331</v>
      </c>
      <c r="H58" s="108">
        <f t="shared" ref="H58" si="9">H50-SUM(H53:H56)</f>
        <v>5.232930889953626</v>
      </c>
    </row>
    <row r="59" spans="1:9" ht="15.75" thickTop="1">
      <c r="A59" s="75"/>
      <c r="B59" s="75"/>
      <c r="C59" s="75"/>
      <c r="D59" s="75"/>
      <c r="E59" s="75"/>
      <c r="F59" s="75"/>
      <c r="G59" s="104"/>
      <c r="H59" s="104"/>
    </row>
    <row r="60" spans="1:9">
      <c r="A60" s="75"/>
      <c r="B60" s="89" t="s">
        <v>179</v>
      </c>
      <c r="C60" s="75"/>
      <c r="D60" s="75"/>
      <c r="E60" s="75"/>
      <c r="F60" s="75"/>
      <c r="G60" s="104"/>
      <c r="H60" s="104"/>
    </row>
    <row r="61" spans="1:9">
      <c r="A61" s="75"/>
      <c r="B61" s="89" t="s">
        <v>180</v>
      </c>
      <c r="C61" s="75"/>
      <c r="D61" s="75"/>
      <c r="E61" s="75"/>
      <c r="F61" s="75"/>
      <c r="G61" s="102"/>
      <c r="H61" s="102"/>
    </row>
    <row r="62" spans="1:9">
      <c r="A62" s="81">
        <v>32</v>
      </c>
      <c r="B62" s="101"/>
      <c r="C62" s="101" t="s">
        <v>160</v>
      </c>
      <c r="D62" s="101"/>
      <c r="E62" s="101"/>
      <c r="F62" s="101"/>
      <c r="G62" s="100">
        <v>0</v>
      </c>
      <c r="H62" s="100">
        <v>0</v>
      </c>
    </row>
    <row r="63" spans="1:9">
      <c r="A63" s="81">
        <v>33</v>
      </c>
      <c r="B63" s="101"/>
      <c r="C63" s="101" t="s">
        <v>181</v>
      </c>
      <c r="D63" s="101"/>
      <c r="E63" s="101"/>
      <c r="F63" s="101"/>
      <c r="G63" s="102"/>
      <c r="H63" s="102"/>
    </row>
    <row r="64" spans="1:9">
      <c r="A64" s="81">
        <v>34</v>
      </c>
      <c r="B64" s="101"/>
      <c r="C64" s="101" t="s">
        <v>182</v>
      </c>
      <c r="D64" s="101"/>
      <c r="E64" s="101"/>
      <c r="F64" s="101"/>
      <c r="G64" s="103"/>
      <c r="H64" s="103"/>
    </row>
    <row r="65" spans="1:8">
      <c r="A65" s="81">
        <v>35</v>
      </c>
      <c r="B65" s="101" t="s">
        <v>183</v>
      </c>
      <c r="C65" s="101"/>
      <c r="D65" s="75"/>
      <c r="E65" s="75"/>
      <c r="F65" s="75"/>
      <c r="G65" s="104">
        <f t="shared" ref="G65" si="10">SUM(G62:G64)</f>
        <v>0</v>
      </c>
      <c r="H65" s="104">
        <f>SUM(H62:H64)</f>
        <v>0</v>
      </c>
    </row>
    <row r="66" spans="1:8">
      <c r="A66" s="75"/>
      <c r="B66" s="101"/>
      <c r="C66" s="101"/>
      <c r="D66" s="75"/>
      <c r="E66" s="75"/>
      <c r="F66" s="75"/>
      <c r="G66" s="104"/>
      <c r="H66" s="104"/>
    </row>
    <row r="67" spans="1:8">
      <c r="A67" s="75"/>
      <c r="B67" s="101" t="s">
        <v>122</v>
      </c>
      <c r="C67" s="101"/>
      <c r="D67" s="101"/>
      <c r="E67" s="101"/>
      <c r="F67" s="101"/>
      <c r="G67" s="102"/>
      <c r="H67" s="102"/>
    </row>
    <row r="68" spans="1:8">
      <c r="A68" s="81">
        <v>36</v>
      </c>
      <c r="B68" s="101"/>
      <c r="C68" s="101" t="s">
        <v>160</v>
      </c>
      <c r="D68" s="101"/>
      <c r="E68" s="101"/>
      <c r="F68" s="101"/>
      <c r="G68" s="102">
        <v>0</v>
      </c>
      <c r="H68" s="102">
        <v>0</v>
      </c>
    </row>
    <row r="69" spans="1:8">
      <c r="A69" s="81">
        <v>37</v>
      </c>
      <c r="B69" s="101"/>
      <c r="C69" s="101" t="s">
        <v>181</v>
      </c>
      <c r="D69" s="101"/>
      <c r="E69" s="101"/>
      <c r="F69" s="101"/>
      <c r="G69" s="102"/>
      <c r="H69" s="102"/>
    </row>
    <row r="70" spans="1:8">
      <c r="A70" s="81">
        <v>38</v>
      </c>
      <c r="B70" s="101"/>
      <c r="C70" s="101" t="s">
        <v>182</v>
      </c>
      <c r="D70" s="101"/>
      <c r="E70" s="101"/>
      <c r="F70" s="101"/>
      <c r="G70" s="102"/>
      <c r="H70" s="102"/>
    </row>
    <row r="71" spans="1:8">
      <c r="A71" s="81">
        <v>39</v>
      </c>
      <c r="B71" s="101" t="s">
        <v>184</v>
      </c>
      <c r="C71" s="101"/>
      <c r="D71" s="75"/>
      <c r="E71" s="75"/>
      <c r="F71" s="75"/>
      <c r="G71" s="109">
        <f t="shared" ref="G71" si="11">SUM(G68:G70)</f>
        <v>0</v>
      </c>
      <c r="H71" s="109">
        <f>SUM(H68:H70)</f>
        <v>0</v>
      </c>
    </row>
    <row r="72" spans="1:8">
      <c r="A72" s="81">
        <v>40</v>
      </c>
      <c r="B72" s="101" t="s">
        <v>185</v>
      </c>
      <c r="C72" s="101"/>
      <c r="D72" s="101"/>
      <c r="E72" s="101"/>
      <c r="F72" s="101"/>
      <c r="G72" s="104">
        <f t="shared" ref="G72" si="12">G65+G71</f>
        <v>0</v>
      </c>
      <c r="H72" s="104">
        <f>H65+H71</f>
        <v>0</v>
      </c>
    </row>
    <row r="73" spans="1:8">
      <c r="A73" s="81">
        <v>41</v>
      </c>
      <c r="B73" s="101" t="s">
        <v>186</v>
      </c>
      <c r="C73" s="101"/>
      <c r="D73" s="101"/>
      <c r="E73" s="101"/>
      <c r="F73" s="101"/>
      <c r="G73" s="103"/>
      <c r="H73" s="103"/>
    </row>
    <row r="74" spans="1:8">
      <c r="A74" s="81">
        <v>42</v>
      </c>
      <c r="B74" s="101" t="s">
        <v>126</v>
      </c>
      <c r="C74" s="101"/>
      <c r="D74" s="101"/>
      <c r="E74" s="101"/>
      <c r="F74" s="101"/>
      <c r="G74" s="104">
        <f t="shared" ref="G74" si="13">G72+G73</f>
        <v>0</v>
      </c>
      <c r="H74" s="104">
        <f>H72+H73</f>
        <v>0</v>
      </c>
    </row>
    <row r="75" spans="1:8">
      <c r="A75" s="81">
        <v>43</v>
      </c>
      <c r="B75" s="101" t="s">
        <v>187</v>
      </c>
      <c r="C75" s="101"/>
      <c r="D75" s="101"/>
      <c r="E75" s="101"/>
      <c r="F75" s="101"/>
      <c r="G75" s="102">
        <v>0</v>
      </c>
      <c r="H75" s="102">
        <v>0</v>
      </c>
    </row>
    <row r="76" spans="1:8">
      <c r="A76" s="81">
        <v>44</v>
      </c>
      <c r="B76" s="101" t="s">
        <v>188</v>
      </c>
      <c r="C76" s="101"/>
      <c r="D76" s="101"/>
      <c r="E76" s="101"/>
      <c r="F76" s="101"/>
      <c r="G76" s="102">
        <v>0</v>
      </c>
      <c r="H76" s="102">
        <v>0</v>
      </c>
    </row>
    <row r="77" spans="1:8">
      <c r="A77" s="81">
        <v>45</v>
      </c>
      <c r="B77" s="101" t="s">
        <v>189</v>
      </c>
      <c r="C77" s="101"/>
      <c r="D77" s="101"/>
      <c r="E77" s="101"/>
      <c r="F77" s="101"/>
      <c r="G77" s="102"/>
      <c r="H77" s="102"/>
    </row>
    <row r="78" spans="1:8">
      <c r="A78" s="81">
        <v>46</v>
      </c>
      <c r="B78" s="101" t="s">
        <v>128</v>
      </c>
      <c r="C78" s="101"/>
      <c r="D78" s="101"/>
      <c r="E78" s="101"/>
      <c r="F78" s="101"/>
      <c r="G78" s="103">
        <v>0</v>
      </c>
      <c r="H78" s="103">
        <v>0</v>
      </c>
    </row>
    <row r="79" spans="1:8">
      <c r="A79" s="75"/>
      <c r="B79" s="75"/>
      <c r="C79" s="75"/>
      <c r="D79" s="75"/>
      <c r="E79" s="75"/>
      <c r="F79" s="75"/>
      <c r="H79" s="76"/>
    </row>
    <row r="80" spans="1:8">
      <c r="A80" s="75"/>
      <c r="B80" s="75"/>
      <c r="C80" s="75"/>
      <c r="D80" s="75"/>
      <c r="E80" s="75"/>
      <c r="F80" s="75"/>
      <c r="G80" s="104"/>
      <c r="H80" s="104"/>
    </row>
    <row r="81" spans="1:9" ht="15.75" thickBot="1">
      <c r="A81" s="82">
        <v>47</v>
      </c>
      <c r="B81" s="110" t="s">
        <v>190</v>
      </c>
      <c r="C81" s="110"/>
      <c r="D81" s="110"/>
      <c r="E81" s="110"/>
      <c r="F81" s="110"/>
      <c r="G81" s="111">
        <f t="shared" ref="G81" si="14">G74+G75+G76+G78+G77</f>
        <v>0</v>
      </c>
      <c r="H81" s="111">
        <f>H74+H75+H76+H78+H77</f>
        <v>0</v>
      </c>
    </row>
    <row r="82" spans="1:9" ht="15.75" thickTop="1">
      <c r="A82" s="81">
        <v>48</v>
      </c>
      <c r="B82" s="89" t="s">
        <v>191</v>
      </c>
      <c r="C82" s="75"/>
      <c r="D82" s="75"/>
      <c r="E82" s="75"/>
      <c r="F82" s="75"/>
      <c r="G82" s="104"/>
      <c r="H82" s="104"/>
    </row>
    <row r="83" spans="1:9">
      <c r="A83" s="81">
        <v>50</v>
      </c>
      <c r="B83" s="89" t="s">
        <v>192</v>
      </c>
      <c r="C83" s="75"/>
      <c r="D83" s="75"/>
      <c r="E83" s="75"/>
      <c r="F83" s="75"/>
      <c r="H83" s="120">
        <f>H89</f>
        <v>-6.9283730619412758</v>
      </c>
    </row>
    <row r="84" spans="1:9">
      <c r="A84" s="81"/>
      <c r="B84" s="89"/>
      <c r="C84" s="89"/>
      <c r="D84" s="89"/>
      <c r="E84" s="89"/>
      <c r="F84" s="89"/>
      <c r="G84" s="104"/>
      <c r="H84" s="104"/>
    </row>
    <row r="85" spans="1:9">
      <c r="A85" s="81"/>
      <c r="B85" s="89"/>
      <c r="C85" s="89"/>
      <c r="D85" s="89"/>
      <c r="E85" s="89"/>
      <c r="F85" s="89"/>
      <c r="G85" s="104"/>
      <c r="H85" s="104"/>
    </row>
    <row r="86" spans="1:9">
      <c r="A86" s="77"/>
      <c r="B86" s="89"/>
      <c r="C86" s="89"/>
      <c r="D86" s="123" t="s">
        <v>193</v>
      </c>
      <c r="E86" s="122">
        <f>+'Exh BAE-2, 3.03 E-ARAM'!E86</f>
        <v>7.0699999999999999E-2</v>
      </c>
      <c r="G86" s="104"/>
      <c r="H86" s="104"/>
    </row>
    <row r="87" spans="1:9">
      <c r="A87" s="81"/>
      <c r="B87" s="89"/>
      <c r="C87" s="89"/>
      <c r="D87" s="112" t="s">
        <v>194</v>
      </c>
      <c r="E87" s="113">
        <f>+'[3]3.16 Electric'!E87</f>
        <v>0.75529000000000002</v>
      </c>
      <c r="G87" s="107"/>
      <c r="H87" s="107"/>
      <c r="I87" s="117"/>
    </row>
    <row r="88" spans="1:9">
      <c r="A88" s="81"/>
      <c r="B88" s="89"/>
      <c r="C88" s="89"/>
      <c r="D88" s="112" t="s">
        <v>133</v>
      </c>
      <c r="E88" s="112"/>
      <c r="F88" s="112"/>
      <c r="G88" s="114">
        <f>+G81*$E$86-G58</f>
        <v>41.022319674043331</v>
      </c>
      <c r="H88" s="114">
        <f t="shared" ref="H88" si="15">H81*$E$86-H58</f>
        <v>-5.232930889953626</v>
      </c>
      <c r="I88" s="118">
        <f>-G88+H88</f>
        <v>-46.25525056399696</v>
      </c>
    </row>
    <row r="89" spans="1:9">
      <c r="A89" s="81"/>
      <c r="B89" s="89"/>
      <c r="C89" s="89"/>
      <c r="D89" s="112" t="s">
        <v>195</v>
      </c>
      <c r="E89" s="112"/>
      <c r="F89" s="112"/>
      <c r="G89" s="114">
        <f>+G88/$E$87</f>
        <v>54.313336167622147</v>
      </c>
      <c r="H89" s="114">
        <f>H88/$E$87</f>
        <v>-6.9283730619412758</v>
      </c>
      <c r="I89" s="118">
        <f>-G89+H89</f>
        <v>-61.241709229563426</v>
      </c>
    </row>
    <row r="90" spans="1:9">
      <c r="A90" s="81"/>
      <c r="B90" s="89"/>
      <c r="C90" s="89"/>
      <c r="D90" s="89"/>
      <c r="E90" s="89"/>
      <c r="F90" s="89"/>
      <c r="G90" s="115"/>
      <c r="H90" s="115"/>
      <c r="I90" s="117"/>
    </row>
    <row r="91" spans="1:9">
      <c r="A91" s="81"/>
      <c r="B91" s="89"/>
      <c r="C91" s="89"/>
      <c r="D91" s="112"/>
      <c r="E91" s="112"/>
      <c r="F91" s="112"/>
      <c r="G91" s="115"/>
      <c r="H91" s="115"/>
      <c r="I91" s="117"/>
    </row>
    <row r="92" spans="1:9">
      <c r="A92" s="81"/>
      <c r="B92" s="89"/>
      <c r="C92" s="89"/>
      <c r="D92" s="112"/>
      <c r="E92" s="112"/>
      <c r="F92" s="112"/>
      <c r="G92" s="115"/>
      <c r="H92" s="115"/>
      <c r="I92" s="117"/>
    </row>
    <row r="93" spans="1:9">
      <c r="A93" s="81"/>
      <c r="B93" s="89"/>
      <c r="C93" s="89"/>
      <c r="D93" s="116"/>
      <c r="E93" s="116"/>
      <c r="F93" s="116"/>
      <c r="G93" s="115"/>
      <c r="H93" s="115"/>
      <c r="I93" s="117"/>
    </row>
    <row r="94" spans="1:9">
      <c r="A94" s="81"/>
      <c r="B94" s="89"/>
      <c r="C94" s="89"/>
      <c r="D94" s="89"/>
      <c r="E94" s="89"/>
      <c r="F94" s="89"/>
      <c r="H94" s="76"/>
    </row>
    <row r="95" spans="1:9">
      <c r="A95" s="81"/>
      <c r="B95" s="89"/>
      <c r="C95" s="89"/>
      <c r="D95" s="89"/>
      <c r="E95" s="89"/>
      <c r="F95" s="89"/>
      <c r="H95" s="76"/>
    </row>
    <row r="96" spans="1:9">
      <c r="A96" s="81"/>
      <c r="B96" s="89"/>
      <c r="C96" s="89"/>
      <c r="D96" s="89"/>
      <c r="E96" s="89"/>
      <c r="F96" s="89"/>
      <c r="H96" s="76"/>
    </row>
    <row r="97" spans="1:8">
      <c r="A97" s="81"/>
      <c r="B97" s="89"/>
      <c r="C97" s="89"/>
      <c r="D97" s="89"/>
      <c r="E97" s="89"/>
      <c r="F97" s="89"/>
      <c r="H97" s="76"/>
    </row>
    <row r="98" spans="1:8">
      <c r="A98" s="81"/>
      <c r="B98" s="89"/>
      <c r="C98" s="89"/>
      <c r="D98" s="89"/>
      <c r="E98" s="89"/>
      <c r="F98" s="89"/>
      <c r="H98" s="76"/>
    </row>
  </sheetData>
  <pageMargins left="0.7" right="0.7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31"/>
  <sheetViews>
    <sheetView zoomScaleNormal="100" workbookViewId="0">
      <selection activeCell="T30" sqref="T30"/>
    </sheetView>
  </sheetViews>
  <sheetFormatPr defaultRowHeight="15"/>
  <cols>
    <col min="1" max="1" width="5.7109375" customWidth="1"/>
    <col min="2" max="2" width="26.42578125" customWidth="1"/>
    <col min="3" max="3" width="12.28515625" customWidth="1"/>
    <col min="4" max="4" width="10.85546875" customWidth="1"/>
    <col min="5" max="5" width="12.7109375" customWidth="1"/>
    <col min="6" max="6" width="1.28515625" customWidth="1"/>
    <col min="7" max="7" width="9.85546875" bestFit="1" customWidth="1"/>
    <col min="8" max="8" width="13.140625" customWidth="1"/>
    <col min="9" max="9" width="0.85546875" customWidth="1"/>
    <col min="12" max="12" width="8.85546875" customWidth="1"/>
    <col min="13" max="13" width="0.7109375" customWidth="1"/>
    <col min="19" max="19" width="1.140625" customWidth="1"/>
    <col min="20" max="24" width="12.28515625" customWidth="1"/>
  </cols>
  <sheetData>
    <row r="2" spans="1:24">
      <c r="B2" s="7" t="s">
        <v>19</v>
      </c>
    </row>
    <row r="3" spans="1:24">
      <c r="B3" t="s">
        <v>20</v>
      </c>
    </row>
    <row r="4" spans="1:24" s="1" customFormat="1">
      <c r="B4" s="1">
        <v>2019</v>
      </c>
      <c r="C4" s="1" t="s">
        <v>0</v>
      </c>
      <c r="D4" s="1" t="s">
        <v>1</v>
      </c>
      <c r="E4" s="1" t="s">
        <v>2</v>
      </c>
      <c r="G4" s="1" t="s">
        <v>3</v>
      </c>
      <c r="H4" s="1" t="s">
        <v>0</v>
      </c>
      <c r="J4" s="1" t="s">
        <v>4</v>
      </c>
      <c r="K4" s="1" t="s">
        <v>5</v>
      </c>
      <c r="L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1" t="s">
        <v>11</v>
      </c>
      <c r="T4" s="1" t="s">
        <v>7</v>
      </c>
      <c r="U4" s="1" t="s">
        <v>8</v>
      </c>
      <c r="V4" s="1" t="s">
        <v>9</v>
      </c>
      <c r="W4" s="1" t="s">
        <v>10</v>
      </c>
      <c r="X4" s="1" t="s">
        <v>11</v>
      </c>
    </row>
    <row r="5" spans="1:24">
      <c r="A5">
        <v>1</v>
      </c>
      <c r="B5" s="2" t="s">
        <v>12</v>
      </c>
      <c r="C5" s="3">
        <v>-3599987.634099998</v>
      </c>
      <c r="D5" s="3">
        <v>346174.4800000001</v>
      </c>
      <c r="E5" s="3">
        <v>-3946162.100000001</v>
      </c>
      <c r="F5" s="3"/>
      <c r="G5" s="3">
        <v>226731</v>
      </c>
      <c r="H5" s="3">
        <f>SUM(C5,G5)</f>
        <v>-3373256.634099998</v>
      </c>
      <c r="J5" s="4">
        <v>1</v>
      </c>
      <c r="K5" s="4"/>
      <c r="L5" s="4"/>
      <c r="N5" s="4">
        <v>0.67337000000000002</v>
      </c>
      <c r="O5" s="4">
        <v>0.32662999999999998</v>
      </c>
      <c r="P5" s="4"/>
      <c r="Q5" s="4"/>
      <c r="R5" s="4"/>
      <c r="T5" s="3">
        <f>H5*J5*N5</f>
        <v>-2271449.8197039156</v>
      </c>
      <c r="U5" s="3">
        <f>H5*J5*O5</f>
        <v>-1101806.8143960822</v>
      </c>
      <c r="V5" s="3"/>
      <c r="W5" s="3"/>
      <c r="X5" s="3"/>
    </row>
    <row r="6" spans="1:24">
      <c r="A6">
        <v>2</v>
      </c>
      <c r="B6" s="2" t="s">
        <v>13</v>
      </c>
      <c r="C6" s="3">
        <v>-426269.47909999988</v>
      </c>
      <c r="D6" s="3">
        <v>223062.67</v>
      </c>
      <c r="E6" s="3">
        <v>-649332.14</v>
      </c>
      <c r="F6" s="3"/>
      <c r="G6" s="3">
        <v>71167</v>
      </c>
      <c r="H6" s="3">
        <f t="shared" ref="H6:H10" si="0">SUM(C6,G6)</f>
        <v>-355102.47909999988</v>
      </c>
      <c r="J6" s="4"/>
      <c r="K6" s="4">
        <v>1</v>
      </c>
      <c r="L6" s="4"/>
      <c r="N6" s="4"/>
      <c r="O6" s="4"/>
      <c r="P6" s="4">
        <v>0.70165</v>
      </c>
      <c r="Q6" s="4">
        <v>0.29835</v>
      </c>
      <c r="R6" s="4"/>
      <c r="T6" s="3">
        <f t="shared" ref="T6:T10" si="1">H6*J6*N6</f>
        <v>0</v>
      </c>
      <c r="U6" s="3">
        <f t="shared" ref="U6:U10" si="2">H6*J6*O6</f>
        <v>0</v>
      </c>
      <c r="V6" s="3">
        <f>H6*K6*P6</f>
        <v>-249157.65446051492</v>
      </c>
      <c r="W6" s="3">
        <f>H6*K6*Q6</f>
        <v>-105944.82463948497</v>
      </c>
      <c r="X6" s="3"/>
    </row>
    <row r="7" spans="1:24">
      <c r="A7">
        <v>3</v>
      </c>
      <c r="B7" s="2" t="s">
        <v>14</v>
      </c>
      <c r="C7" s="3">
        <v>-276803.42269999976</v>
      </c>
      <c r="D7" s="3">
        <v>-7890.93</v>
      </c>
      <c r="E7" s="3">
        <v>-268912.49</v>
      </c>
      <c r="F7" s="3"/>
      <c r="G7" s="3">
        <v>34301</v>
      </c>
      <c r="H7" s="3">
        <f t="shared" si="0"/>
        <v>-242502.42269999976</v>
      </c>
      <c r="J7" s="4"/>
      <c r="K7" s="4"/>
      <c r="L7" s="4">
        <v>1</v>
      </c>
      <c r="N7" s="4"/>
      <c r="O7" s="4"/>
      <c r="P7" s="4"/>
      <c r="Q7" s="4"/>
      <c r="R7" s="4">
        <v>1</v>
      </c>
      <c r="T7" s="3">
        <f t="shared" si="1"/>
        <v>0</v>
      </c>
      <c r="U7" s="3">
        <f t="shared" si="2"/>
        <v>0</v>
      </c>
      <c r="V7" s="3">
        <f t="shared" ref="V7:V10" si="3">H7*K7*P7</f>
        <v>0</v>
      </c>
      <c r="W7" s="3">
        <f t="shared" ref="W7:W10" si="4">H7*K7*Q7</f>
        <v>0</v>
      </c>
      <c r="X7" s="3">
        <f>H7*L7*R7</f>
        <v>-242502.42269999976</v>
      </c>
    </row>
    <row r="8" spans="1:24">
      <c r="A8">
        <v>4</v>
      </c>
      <c r="B8" s="2" t="s">
        <v>15</v>
      </c>
      <c r="C8" s="3">
        <v>-5144647.8525999999</v>
      </c>
      <c r="D8" s="3">
        <v>-310167.99</v>
      </c>
      <c r="E8" s="3">
        <v>-4834479.8500000006</v>
      </c>
      <c r="F8" s="3"/>
      <c r="G8" s="3"/>
      <c r="H8" s="3">
        <f t="shared" si="0"/>
        <v>-5144647.8525999999</v>
      </c>
      <c r="J8" s="4">
        <v>0.70577999999999996</v>
      </c>
      <c r="K8" s="4">
        <v>0.20513000000000001</v>
      </c>
      <c r="L8" s="4">
        <v>8.9090000000000003E-2</v>
      </c>
      <c r="N8" s="4">
        <f>N5</f>
        <v>0.67337000000000002</v>
      </c>
      <c r="O8" s="4">
        <f>O5</f>
        <v>0.32662999999999998</v>
      </c>
      <c r="P8" s="4">
        <f>P6</f>
        <v>0.70165</v>
      </c>
      <c r="Q8" s="4">
        <f>Q6</f>
        <v>0.29835</v>
      </c>
      <c r="R8" s="4">
        <v>1</v>
      </c>
      <c r="T8" s="3">
        <f t="shared" si="1"/>
        <v>-2444999.4409653237</v>
      </c>
      <c r="U8" s="3">
        <f t="shared" si="2"/>
        <v>-1185990.1204427038</v>
      </c>
      <c r="V8" s="3">
        <f t="shared" si="3"/>
        <v>-740466.41046579299</v>
      </c>
      <c r="W8" s="3">
        <f t="shared" si="4"/>
        <v>-314855.20353804511</v>
      </c>
      <c r="X8" s="3">
        <f t="shared" ref="X8:X9" si="5">H8*L8*R8</f>
        <v>-458336.677188134</v>
      </c>
    </row>
    <row r="9" spans="1:24">
      <c r="A9">
        <v>5</v>
      </c>
      <c r="B9" s="2" t="s">
        <v>16</v>
      </c>
      <c r="C9" s="3">
        <v>-442.55630000000019</v>
      </c>
      <c r="D9" s="3">
        <v>0</v>
      </c>
      <c r="E9" s="3">
        <v>-442.56</v>
      </c>
      <c r="F9" s="3"/>
      <c r="G9" s="3"/>
      <c r="H9" s="3">
        <f t="shared" si="0"/>
        <v>-442.55630000000019</v>
      </c>
      <c r="J9" s="4">
        <v>0.77873999999999999</v>
      </c>
      <c r="K9" s="4">
        <v>0.22126000000000001</v>
      </c>
      <c r="L9" s="4">
        <v>0</v>
      </c>
      <c r="N9" s="4">
        <f>N5</f>
        <v>0.67337000000000002</v>
      </c>
      <c r="O9" s="4">
        <f>O5</f>
        <v>0.32662999999999998</v>
      </c>
      <c r="P9" s="4">
        <f>P8</f>
        <v>0.70165</v>
      </c>
      <c r="Q9" s="4">
        <f>Q8</f>
        <v>0.29835</v>
      </c>
      <c r="R9" s="4">
        <v>1</v>
      </c>
      <c r="T9" s="3">
        <f t="shared" si="1"/>
        <v>-232.06774065915906</v>
      </c>
      <c r="U9" s="3">
        <f t="shared" si="2"/>
        <v>-112.56855240284111</v>
      </c>
      <c r="V9" s="3">
        <f t="shared" si="3"/>
        <v>-68.705572868047724</v>
      </c>
      <c r="W9" s="3">
        <f t="shared" si="4"/>
        <v>-29.214434069952315</v>
      </c>
      <c r="X9" s="3">
        <f t="shared" si="5"/>
        <v>0</v>
      </c>
    </row>
    <row r="10" spans="1:24">
      <c r="A10">
        <v>6</v>
      </c>
      <c r="B10" s="2" t="s">
        <v>17</v>
      </c>
      <c r="C10" s="3">
        <v>-347099.59560000012</v>
      </c>
      <c r="D10" s="3">
        <v>8.26</v>
      </c>
      <c r="E10" s="3">
        <v>-347107.85</v>
      </c>
      <c r="F10" s="3"/>
      <c r="G10" s="3"/>
      <c r="H10" s="3">
        <f t="shared" si="0"/>
        <v>-347099.59560000012</v>
      </c>
      <c r="J10" s="4">
        <v>1</v>
      </c>
      <c r="K10" s="4"/>
      <c r="L10" s="4"/>
      <c r="N10" s="4">
        <f>N5</f>
        <v>0.67337000000000002</v>
      </c>
      <c r="O10" s="4">
        <f>O5</f>
        <v>0.32662999999999998</v>
      </c>
      <c r="P10" s="4"/>
      <c r="Q10" s="4"/>
      <c r="R10" s="4"/>
      <c r="T10" s="3">
        <f t="shared" si="1"/>
        <v>-233726.4546891721</v>
      </c>
      <c r="U10" s="3">
        <f t="shared" si="2"/>
        <v>-113373.14091082803</v>
      </c>
      <c r="V10" s="3">
        <f t="shared" si="3"/>
        <v>0</v>
      </c>
      <c r="W10" s="3">
        <f t="shared" si="4"/>
        <v>0</v>
      </c>
      <c r="X10" s="3"/>
    </row>
    <row r="11" spans="1:24" ht="15.75" thickBot="1">
      <c r="A11">
        <v>7</v>
      </c>
      <c r="C11" s="5">
        <f>SUM(C5:C10)</f>
        <v>-9795250.5403999966</v>
      </c>
      <c r="D11" s="5">
        <f t="shared" ref="D11:G11" si="6">SUM(D5:D10)</f>
        <v>251186.49000000011</v>
      </c>
      <c r="E11" s="5">
        <f t="shared" si="6"/>
        <v>-10046436.990000002</v>
      </c>
      <c r="F11" s="5">
        <f t="shared" si="6"/>
        <v>0</v>
      </c>
      <c r="G11" s="5">
        <f t="shared" si="6"/>
        <v>332199</v>
      </c>
      <c r="H11" s="8">
        <f>SUM(H5:H10)</f>
        <v>-9463051.5403999966</v>
      </c>
      <c r="T11" s="8">
        <f>SUM(T5:T10)</f>
        <v>-4950407.7830990702</v>
      </c>
      <c r="U11" s="8">
        <f t="shared" ref="U11:X11" si="7">SUM(U5:U10)</f>
        <v>-2401282.6443020166</v>
      </c>
      <c r="V11" s="8">
        <f t="shared" si="7"/>
        <v>-989692.77049917588</v>
      </c>
      <c r="W11" s="8">
        <f t="shared" si="7"/>
        <v>-420829.24261160003</v>
      </c>
      <c r="X11" s="8">
        <f t="shared" si="7"/>
        <v>-700839.09988813382</v>
      </c>
    </row>
    <row r="13" spans="1:24">
      <c r="B13" s="7" t="s">
        <v>18</v>
      </c>
    </row>
    <row r="14" spans="1:24">
      <c r="B14" t="s">
        <v>71</v>
      </c>
    </row>
    <row r="15" spans="1:24">
      <c r="A15" s="1"/>
      <c r="B15" s="1"/>
      <c r="C15" s="1" t="s">
        <v>0</v>
      </c>
      <c r="D15" s="1" t="s">
        <v>1</v>
      </c>
      <c r="E15" s="1" t="s">
        <v>2</v>
      </c>
      <c r="F15" s="1"/>
      <c r="G15" s="1" t="s">
        <v>3</v>
      </c>
      <c r="H15" s="1" t="s">
        <v>0</v>
      </c>
      <c r="I15" s="1"/>
      <c r="J15" s="1" t="s">
        <v>4</v>
      </c>
      <c r="K15" s="1" t="s">
        <v>5</v>
      </c>
      <c r="L15" s="1" t="s">
        <v>6</v>
      </c>
      <c r="M15" s="1"/>
      <c r="N15" s="1" t="s">
        <v>7</v>
      </c>
      <c r="O15" s="1" t="s">
        <v>8</v>
      </c>
      <c r="P15" s="1" t="s">
        <v>9</v>
      </c>
      <c r="Q15" s="1" t="s">
        <v>10</v>
      </c>
      <c r="R15" s="1" t="s">
        <v>11</v>
      </c>
      <c r="S15" s="1"/>
      <c r="T15" s="1" t="s">
        <v>7</v>
      </c>
      <c r="U15" s="1" t="s">
        <v>8</v>
      </c>
      <c r="V15" s="1" t="s">
        <v>9</v>
      </c>
      <c r="W15" s="1" t="s">
        <v>10</v>
      </c>
      <c r="X15" s="1" t="s">
        <v>11</v>
      </c>
    </row>
    <row r="16" spans="1:24">
      <c r="A16">
        <v>8</v>
      </c>
      <c r="B16" s="2" t="s">
        <v>12</v>
      </c>
      <c r="C16" s="3">
        <f>D16+E16</f>
        <v>-3637111.77</v>
      </c>
      <c r="D16" s="3">
        <f>D5</f>
        <v>346174.4800000001</v>
      </c>
      <c r="E16" s="11">
        <f>-4235553*3/12-4401976*9/12-E23</f>
        <v>-3983286.25</v>
      </c>
      <c r="F16" s="3"/>
      <c r="G16" s="3">
        <f>G5</f>
        <v>226731</v>
      </c>
      <c r="H16" s="3">
        <f>SUM(C16,G16)</f>
        <v>-3410380.77</v>
      </c>
      <c r="J16" s="4">
        <v>1</v>
      </c>
      <c r="K16" s="4"/>
      <c r="L16" s="4"/>
      <c r="N16" s="4">
        <f>N5</f>
        <v>0.67337000000000002</v>
      </c>
      <c r="O16" s="4">
        <f>O5</f>
        <v>0.32662999999999998</v>
      </c>
      <c r="P16" s="4"/>
      <c r="Q16" s="4"/>
      <c r="R16" s="4"/>
      <c r="T16" s="3">
        <f>H16*J16*N16</f>
        <v>-2296448.0990949003</v>
      </c>
      <c r="U16" s="3">
        <f>H16*J16*O16</f>
        <v>-1113932.6709050999</v>
      </c>
      <c r="V16" s="3"/>
      <c r="W16" s="3"/>
      <c r="X16" s="3"/>
    </row>
    <row r="17" spans="1:24">
      <c r="A17">
        <v>8.1</v>
      </c>
      <c r="B17" s="27" t="s">
        <v>69</v>
      </c>
      <c r="C17" s="3">
        <f t="shared" ref="C17:C18" si="8">D17+E17</f>
        <v>-522212</v>
      </c>
      <c r="D17" s="3"/>
      <c r="E17" s="11">
        <f>-488387*3/12-533487*9/12</f>
        <v>-522212</v>
      </c>
      <c r="F17" s="3"/>
      <c r="G17" s="3"/>
      <c r="H17" s="3">
        <f t="shared" ref="H17:H18" si="9">SUM(C17,G17)</f>
        <v>-522212</v>
      </c>
      <c r="J17" s="4">
        <v>1</v>
      </c>
      <c r="K17" s="4"/>
      <c r="L17" s="4"/>
      <c r="N17" s="4"/>
      <c r="O17" s="4">
        <v>1</v>
      </c>
      <c r="P17" s="4"/>
      <c r="Q17" s="4"/>
      <c r="R17" s="4"/>
      <c r="T17" s="3">
        <f t="shared" ref="T17:T18" si="10">H17*J17*N17</f>
        <v>0</v>
      </c>
      <c r="U17" s="3">
        <f t="shared" ref="U17:U18" si="11">H17*J17*O17</f>
        <v>-522212</v>
      </c>
      <c r="V17" s="3"/>
      <c r="W17" s="3"/>
      <c r="X17" s="3"/>
    </row>
    <row r="18" spans="1:24">
      <c r="A18">
        <v>8.1999999999999993</v>
      </c>
      <c r="B18" s="27" t="s">
        <v>70</v>
      </c>
      <c r="C18" s="3">
        <f t="shared" si="8"/>
        <v>-993744.75</v>
      </c>
      <c r="D18" s="3"/>
      <c r="E18" s="11">
        <f>-942552*3/12-1010809*9/12</f>
        <v>-993744.75</v>
      </c>
      <c r="F18" s="3"/>
      <c r="G18" s="3"/>
      <c r="H18" s="3">
        <f t="shared" si="9"/>
        <v>-993744.75</v>
      </c>
      <c r="J18" s="4">
        <v>1</v>
      </c>
      <c r="K18" s="4"/>
      <c r="L18" s="4"/>
      <c r="N18" s="4">
        <v>1</v>
      </c>
      <c r="O18" s="4"/>
      <c r="P18" s="4"/>
      <c r="Q18" s="4"/>
      <c r="R18" s="4"/>
      <c r="T18" s="3">
        <f t="shared" si="10"/>
        <v>-993744.75</v>
      </c>
      <c r="U18" s="3">
        <f t="shared" si="11"/>
        <v>0</v>
      </c>
      <c r="V18" s="3"/>
      <c r="W18" s="3"/>
      <c r="X18" s="3"/>
    </row>
    <row r="19" spans="1:24">
      <c r="A19">
        <v>9</v>
      </c>
      <c r="B19" s="2" t="s">
        <v>13</v>
      </c>
      <c r="C19" s="3">
        <f t="shared" ref="C19:C23" si="12">D19+E19</f>
        <v>-649337.07999999996</v>
      </c>
      <c r="D19" s="3">
        <f>D6</f>
        <v>223062.67</v>
      </c>
      <c r="E19" s="11">
        <f>-795077*3/12-898174*9/12</f>
        <v>-872399.75</v>
      </c>
      <c r="F19" s="3"/>
      <c r="G19" s="3">
        <f>G6</f>
        <v>71167</v>
      </c>
      <c r="H19" s="3">
        <f t="shared" ref="H19:H23" si="13">SUM(C19,G19)</f>
        <v>-578170.07999999996</v>
      </c>
      <c r="J19" s="4"/>
      <c r="K19" s="4">
        <v>1</v>
      </c>
      <c r="L19" s="4"/>
      <c r="N19" s="4"/>
      <c r="O19" s="4"/>
      <c r="P19" s="4">
        <f>P6</f>
        <v>0.70165</v>
      </c>
      <c r="Q19" s="4">
        <f>Q6</f>
        <v>0.29835</v>
      </c>
      <c r="R19" s="4"/>
      <c r="T19" s="3">
        <f t="shared" ref="T19:T23" si="14">H19*J19*N19</f>
        <v>0</v>
      </c>
      <c r="U19" s="3">
        <f t="shared" ref="U19:U23" si="15">H19*J19*O19</f>
        <v>0</v>
      </c>
      <c r="V19" s="3">
        <f>H19*K19*P19</f>
        <v>-405673.03663199994</v>
      </c>
      <c r="W19" s="3">
        <f>H19*K19*Q19</f>
        <v>-172497.04336799998</v>
      </c>
      <c r="X19" s="3"/>
    </row>
    <row r="20" spans="1:24">
      <c r="A20">
        <v>10</v>
      </c>
      <c r="B20" s="2" t="s">
        <v>14</v>
      </c>
      <c r="C20" s="3">
        <f t="shared" si="12"/>
        <v>-367602.68</v>
      </c>
      <c r="D20" s="3">
        <f>D7</f>
        <v>-7890.93</v>
      </c>
      <c r="E20" s="11">
        <f>-317906*3/12-373647*9/12</f>
        <v>-359711.75</v>
      </c>
      <c r="F20" s="3"/>
      <c r="G20" s="3">
        <f>G7</f>
        <v>34301</v>
      </c>
      <c r="H20" s="3">
        <f>SUM(C20,G20)</f>
        <v>-333301.68</v>
      </c>
      <c r="J20" s="4"/>
      <c r="K20" s="4"/>
      <c r="L20" s="4">
        <v>1</v>
      </c>
      <c r="N20" s="4"/>
      <c r="O20" s="4"/>
      <c r="P20" s="4"/>
      <c r="Q20" s="4"/>
      <c r="R20" s="4">
        <v>1</v>
      </c>
      <c r="T20" s="3">
        <f t="shared" si="14"/>
        <v>0</v>
      </c>
      <c r="U20" s="3">
        <f t="shared" si="15"/>
        <v>0</v>
      </c>
      <c r="V20" s="3">
        <f t="shared" ref="V20:V23" si="16">H20*K20*P20</f>
        <v>0</v>
      </c>
      <c r="W20" s="3">
        <f t="shared" ref="W20:W23" si="17">H20*K20*Q20</f>
        <v>0</v>
      </c>
      <c r="X20" s="3">
        <f>H20*L20*R20</f>
        <v>-333301.68</v>
      </c>
    </row>
    <row r="21" spans="1:24">
      <c r="A21">
        <v>11</v>
      </c>
      <c r="B21" s="2" t="s">
        <v>15</v>
      </c>
      <c r="C21" s="3">
        <f t="shared" si="12"/>
        <v>-4021211.99</v>
      </c>
      <c r="D21" s="3">
        <f>D8</f>
        <v>-310167.99</v>
      </c>
      <c r="E21" s="11">
        <f>-3902105*3/12-3647357*9/12</f>
        <v>-3711044</v>
      </c>
      <c r="F21" s="3"/>
      <c r="G21" s="3">
        <f>G8</f>
        <v>0</v>
      </c>
      <c r="H21" s="3">
        <f>SUM(C21,G21)</f>
        <v>-4021211.99</v>
      </c>
      <c r="J21" s="4">
        <v>0.69821999999999995</v>
      </c>
      <c r="K21" s="4">
        <v>0.20882000000000001</v>
      </c>
      <c r="L21" s="4">
        <v>9.2960000000000001E-2</v>
      </c>
      <c r="N21" s="4">
        <f>N16</f>
        <v>0.67337000000000002</v>
      </c>
      <c r="O21" s="4">
        <f>O16</f>
        <v>0.32662999999999998</v>
      </c>
      <c r="P21" s="4">
        <f>P19</f>
        <v>0.70165</v>
      </c>
      <c r="Q21" s="4">
        <f>Q19</f>
        <v>0.29835</v>
      </c>
      <c r="R21" s="4">
        <v>1</v>
      </c>
      <c r="T21" s="3">
        <f t="shared" si="14"/>
        <v>-1890614.6433328928</v>
      </c>
      <c r="U21" s="3">
        <f t="shared" si="15"/>
        <v>-917075.9923249071</v>
      </c>
      <c r="V21" s="3">
        <f t="shared" si="16"/>
        <v>-589182.16208105057</v>
      </c>
      <c r="W21" s="3">
        <f t="shared" si="17"/>
        <v>-250527.32567074956</v>
      </c>
      <c r="X21" s="3">
        <f t="shared" ref="X21:X22" si="18">H21*L21*R21</f>
        <v>-373811.86659040005</v>
      </c>
    </row>
    <row r="22" spans="1:24">
      <c r="A22">
        <v>12</v>
      </c>
      <c r="B22" s="2" t="s">
        <v>16</v>
      </c>
      <c r="C22" s="3">
        <f t="shared" si="12"/>
        <v>-443</v>
      </c>
      <c r="D22" s="3">
        <f>D9</f>
        <v>0</v>
      </c>
      <c r="E22" s="11">
        <f>-443*3/12-443*9/12</f>
        <v>-443</v>
      </c>
      <c r="F22" s="3"/>
      <c r="G22" s="3">
        <f>G9</f>
        <v>0</v>
      </c>
      <c r="H22" s="3">
        <f t="shared" si="13"/>
        <v>-443</v>
      </c>
      <c r="J22" s="4">
        <v>0.77317999999999998</v>
      </c>
      <c r="K22" s="4">
        <v>0.22681999999999999</v>
      </c>
      <c r="L22" s="4">
        <v>0</v>
      </c>
      <c r="N22" s="4">
        <f>N16</f>
        <v>0.67337000000000002</v>
      </c>
      <c r="O22" s="4">
        <f>O16</f>
        <v>0.32662999999999998</v>
      </c>
      <c r="P22" s="4">
        <f>P21</f>
        <v>0.70165</v>
      </c>
      <c r="Q22" s="4">
        <f>Q21</f>
        <v>0.29835</v>
      </c>
      <c r="R22" s="4">
        <v>1</v>
      </c>
      <c r="T22" s="3">
        <f t="shared" si="14"/>
        <v>-230.64184395379999</v>
      </c>
      <c r="U22" s="3">
        <f t="shared" si="15"/>
        <v>-111.87689604619999</v>
      </c>
      <c r="V22" s="3">
        <f t="shared" si="16"/>
        <v>-70.502676078999997</v>
      </c>
      <c r="W22" s="3">
        <f t="shared" si="17"/>
        <v>-29.978583920999998</v>
      </c>
      <c r="X22" s="3">
        <f t="shared" si="18"/>
        <v>0</v>
      </c>
    </row>
    <row r="23" spans="1:24">
      <c r="A23">
        <v>13</v>
      </c>
      <c r="B23" s="2" t="s">
        <v>17</v>
      </c>
      <c r="C23" s="3">
        <f t="shared" si="12"/>
        <v>-377075.74</v>
      </c>
      <c r="D23" s="3">
        <f>D10</f>
        <v>8.26</v>
      </c>
      <c r="E23" s="11">
        <f>-358877*3/12-383153*9/12</f>
        <v>-377084</v>
      </c>
      <c r="F23" s="3"/>
      <c r="G23" s="3">
        <f>G10</f>
        <v>0</v>
      </c>
      <c r="H23" s="3">
        <f t="shared" si="13"/>
        <v>-377075.74</v>
      </c>
      <c r="J23" s="4">
        <v>1</v>
      </c>
      <c r="K23" s="4"/>
      <c r="L23" s="4"/>
      <c r="N23" s="4">
        <f>N16</f>
        <v>0.67337000000000002</v>
      </c>
      <c r="O23" s="4">
        <f>O16</f>
        <v>0.32662999999999998</v>
      </c>
      <c r="P23" s="4"/>
      <c r="Q23" s="4"/>
      <c r="R23" s="4"/>
      <c r="T23" s="3">
        <f t="shared" si="14"/>
        <v>-253911.49104379999</v>
      </c>
      <c r="U23" s="3">
        <f t="shared" si="15"/>
        <v>-123164.24895619998</v>
      </c>
      <c r="V23" s="3">
        <f t="shared" si="16"/>
        <v>0</v>
      </c>
      <c r="W23" s="3">
        <f t="shared" si="17"/>
        <v>0</v>
      </c>
      <c r="X23" s="3"/>
    </row>
    <row r="24" spans="1:24" ht="15.75" thickBot="1">
      <c r="A24">
        <v>14</v>
      </c>
      <c r="C24" s="5">
        <f>SUM(C16:C23)</f>
        <v>-10568739.01</v>
      </c>
      <c r="D24" s="5">
        <f t="shared" ref="D24:H24" si="19">SUM(D16:D23)</f>
        <v>251186.49000000011</v>
      </c>
      <c r="E24" s="5">
        <f>SUM(E16:E23)</f>
        <v>-10819925.5</v>
      </c>
      <c r="F24" s="5">
        <f t="shared" si="19"/>
        <v>0</v>
      </c>
      <c r="G24" s="5">
        <f t="shared" si="19"/>
        <v>332199</v>
      </c>
      <c r="H24" s="5">
        <f t="shared" si="19"/>
        <v>-10236540.01</v>
      </c>
      <c r="T24" s="5">
        <f>SUM(T16:T23)</f>
        <v>-5434949.625315547</v>
      </c>
      <c r="U24" s="5">
        <f t="shared" ref="U24:X24" si="20">SUM(U16:U23)</f>
        <v>-2676496.7890822534</v>
      </c>
      <c r="V24" s="5">
        <f t="shared" si="20"/>
        <v>-994925.70138912951</v>
      </c>
      <c r="W24" s="5">
        <f t="shared" si="20"/>
        <v>-423054.34762267052</v>
      </c>
      <c r="X24" s="5">
        <f t="shared" si="20"/>
        <v>-707113.54659040004</v>
      </c>
    </row>
    <row r="25" spans="1:24" ht="15.75" thickBot="1"/>
    <row r="26" spans="1:24" ht="16.5" thickTop="1" thickBot="1">
      <c r="A26">
        <v>15</v>
      </c>
      <c r="B26" s="7" t="s">
        <v>67</v>
      </c>
      <c r="C26" s="6">
        <f>C24-C11</f>
        <v>-773488.46960000321</v>
      </c>
      <c r="D26" s="6">
        <f>D24-D11</f>
        <v>0</v>
      </c>
      <c r="E26" s="10">
        <f>E24-E11</f>
        <v>-773488.50999999791</v>
      </c>
      <c r="G26" s="6">
        <f>G24-G11</f>
        <v>0</v>
      </c>
      <c r="H26" s="6">
        <f>H24-H11</f>
        <v>-773488.46960000321</v>
      </c>
      <c r="T26" s="9">
        <f>T24-T11</f>
        <v>-484541.8422164768</v>
      </c>
      <c r="U26" s="6">
        <f>U24-U11</f>
        <v>-275214.14478023676</v>
      </c>
      <c r="V26" s="9">
        <f>V24-V11</f>
        <v>-5232.9308899536263</v>
      </c>
      <c r="W26" s="6">
        <f>W24-W11</f>
        <v>-2225.1050110704964</v>
      </c>
      <c r="X26" s="6">
        <f>X24-X11</f>
        <v>-6274.4467022662284</v>
      </c>
    </row>
    <row r="27" spans="1:24" ht="16.5" thickTop="1" thickBot="1">
      <c r="E27" s="29"/>
      <c r="T27" s="29"/>
      <c r="V27" s="29"/>
    </row>
    <row r="28" spans="1:24" ht="16.5" thickTop="1" thickBot="1">
      <c r="A28">
        <v>15.1</v>
      </c>
      <c r="B28" t="s">
        <v>68</v>
      </c>
      <c r="C28" s="6">
        <v>-654491.21960000321</v>
      </c>
      <c r="D28" s="6">
        <v>0</v>
      </c>
      <c r="E28" s="28">
        <v>-654491.25999999791</v>
      </c>
      <c r="G28" s="6">
        <v>0</v>
      </c>
      <c r="H28" s="6">
        <v>-654491.21960000321</v>
      </c>
      <c r="T28" s="30">
        <v>-500182.39963818807</v>
      </c>
      <c r="U28" s="6">
        <v>-242622.29857852496</v>
      </c>
      <c r="V28" s="30">
        <v>41022.319674043334</v>
      </c>
      <c r="W28" s="6">
        <v>17443.182604932517</v>
      </c>
      <c r="X28" s="6">
        <v>29847.976337733795</v>
      </c>
    </row>
    <row r="29" spans="1:24" ht="16.5" thickTop="1" thickBot="1"/>
    <row r="30" spans="1:24" ht="16.5" thickTop="1" thickBot="1">
      <c r="A30">
        <v>16</v>
      </c>
      <c r="B30" t="s">
        <v>75</v>
      </c>
      <c r="E30" s="10">
        <f>E26-E28</f>
        <v>-118997.25</v>
      </c>
      <c r="T30" s="9">
        <f>T26-T28</f>
        <v>15640.557421711273</v>
      </c>
      <c r="V30" s="9">
        <f>V26-V28</f>
        <v>-46255.25056399696</v>
      </c>
    </row>
    <row r="31" spans="1:24" ht="15.75" thickTop="1"/>
  </sheetData>
  <pageMargins left="0.2" right="0.2" top="0.75" bottom="0.75" header="0.3" footer="0.3"/>
  <pageSetup scale="58" firstPageNumber="3" orientation="landscape" useFirstPageNumber="1" r:id="rId1"/>
  <headerFooter scaleWithDoc="0">
    <oddFooter>&amp;LAvista
&amp;F
&amp;A&amp;RPage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218C7-3917-4F63-9FAE-8C5323AA53C3}">
  <sheetPr>
    <pageSetUpPr fitToPage="1"/>
  </sheetPr>
  <dimension ref="A1:J50"/>
  <sheetViews>
    <sheetView zoomScaleNormal="100" workbookViewId="0">
      <selection activeCell="I50" sqref="I50"/>
    </sheetView>
  </sheetViews>
  <sheetFormatPr defaultColWidth="10.28515625" defaultRowHeight="15"/>
  <cols>
    <col min="1" max="1" width="25.28515625" style="13" customWidth="1"/>
    <col min="2" max="2" width="8.28515625" style="13" customWidth="1"/>
    <col min="3" max="4" width="15.5703125" style="14" customWidth="1"/>
    <col min="5" max="5" width="6.28515625" style="14" customWidth="1"/>
    <col min="6" max="7" width="15.5703125" style="13" customWidth="1"/>
    <col min="8" max="8" width="6.42578125" style="13" customWidth="1"/>
    <col min="9" max="10" width="15.5703125" style="13" customWidth="1"/>
    <col min="11" max="16384" width="10.28515625" style="13"/>
  </cols>
  <sheetData>
    <row r="1" spans="1:10">
      <c r="A1" s="12" t="s">
        <v>21</v>
      </c>
    </row>
    <row r="2" spans="1:10">
      <c r="A2" s="15" t="s">
        <v>22</v>
      </c>
    </row>
    <row r="3" spans="1:10">
      <c r="A3" s="15"/>
      <c r="I3" s="126" t="s">
        <v>23</v>
      </c>
      <c r="J3" s="126"/>
    </row>
    <row r="4" spans="1:10">
      <c r="A4" s="12"/>
      <c r="C4" s="126" t="s">
        <v>24</v>
      </c>
      <c r="D4" s="126"/>
      <c r="F4" s="126" t="s">
        <v>25</v>
      </c>
      <c r="G4" s="126"/>
      <c r="I4" s="126" t="s">
        <v>26</v>
      </c>
      <c r="J4" s="126"/>
    </row>
    <row r="5" spans="1:10">
      <c r="A5" s="15"/>
      <c r="C5" s="16">
        <v>2021</v>
      </c>
      <c r="D5" s="16">
        <v>2022</v>
      </c>
      <c r="E5" s="16"/>
      <c r="F5" s="16">
        <v>2021</v>
      </c>
      <c r="G5" s="16">
        <v>2022</v>
      </c>
      <c r="I5" s="16">
        <v>2021</v>
      </c>
      <c r="J5" s="16">
        <v>2022</v>
      </c>
    </row>
    <row r="6" spans="1:10">
      <c r="A6" s="13" t="s">
        <v>27</v>
      </c>
      <c r="B6" s="13" t="s">
        <v>4</v>
      </c>
      <c r="C6" s="14">
        <v>-9972.7312999999995</v>
      </c>
      <c r="D6" s="14">
        <v>-9972.01</v>
      </c>
      <c r="F6" s="14"/>
      <c r="G6" s="14"/>
      <c r="I6" s="17">
        <f>C6-F6</f>
        <v>-9972.7312999999995</v>
      </c>
      <c r="J6" s="17">
        <f>D6-G6</f>
        <v>-9972.01</v>
      </c>
    </row>
    <row r="7" spans="1:10">
      <c r="A7" s="13" t="s">
        <v>28</v>
      </c>
      <c r="B7" s="13" t="s">
        <v>5</v>
      </c>
      <c r="C7" s="14">
        <v>-4324.6750000000029</v>
      </c>
      <c r="D7" s="14">
        <v>-4324.4399999999996</v>
      </c>
      <c r="F7" s="14"/>
      <c r="G7" s="14"/>
      <c r="I7" s="17">
        <f t="shared" ref="I7:J32" si="0">C7-F7</f>
        <v>-4324.6750000000029</v>
      </c>
      <c r="J7" s="17">
        <f t="shared" si="0"/>
        <v>-4324.4399999999996</v>
      </c>
    </row>
    <row r="8" spans="1:10">
      <c r="A8" s="13" t="s">
        <v>29</v>
      </c>
      <c r="B8" s="13" t="s">
        <v>30</v>
      </c>
      <c r="C8" s="14">
        <v>-442.55629999999655</v>
      </c>
      <c r="D8" s="14">
        <v>-442.5</v>
      </c>
      <c r="F8" s="14"/>
      <c r="G8" s="14"/>
      <c r="I8" s="17">
        <f t="shared" si="0"/>
        <v>-442.55629999999655</v>
      </c>
      <c r="J8" s="17">
        <f t="shared" si="0"/>
        <v>-442.5</v>
      </c>
    </row>
    <row r="9" spans="1:10">
      <c r="A9" s="13" t="s">
        <v>31</v>
      </c>
      <c r="B9" s="13" t="s">
        <v>4</v>
      </c>
      <c r="C9" s="14">
        <v>-108431.56</v>
      </c>
      <c r="D9" s="14">
        <v>-115736.52</v>
      </c>
      <c r="F9" s="14"/>
      <c r="G9" s="14"/>
      <c r="I9" s="17">
        <f t="shared" si="0"/>
        <v>-108431.56</v>
      </c>
      <c r="J9" s="17">
        <f>D9-G9</f>
        <v>-115736.52</v>
      </c>
    </row>
    <row r="10" spans="1:10">
      <c r="A10" s="13" t="s">
        <v>32</v>
      </c>
      <c r="B10" s="13" t="s">
        <v>33</v>
      </c>
      <c r="C10" s="14">
        <v>-1796.02</v>
      </c>
      <c r="D10" s="14">
        <v>-13896.85</v>
      </c>
      <c r="F10" s="14"/>
      <c r="G10" s="14"/>
      <c r="I10" s="17">
        <f t="shared" si="0"/>
        <v>-1796.02</v>
      </c>
      <c r="J10" s="17">
        <f>D10-G10</f>
        <v>-13896.85</v>
      </c>
    </row>
    <row r="11" spans="1:10">
      <c r="A11" s="13" t="s">
        <v>34</v>
      </c>
      <c r="B11" s="13" t="s">
        <v>35</v>
      </c>
      <c r="C11" s="14">
        <v>-213538.48</v>
      </c>
      <c r="D11" s="14">
        <v>-231798.32</v>
      </c>
      <c r="F11" s="14"/>
      <c r="G11" s="14"/>
      <c r="I11" s="17">
        <f t="shared" si="0"/>
        <v>-213538.48</v>
      </c>
      <c r="J11" s="17">
        <f t="shared" si="0"/>
        <v>-231798.32</v>
      </c>
    </row>
    <row r="12" spans="1:10">
      <c r="A12" s="13" t="s">
        <v>36</v>
      </c>
      <c r="B12" s="13" t="s">
        <v>37</v>
      </c>
      <c r="C12" s="14">
        <v>-509931.88</v>
      </c>
      <c r="D12" s="14">
        <v>-490655.02</v>
      </c>
      <c r="F12" s="14"/>
      <c r="G12" s="14"/>
      <c r="I12" s="17">
        <f t="shared" si="0"/>
        <v>-509931.88</v>
      </c>
      <c r="J12" s="17">
        <f t="shared" si="0"/>
        <v>-490655.02</v>
      </c>
    </row>
    <row r="13" spans="1:10">
      <c r="A13" s="13" t="s">
        <v>38</v>
      </c>
      <c r="B13" s="13" t="s">
        <v>35</v>
      </c>
      <c r="C13" s="14">
        <v>-197982.12</v>
      </c>
      <c r="D13" s="14">
        <v>-226330.97</v>
      </c>
      <c r="F13" s="14"/>
      <c r="G13" s="14"/>
      <c r="I13" s="17">
        <f t="shared" si="0"/>
        <v>-197982.12</v>
      </c>
      <c r="J13" s="17">
        <f t="shared" si="0"/>
        <v>-226330.97</v>
      </c>
    </row>
    <row r="14" spans="1:10">
      <c r="A14" s="13" t="s">
        <v>39</v>
      </c>
      <c r="B14" s="13" t="s">
        <v>37</v>
      </c>
      <c r="C14" s="14">
        <v>-359444.76</v>
      </c>
      <c r="D14" s="14">
        <v>-443022.6</v>
      </c>
      <c r="F14" s="14"/>
      <c r="G14" s="14"/>
      <c r="I14" s="17">
        <f t="shared" si="0"/>
        <v>-359444.76</v>
      </c>
      <c r="J14" s="17">
        <f t="shared" si="0"/>
        <v>-443022.6</v>
      </c>
    </row>
    <row r="15" spans="1:10">
      <c r="A15" s="13" t="s">
        <v>40</v>
      </c>
      <c r="B15" s="13" t="s">
        <v>35</v>
      </c>
      <c r="C15" s="14">
        <v>-76866.33</v>
      </c>
      <c r="D15" s="14">
        <v>-75357.83</v>
      </c>
      <c r="F15" s="14"/>
      <c r="G15" s="14"/>
      <c r="I15" s="17">
        <f t="shared" si="0"/>
        <v>-76866.33</v>
      </c>
      <c r="J15" s="17">
        <f t="shared" si="0"/>
        <v>-75357.83</v>
      </c>
    </row>
    <row r="16" spans="1:10">
      <c r="A16" s="13" t="s">
        <v>41</v>
      </c>
      <c r="B16" s="13" t="s">
        <v>37</v>
      </c>
      <c r="C16" s="14">
        <v>-73175.59</v>
      </c>
      <c r="D16" s="14">
        <v>-77131</v>
      </c>
      <c r="F16" s="14"/>
      <c r="G16" s="14"/>
      <c r="I16" s="17">
        <f t="shared" si="0"/>
        <v>-73175.59</v>
      </c>
      <c r="J16" s="17">
        <f t="shared" si="0"/>
        <v>-77131</v>
      </c>
    </row>
    <row r="17" spans="1:10">
      <c r="A17" s="13" t="s">
        <v>42</v>
      </c>
      <c r="B17" s="13" t="s">
        <v>33</v>
      </c>
      <c r="C17" s="14">
        <v>-307155.09999999998</v>
      </c>
      <c r="D17" s="14">
        <v>-2952.98</v>
      </c>
      <c r="F17" s="14"/>
      <c r="G17" s="14"/>
      <c r="I17" s="17">
        <f t="shared" si="0"/>
        <v>-307155.09999999998</v>
      </c>
      <c r="J17" s="17">
        <f t="shared" si="0"/>
        <v>-2952.98</v>
      </c>
    </row>
    <row r="18" spans="1:10">
      <c r="A18" s="13" t="s">
        <v>43</v>
      </c>
      <c r="B18" s="13" t="s">
        <v>4</v>
      </c>
      <c r="C18" s="14">
        <v>-76628.600000000006</v>
      </c>
      <c r="D18" s="14">
        <v>-93463.02</v>
      </c>
      <c r="F18" s="14"/>
      <c r="G18" s="14"/>
      <c r="I18" s="17">
        <f t="shared" si="0"/>
        <v>-76628.600000000006</v>
      </c>
      <c r="J18" s="17">
        <f t="shared" si="0"/>
        <v>-93463.02</v>
      </c>
    </row>
    <row r="19" spans="1:10">
      <c r="A19" s="13" t="s">
        <v>44</v>
      </c>
      <c r="B19" s="13" t="s">
        <v>4</v>
      </c>
      <c r="C19" s="14">
        <v>-2410370.7200000002</v>
      </c>
      <c r="D19" s="14">
        <v>-2609345.6800000002</v>
      </c>
      <c r="F19" s="14">
        <v>-273311.89</v>
      </c>
      <c r="G19" s="14">
        <v>-274480.14</v>
      </c>
      <c r="I19" s="17">
        <f>C19-F19</f>
        <v>-2137058.83</v>
      </c>
      <c r="J19" s="17">
        <f t="shared" si="0"/>
        <v>-2334865.54</v>
      </c>
    </row>
    <row r="20" spans="1:10">
      <c r="A20" s="18" t="s">
        <v>45</v>
      </c>
      <c r="B20" s="18" t="s">
        <v>5</v>
      </c>
      <c r="C20" s="19">
        <v>-944892.59</v>
      </c>
      <c r="D20" s="19">
        <v>-1051520.75</v>
      </c>
      <c r="F20" s="19">
        <v>-154140.66</v>
      </c>
      <c r="G20" s="19">
        <v>-157670.82</v>
      </c>
      <c r="I20" s="17">
        <f>C20-F20</f>
        <v>-790751.92999999993</v>
      </c>
      <c r="J20" s="17">
        <f t="shared" si="0"/>
        <v>-893849.92999999993</v>
      </c>
    </row>
    <row r="21" spans="1:10">
      <c r="A21" s="18" t="s">
        <v>46</v>
      </c>
      <c r="B21" s="18" t="s">
        <v>33</v>
      </c>
      <c r="C21" s="19">
        <v>-464608.28</v>
      </c>
      <c r="D21" s="19">
        <v>-507533.11</v>
      </c>
      <c r="F21" s="19"/>
      <c r="G21" s="19"/>
      <c r="I21" s="17">
        <f>C21-F21</f>
        <v>-464608.28</v>
      </c>
      <c r="J21" s="17">
        <f t="shared" si="0"/>
        <v>-507533.11</v>
      </c>
    </row>
    <row r="22" spans="1:10">
      <c r="A22" s="18" t="s">
        <v>47</v>
      </c>
      <c r="B22" s="18" t="s">
        <v>33</v>
      </c>
      <c r="C22" s="19">
        <v>-628420.92000000004</v>
      </c>
      <c r="D22" s="19">
        <v>-679580.95</v>
      </c>
      <c r="F22" s="19"/>
      <c r="G22" s="19"/>
      <c r="I22" s="17">
        <f t="shared" si="0"/>
        <v>-628420.92000000004</v>
      </c>
      <c r="J22" s="17">
        <f t="shared" si="0"/>
        <v>-679580.95</v>
      </c>
    </row>
    <row r="23" spans="1:10">
      <c r="A23" s="18" t="s">
        <v>48</v>
      </c>
      <c r="B23" s="18" t="s">
        <v>4</v>
      </c>
      <c r="C23" s="19">
        <v>-545218.28</v>
      </c>
      <c r="D23" s="19">
        <v>-570649.29</v>
      </c>
      <c r="F23" s="19"/>
      <c r="G23" s="19"/>
      <c r="I23" s="17">
        <f t="shared" si="0"/>
        <v>-545218.28</v>
      </c>
      <c r="J23" s="17">
        <f t="shared" si="0"/>
        <v>-570649.29</v>
      </c>
    </row>
    <row r="24" spans="1:10">
      <c r="A24" s="18" t="s">
        <v>49</v>
      </c>
      <c r="B24" s="18" t="s">
        <v>33</v>
      </c>
      <c r="C24" s="19">
        <v>-2497876.58</v>
      </c>
      <c r="D24" s="19">
        <v>-2443148.89</v>
      </c>
      <c r="F24" s="19"/>
      <c r="G24" s="19"/>
      <c r="I24" s="17">
        <f t="shared" si="0"/>
        <v>-2497876.58</v>
      </c>
      <c r="J24" s="17">
        <f t="shared" si="0"/>
        <v>-2443148.89</v>
      </c>
    </row>
    <row r="25" spans="1:10">
      <c r="A25" s="18" t="s">
        <v>50</v>
      </c>
      <c r="B25" s="18" t="s">
        <v>4</v>
      </c>
      <c r="C25" s="19">
        <v>-416982.35</v>
      </c>
      <c r="D25" s="19">
        <v>-274783.74</v>
      </c>
      <c r="F25" s="19"/>
      <c r="G25" s="19"/>
      <c r="I25" s="17">
        <f t="shared" si="0"/>
        <v>-416982.35</v>
      </c>
      <c r="J25" s="17">
        <f t="shared" si="0"/>
        <v>-274783.74</v>
      </c>
    </row>
    <row r="26" spans="1:10">
      <c r="A26" s="18" t="s">
        <v>51</v>
      </c>
      <c r="B26" s="18" t="s">
        <v>4</v>
      </c>
      <c r="C26" s="19">
        <v>-1691.69</v>
      </c>
      <c r="D26" s="19">
        <v>-8221.83</v>
      </c>
      <c r="F26" s="19"/>
      <c r="G26" s="19"/>
      <c r="I26" s="17">
        <f t="shared" si="0"/>
        <v>-1691.69</v>
      </c>
      <c r="J26" s="17">
        <f t="shared" si="0"/>
        <v>-8221.83</v>
      </c>
    </row>
    <row r="27" spans="1:10">
      <c r="A27" s="18" t="s">
        <v>52</v>
      </c>
      <c r="B27" s="18" t="s">
        <v>33</v>
      </c>
      <c r="C27" s="19">
        <v>-2247.9</v>
      </c>
      <c r="D27" s="19">
        <v>-244.61</v>
      </c>
      <c r="F27" s="19"/>
      <c r="G27" s="19"/>
      <c r="I27" s="17">
        <f t="shared" si="0"/>
        <v>-2247.9</v>
      </c>
      <c r="J27" s="17">
        <f t="shared" si="0"/>
        <v>-244.61</v>
      </c>
    </row>
    <row r="28" spans="1:10">
      <c r="A28" s="18" t="s">
        <v>53</v>
      </c>
      <c r="B28" s="18" t="s">
        <v>6</v>
      </c>
      <c r="C28" s="19">
        <v>-407494.57</v>
      </c>
      <c r="D28" s="19">
        <v>-464666.39</v>
      </c>
      <c r="F28" s="19">
        <v>-89588.36</v>
      </c>
      <c r="G28" s="19">
        <v>-91019.42</v>
      </c>
      <c r="I28" s="17">
        <f t="shared" si="0"/>
        <v>-317906.21000000002</v>
      </c>
      <c r="J28" s="17">
        <f t="shared" si="0"/>
        <v>-373646.97000000003</v>
      </c>
    </row>
    <row r="29" spans="1:10">
      <c r="A29" s="18" t="s">
        <v>54</v>
      </c>
      <c r="B29" s="18" t="s">
        <v>4</v>
      </c>
      <c r="C29" s="19">
        <v>-1186.6500000000001</v>
      </c>
      <c r="D29" s="19">
        <v>-2060.71</v>
      </c>
      <c r="F29" s="19"/>
      <c r="G29" s="19"/>
      <c r="I29" s="17">
        <f t="shared" si="0"/>
        <v>-1186.6500000000001</v>
      </c>
      <c r="J29" s="17">
        <f t="shared" si="0"/>
        <v>-2060.71</v>
      </c>
    </row>
    <row r="30" spans="1:10">
      <c r="A30" s="18" t="s">
        <v>17</v>
      </c>
      <c r="B30" s="18" t="s">
        <v>4</v>
      </c>
      <c r="C30" s="19">
        <v>-358876.97</v>
      </c>
      <c r="D30" s="19">
        <v>-383152.94</v>
      </c>
      <c r="F30" s="19"/>
      <c r="G30" s="19"/>
      <c r="I30" s="17">
        <f t="shared" si="0"/>
        <v>-358876.97</v>
      </c>
      <c r="J30" s="17">
        <f t="shared" si="0"/>
        <v>-383152.94</v>
      </c>
    </row>
    <row r="31" spans="1:10">
      <c r="A31" s="13" t="s">
        <v>55</v>
      </c>
      <c r="B31" s="13" t="s">
        <v>4</v>
      </c>
      <c r="C31" s="14">
        <v>-5849.99</v>
      </c>
      <c r="D31" s="14">
        <v>-3623.16</v>
      </c>
      <c r="F31" s="14"/>
      <c r="G31" s="14"/>
      <c r="I31" s="17">
        <f t="shared" si="0"/>
        <v>-5849.99</v>
      </c>
      <c r="J31" s="17">
        <f t="shared" si="0"/>
        <v>-3623.16</v>
      </c>
    </row>
    <row r="32" spans="1:10">
      <c r="A32" s="13" t="s">
        <v>56</v>
      </c>
      <c r="B32" s="13" t="s">
        <v>4</v>
      </c>
      <c r="C32" s="14">
        <v>-676712.18</v>
      </c>
      <c r="D32" s="14">
        <v>-705491.95</v>
      </c>
      <c r="F32" s="14">
        <v>-103056.83</v>
      </c>
      <c r="G32" s="14">
        <v>-100044.66</v>
      </c>
      <c r="I32" s="17">
        <f t="shared" si="0"/>
        <v>-573655.35000000009</v>
      </c>
      <c r="J32" s="17">
        <f t="shared" si="0"/>
        <v>-605447.28999999992</v>
      </c>
    </row>
    <row r="33" spans="1:10" ht="15.75" thickBot="1">
      <c r="A33" s="13" t="s">
        <v>57</v>
      </c>
      <c r="C33" s="20">
        <f>SUM(C6:C32)</f>
        <v>-11302120.072600001</v>
      </c>
      <c r="D33" s="20">
        <f>SUM(D6:D32)</f>
        <v>-11489108.060000001</v>
      </c>
      <c r="F33" s="20">
        <f>SUM(F6:F32)</f>
        <v>-620097.74</v>
      </c>
      <c r="G33" s="20">
        <f>SUM(G6:G32)</f>
        <v>-623215.04</v>
      </c>
      <c r="I33" s="20">
        <f>SUM(I6:I32)</f>
        <v>-10682022.332600003</v>
      </c>
      <c r="J33" s="20">
        <f>SUM(J6:J32)</f>
        <v>-10865893.020000001</v>
      </c>
    </row>
    <row r="34" spans="1:10" ht="15.75" thickTop="1">
      <c r="A34" s="21" t="s">
        <v>58</v>
      </c>
      <c r="C34" s="14">
        <v>-11302120.060000001</v>
      </c>
      <c r="D34" s="14">
        <v>-11489108.060000001</v>
      </c>
      <c r="F34" s="14">
        <v>-620097.73</v>
      </c>
      <c r="G34" s="14">
        <v>-623215.02</v>
      </c>
      <c r="I34" s="17">
        <f>C34-F34</f>
        <v>-10682022.33</v>
      </c>
      <c r="J34" s="17">
        <f>D34-G34</f>
        <v>-10865893.040000001</v>
      </c>
    </row>
    <row r="35" spans="1:10">
      <c r="C35" s="14">
        <f>C34-C33</f>
        <v>1.2600000947713852E-2</v>
      </c>
      <c r="D35" s="14">
        <f>D34-D33</f>
        <v>0</v>
      </c>
      <c r="F35" s="14">
        <f>F34-F33</f>
        <v>1.0000000009313226E-2</v>
      </c>
      <c r="G35" s="14">
        <f>G34-G33</f>
        <v>2.0000000018626451E-2</v>
      </c>
      <c r="H35" s="14"/>
      <c r="I35" s="14">
        <f>I34-I33</f>
        <v>2.6000030338764191E-3</v>
      </c>
      <c r="J35" s="14">
        <f>J34-J33</f>
        <v>-1.9999999552965164E-2</v>
      </c>
    </row>
    <row r="36" spans="1:10">
      <c r="A36" s="22"/>
      <c r="F36" s="14"/>
      <c r="G36" s="14"/>
    </row>
    <row r="37" spans="1:10">
      <c r="A37" s="23" t="s">
        <v>59</v>
      </c>
      <c r="C37" s="16">
        <v>2021</v>
      </c>
      <c r="D37" s="16">
        <v>2022</v>
      </c>
      <c r="F37" s="16">
        <v>2021</v>
      </c>
      <c r="G37" s="16">
        <v>2022</v>
      </c>
      <c r="I37" s="16">
        <v>2021</v>
      </c>
      <c r="J37" s="16">
        <v>2022</v>
      </c>
    </row>
    <row r="38" spans="1:10" ht="9" customHeight="1">
      <c r="A38" s="24"/>
      <c r="C38" s="24"/>
      <c r="D38" s="13"/>
      <c r="E38" s="13"/>
      <c r="F38" s="24"/>
      <c r="I38" s="24"/>
    </row>
    <row r="39" spans="1:10">
      <c r="A39" s="13" t="s">
        <v>60</v>
      </c>
      <c r="B39" s="13" t="s">
        <v>35</v>
      </c>
      <c r="C39" s="14">
        <f t="shared" ref="C39:D40" si="1">SUMIF($B$6:$B$32,$B39,C$6:C$32)</f>
        <v>-488386.93</v>
      </c>
      <c r="D39" s="14">
        <f t="shared" si="1"/>
        <v>-533487.12</v>
      </c>
      <c r="E39" s="13"/>
      <c r="F39" s="14">
        <f t="shared" ref="F39:G42" si="2">SUMIF($B$6:$B$32,$B39,F$6:F$32)</f>
        <v>0</v>
      </c>
      <c r="G39" s="14">
        <f t="shared" si="2"/>
        <v>0</v>
      </c>
      <c r="I39" s="14">
        <f t="shared" ref="I39:J45" si="3">SUMIF($B$6:$B$32,$B39,I$6:I$32)</f>
        <v>-488386.93</v>
      </c>
      <c r="J39" s="14">
        <f t="shared" si="3"/>
        <v>-533487.12</v>
      </c>
    </row>
    <row r="40" spans="1:10">
      <c r="A40" s="13" t="s">
        <v>61</v>
      </c>
      <c r="B40" s="13" t="s">
        <v>37</v>
      </c>
      <c r="C40" s="14">
        <f t="shared" si="1"/>
        <v>-942552.23</v>
      </c>
      <c r="D40" s="14">
        <f t="shared" si="1"/>
        <v>-1010808.62</v>
      </c>
      <c r="E40" s="13"/>
      <c r="F40" s="14">
        <f t="shared" si="2"/>
        <v>0</v>
      </c>
      <c r="G40" s="14">
        <f t="shared" si="2"/>
        <v>0</v>
      </c>
      <c r="I40" s="14">
        <f t="shared" si="3"/>
        <v>-942552.23</v>
      </c>
      <c r="J40" s="14">
        <f t="shared" si="3"/>
        <v>-1010808.62</v>
      </c>
    </row>
    <row r="41" spans="1:10">
      <c r="A41" s="13" t="s">
        <v>12</v>
      </c>
      <c r="B41" s="13" t="s">
        <v>4</v>
      </c>
      <c r="C41" s="14">
        <f>SUMIF($B$6:$B$32,$B41,C$6:C$32)</f>
        <v>-4611921.7213000003</v>
      </c>
      <c r="D41" s="14">
        <f>SUMIF($B$6:$B$32,$B41,D$6:D$32)</f>
        <v>-4776500.8499999996</v>
      </c>
      <c r="E41" s="13"/>
      <c r="F41" s="14">
        <f t="shared" si="2"/>
        <v>-376368.72000000003</v>
      </c>
      <c r="G41" s="14">
        <f t="shared" si="2"/>
        <v>-374524.80000000005</v>
      </c>
      <c r="I41" s="14">
        <f t="shared" si="3"/>
        <v>-4235553.0013000015</v>
      </c>
      <c r="J41" s="14">
        <f t="shared" si="3"/>
        <v>-4401976.05</v>
      </c>
    </row>
    <row r="42" spans="1:10">
      <c r="A42" s="13" t="s">
        <v>62</v>
      </c>
      <c r="B42" s="13" t="s">
        <v>5</v>
      </c>
      <c r="C42" s="14">
        <f t="shared" ref="C42:G45" si="4">SUMIF($B$6:$B$32,$B42,C$6:C$32)</f>
        <v>-949217.26500000001</v>
      </c>
      <c r="D42" s="14">
        <f t="shared" si="4"/>
        <v>-1055845.19</v>
      </c>
      <c r="E42" s="13"/>
      <c r="F42" s="14">
        <f t="shared" si="2"/>
        <v>-154140.66</v>
      </c>
      <c r="G42" s="14">
        <f t="shared" si="2"/>
        <v>-157670.82</v>
      </c>
      <c r="I42" s="14">
        <f t="shared" si="3"/>
        <v>-795076.60499999998</v>
      </c>
      <c r="J42" s="14">
        <f t="shared" si="3"/>
        <v>-898174.36999999988</v>
      </c>
    </row>
    <row r="43" spans="1:10">
      <c r="A43" s="13" t="s">
        <v>63</v>
      </c>
      <c r="B43" s="18" t="s">
        <v>6</v>
      </c>
      <c r="C43" s="14">
        <f t="shared" si="4"/>
        <v>-407494.57</v>
      </c>
      <c r="D43" s="14">
        <f t="shared" si="4"/>
        <v>-464666.39</v>
      </c>
      <c r="E43" s="13"/>
      <c r="F43" s="14">
        <f t="shared" si="4"/>
        <v>-89588.36</v>
      </c>
      <c r="G43" s="14">
        <f t="shared" si="4"/>
        <v>-91019.42</v>
      </c>
      <c r="I43" s="14">
        <f t="shared" si="3"/>
        <v>-317906.21000000002</v>
      </c>
      <c r="J43" s="14">
        <f t="shared" si="3"/>
        <v>-373646.97000000003</v>
      </c>
    </row>
    <row r="44" spans="1:10">
      <c r="A44" s="13" t="s">
        <v>64</v>
      </c>
      <c r="B44" s="18" t="s">
        <v>33</v>
      </c>
      <c r="C44" s="14">
        <f t="shared" si="4"/>
        <v>-3902104.8000000003</v>
      </c>
      <c r="D44" s="14">
        <f t="shared" si="4"/>
        <v>-3647357.39</v>
      </c>
      <c r="E44" s="13"/>
      <c r="F44" s="14">
        <f t="shared" si="4"/>
        <v>0</v>
      </c>
      <c r="G44" s="14">
        <f t="shared" si="4"/>
        <v>0</v>
      </c>
      <c r="I44" s="14">
        <f t="shared" si="3"/>
        <v>-3902104.8000000003</v>
      </c>
      <c r="J44" s="14">
        <f t="shared" si="3"/>
        <v>-3647357.39</v>
      </c>
    </row>
    <row r="45" spans="1:10">
      <c r="A45" s="13" t="s">
        <v>65</v>
      </c>
      <c r="B45" s="18" t="s">
        <v>30</v>
      </c>
      <c r="C45" s="14">
        <f t="shared" si="4"/>
        <v>-442.55629999999655</v>
      </c>
      <c r="D45" s="14">
        <f t="shared" si="4"/>
        <v>-442.5</v>
      </c>
      <c r="E45" s="13"/>
      <c r="F45" s="14">
        <f t="shared" si="4"/>
        <v>0</v>
      </c>
      <c r="G45" s="14">
        <f t="shared" si="4"/>
        <v>0</v>
      </c>
      <c r="I45" s="14">
        <f t="shared" si="3"/>
        <v>-442.55629999999655</v>
      </c>
      <c r="J45" s="14">
        <f t="shared" si="3"/>
        <v>-442.5</v>
      </c>
    </row>
    <row r="46" spans="1:10">
      <c r="E46" s="13"/>
      <c r="F46" s="14"/>
      <c r="G46" s="14"/>
      <c r="I46" s="14"/>
      <c r="J46" s="14"/>
    </row>
    <row r="47" spans="1:10">
      <c r="A47" s="13" t="s">
        <v>66</v>
      </c>
      <c r="C47" s="25">
        <f>SUM(C38:C46)</f>
        <v>-11302120.0726</v>
      </c>
      <c r="D47" s="25">
        <f>SUM(D38:D46)</f>
        <v>-11489108.059999999</v>
      </c>
      <c r="E47" s="13"/>
      <c r="F47" s="25">
        <f>SUM(F38:F46)</f>
        <v>-620097.74</v>
      </c>
      <c r="G47" s="25">
        <f>SUM(G38:G46)</f>
        <v>-623215.04000000015</v>
      </c>
      <c r="I47" s="25">
        <f>SUM(I38:I46)</f>
        <v>-10682022.332600001</v>
      </c>
      <c r="J47" s="25">
        <f>SUM(J38:J46)</f>
        <v>-10865893.02</v>
      </c>
    </row>
    <row r="48" spans="1:10">
      <c r="A48" s="26"/>
      <c r="C48" s="14">
        <f>C33-C47</f>
        <v>0</v>
      </c>
      <c r="D48" s="14">
        <f>D33-D47</f>
        <v>0</v>
      </c>
      <c r="E48" s="13"/>
      <c r="F48" s="14">
        <f>F33-F47</f>
        <v>0</v>
      </c>
      <c r="G48" s="14">
        <f>G33-G47</f>
        <v>0</v>
      </c>
      <c r="I48" s="14">
        <f>I33-I47</f>
        <v>0</v>
      </c>
      <c r="J48" s="14">
        <f>J33-J47</f>
        <v>0</v>
      </c>
    </row>
    <row r="49" spans="7:10">
      <c r="G49" s="13" t="s">
        <v>74</v>
      </c>
      <c r="H49" s="31"/>
      <c r="I49" s="32" t="s">
        <v>72</v>
      </c>
      <c r="J49" s="32" t="s">
        <v>73</v>
      </c>
    </row>
    <row r="50" spans="7:10">
      <c r="G50" s="17">
        <f>I50+J50</f>
        <v>-10819925.34815</v>
      </c>
      <c r="H50" s="17"/>
      <c r="I50" s="17">
        <f>I47*3/12</f>
        <v>-2670505.5831500003</v>
      </c>
      <c r="J50" s="17">
        <f>J47*9/12</f>
        <v>-8149419.7649999997</v>
      </c>
    </row>
  </sheetData>
  <mergeCells count="4">
    <mergeCell ref="I3:J3"/>
    <mergeCell ref="C4:D4"/>
    <mergeCell ref="F4:G4"/>
    <mergeCell ref="I4:J4"/>
  </mergeCells>
  <printOptions headings="1" gridLines="1"/>
  <pageMargins left="0.7" right="0.7" top="0.31" bottom="0.75" header="0.3" footer="0.25"/>
  <pageSetup scale="78" orientation="landscape" r:id="rId1"/>
  <headerFooter scaleWithDoc="0">
    <oddFooter>&amp;LAvista
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Date1 xmlns="dc463f71-b30c-4ab2-9473-d307f9d35888">2021-04-21T07:00:00+00:00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9804D42-446A-4E6A-ABB7-DB34F62F1313}"/>
</file>

<file path=customXml/itemProps2.xml><?xml version="1.0" encoding="utf-8"?>
<ds:datastoreItem xmlns:ds="http://schemas.openxmlformats.org/officeDocument/2006/customXml" ds:itemID="{8972B027-1578-48BF-8C12-6F25E5530E2C}">
  <ds:schemaRefs>
    <ds:schemaRef ds:uri="http://purl.org/dc/dcmitype/"/>
    <ds:schemaRef ds:uri="a0689114-bdb9-4146-803a-240f5368dce0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/fields"/>
    <ds:schemaRef ds:uri="24f70c62-691b-492e-ba59-9d389529a97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52DF24D-CD3A-46F8-B19E-7E03D465BAE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4061573-7299-455A-8DF3-6E6E5926D0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Exh BAE-2, 3.03 E-ARAM</vt:lpstr>
      <vt:lpstr>Exh BAE-3, 3.03 G-ARAM</vt:lpstr>
      <vt:lpstr>Adj Using Flow-Thru Detail</vt:lpstr>
      <vt:lpstr>ARAM Allocation</vt:lpstr>
      <vt:lpstr>'Adj Using Flow-Thru Detail'!Print_Area</vt:lpstr>
      <vt:lpstr>'ARAM Allocation'!Print_Area</vt:lpstr>
      <vt:lpstr>'Exh BAE-2, 3.03 E-ARAM'!Print_Area</vt:lpstr>
      <vt:lpstr>'Exh BAE-3, 3.03 G-ARAM'!Print_Area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Exh. BAE-2-3</dc:title>
  <dc:creator>Knox, Tara</dc:creator>
  <dc:description/>
  <cp:lastModifiedBy>Erdahl, Betty Ann (UTC)</cp:lastModifiedBy>
  <cp:lastPrinted>2021-04-14T23:01:05Z</cp:lastPrinted>
  <dcterms:created xsi:type="dcterms:W3CDTF">2020-05-18T18:27:50Z</dcterms:created>
  <dcterms:modified xsi:type="dcterms:W3CDTF">2021-04-14T23:01:23Z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DR Sort">
    <vt:r8>38</vt:r8>
  </property>
  <property fmtid="{D5CDD505-2E9C-101B-9397-08002B2CF9AE}" pid="4" name="DR Nos.">
    <vt:lpwstr>38</vt:lpwstr>
  </property>
  <property fmtid="{D5CDD505-2E9C-101B-9397-08002B2CF9AE}" pid="5" name="Requesting Party">
    <vt:lpwstr>Staff</vt:lpwstr>
  </property>
  <property fmtid="{D5CDD505-2E9C-101B-9397-08002B2CF9AE}" pid="6" name="Responding Party">
    <vt:lpwstr>Avista</vt:lpwstr>
  </property>
  <property fmtid="{D5CDD505-2E9C-101B-9397-08002B2CF9AE}" pid="7" name="Document Type">
    <vt:lpwstr>Supp Resp</vt:lpwstr>
  </property>
  <property fmtid="{D5CDD505-2E9C-101B-9397-08002B2CF9AE}" pid="9" name="EfsecDocumentType">
    <vt:lpwstr>Documents</vt:lpwstr>
  </property>
  <property fmtid="{D5CDD505-2E9C-101B-9397-08002B2CF9AE}" pid="15" name="IsOfficialRecord">
    <vt:bool>false</vt:bool>
  </property>
  <property fmtid="{D5CDD505-2E9C-101B-9397-08002B2CF9AE}" pid="16" name="IsVisibleToEfsecCouncil">
    <vt:bool>false</vt:bool>
  </property>
  <property fmtid="{D5CDD505-2E9C-101B-9397-08002B2CF9AE}" pid="25" name="_docset_NoMedatataSyncRequired">
    <vt:lpwstr>False</vt:lpwstr>
  </property>
  <property fmtid="{D5CDD505-2E9C-101B-9397-08002B2CF9AE}" pid="26" name="IsEFSEC">
    <vt:bool>false</vt:bool>
  </property>
</Properties>
</file>