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6\2016_WA_Elec_and_Gas_GRC\Direct Testimony &amp; Exhibits\Johnson\"/>
    </mc:Choice>
  </mc:AlternateContent>
  <bookViews>
    <workbookView xWindow="-15" yWindow="-15" windowWidth="9705" windowHeight="7305" tabRatio="731" activeTab="2"/>
  </bookViews>
  <sheets>
    <sheet name="WGJ-2" sheetId="1" r:id="rId1"/>
    <sheet name="WGJ-4" sheetId="16" r:id="rId2"/>
    <sheet name="WGJ-5" sheetId="19" r:id="rId3"/>
    <sheet name="Index" sheetId="17" r:id="rId4"/>
    <sheet name="Aurora" sheetId="18" r:id="rId5"/>
  </sheets>
  <definedNames>
    <definedName name="_xlnm.Print_Area" localSheetId="3">Index!$A$23:$O$59</definedName>
    <definedName name="_xlnm.Print_Area" localSheetId="0">'WGJ-2'!$A$1:$F$116</definedName>
    <definedName name="_xlnm.Print_Area" localSheetId="1">'WGJ-4'!$A$1:$O$57</definedName>
    <definedName name="_xlnm.Print_Area" localSheetId="2">'WGJ-5'!$A$1:$N$44</definedName>
    <definedName name="_xlnm.Print_Titles" localSheetId="0">'WGJ-2'!$1:$7</definedName>
  </definedNames>
  <calcPr calcId="152511"/>
</workbook>
</file>

<file path=xl/calcChain.xml><?xml version="1.0" encoding="utf-8"?>
<calcChain xmlns="http://schemas.openxmlformats.org/spreadsheetml/2006/main">
  <c r="A43" i="19" l="1"/>
  <c r="E34" i="1"/>
  <c r="J88" i="1"/>
  <c r="L70" i="1"/>
  <c r="M70" i="1"/>
  <c r="N70" i="1"/>
  <c r="O70" i="1"/>
  <c r="P70" i="1"/>
  <c r="Q70" i="1"/>
  <c r="R70" i="1"/>
  <c r="S70" i="1"/>
  <c r="T70" i="1"/>
  <c r="U70" i="1"/>
  <c r="V70" i="1"/>
  <c r="K70" i="1"/>
  <c r="L64" i="1"/>
  <c r="M64" i="1"/>
  <c r="N64" i="1"/>
  <c r="O64" i="1"/>
  <c r="P64" i="1"/>
  <c r="Q64" i="1"/>
  <c r="R64" i="1"/>
  <c r="S64" i="1"/>
  <c r="T64" i="1"/>
  <c r="U64" i="1"/>
  <c r="V64" i="1"/>
  <c r="K64" i="1"/>
  <c r="L51" i="1"/>
  <c r="M51" i="1"/>
  <c r="N51" i="1"/>
  <c r="O51" i="1"/>
  <c r="P51" i="1"/>
  <c r="Q51" i="1"/>
  <c r="R51" i="1"/>
  <c r="S51" i="1"/>
  <c r="T51" i="1"/>
  <c r="U51" i="1"/>
  <c r="V51" i="1"/>
  <c r="K51" i="1"/>
  <c r="L52" i="1" l="1"/>
  <c r="M52" i="1"/>
  <c r="N52" i="1"/>
  <c r="O52" i="1"/>
  <c r="P52" i="1"/>
  <c r="Q52" i="1"/>
  <c r="R52" i="1"/>
  <c r="S52" i="1"/>
  <c r="T52" i="1"/>
  <c r="U52" i="1"/>
  <c r="V52" i="1"/>
  <c r="K52" i="1"/>
  <c r="L53" i="1"/>
  <c r="M53" i="1"/>
  <c r="N53" i="1"/>
  <c r="O53" i="1"/>
  <c r="P53" i="1"/>
  <c r="Q53" i="1"/>
  <c r="R53" i="1"/>
  <c r="S53" i="1"/>
  <c r="T53" i="1"/>
  <c r="U53" i="1"/>
  <c r="V53" i="1"/>
  <c r="K53" i="1"/>
  <c r="L31" i="1" l="1"/>
  <c r="M31" i="1"/>
  <c r="N31" i="1"/>
  <c r="O31" i="1"/>
  <c r="P31" i="1"/>
  <c r="Q31" i="1"/>
  <c r="R31" i="1"/>
  <c r="S31" i="1"/>
  <c r="T31" i="1"/>
  <c r="U31" i="1"/>
  <c r="V31" i="1"/>
  <c r="K31" i="1"/>
  <c r="E88" i="1" l="1"/>
  <c r="E19" i="17"/>
  <c r="F19" i="17"/>
  <c r="G19" i="17"/>
  <c r="H19" i="17"/>
  <c r="I19" i="17"/>
  <c r="J19" i="17"/>
  <c r="K19" i="17"/>
  <c r="L19" i="17"/>
  <c r="M19" i="17"/>
  <c r="N19" i="17"/>
  <c r="O19" i="17"/>
  <c r="D19" i="17"/>
  <c r="E33" i="1" l="1"/>
  <c r="D64" i="1" l="1"/>
  <c r="D10" i="1" l="1"/>
  <c r="L99" i="1" l="1"/>
  <c r="M99" i="1"/>
  <c r="N99" i="1"/>
  <c r="O99" i="1"/>
  <c r="P99" i="1"/>
  <c r="Q99" i="1"/>
  <c r="R99" i="1"/>
  <c r="S99" i="1"/>
  <c r="T99" i="1"/>
  <c r="U99" i="1"/>
  <c r="V99" i="1"/>
  <c r="K99" i="1"/>
  <c r="L75" i="1"/>
  <c r="M75" i="1"/>
  <c r="N75" i="1"/>
  <c r="O75" i="1"/>
  <c r="P75" i="1"/>
  <c r="Q75" i="1"/>
  <c r="R75" i="1"/>
  <c r="S75" i="1"/>
  <c r="T75" i="1"/>
  <c r="U75" i="1"/>
  <c r="V75" i="1"/>
  <c r="K75" i="1"/>
  <c r="J75" i="1" l="1"/>
  <c r="J99" i="1"/>
  <c r="C19" i="17"/>
  <c r="E20" i="17"/>
  <c r="E21" i="17" s="1"/>
  <c r="L87" i="1" s="1"/>
  <c r="F20" i="17"/>
  <c r="F21" i="17" s="1"/>
  <c r="M87" i="1" s="1"/>
  <c r="G20" i="17"/>
  <c r="G21" i="17" s="1"/>
  <c r="N87" i="1" s="1"/>
  <c r="H20" i="17"/>
  <c r="H21" i="17" s="1"/>
  <c r="O87" i="1" s="1"/>
  <c r="I20" i="17"/>
  <c r="I21" i="17" s="1"/>
  <c r="P87" i="1" s="1"/>
  <c r="J20" i="17"/>
  <c r="J21" i="17" s="1"/>
  <c r="Q87" i="1" s="1"/>
  <c r="K20" i="17"/>
  <c r="K21" i="17" s="1"/>
  <c r="R87" i="1" s="1"/>
  <c r="L20" i="17"/>
  <c r="L21" i="17" s="1"/>
  <c r="S87" i="1" s="1"/>
  <c r="M20" i="17"/>
  <c r="M21" i="17" s="1"/>
  <c r="T87" i="1" s="1"/>
  <c r="N20" i="17"/>
  <c r="N21" i="17" s="1"/>
  <c r="U87" i="1" s="1"/>
  <c r="O20" i="17"/>
  <c r="O21" i="17" s="1"/>
  <c r="V87" i="1" s="1"/>
  <c r="D20" i="17"/>
  <c r="D21" i="17" s="1"/>
  <c r="K87" i="1" s="1"/>
  <c r="C11" i="17"/>
  <c r="C21" i="17" l="1"/>
  <c r="F87" i="1" s="1"/>
  <c r="L37" i="1" l="1"/>
  <c r="M37" i="1"/>
  <c r="N37" i="1"/>
  <c r="O37" i="1"/>
  <c r="P37" i="1"/>
  <c r="Q37" i="1"/>
  <c r="R37" i="1"/>
  <c r="S37" i="1"/>
  <c r="T37" i="1"/>
  <c r="U37" i="1"/>
  <c r="V37" i="1"/>
  <c r="K37" i="1"/>
  <c r="J37" i="1" l="1"/>
  <c r="L69" i="1" l="1"/>
  <c r="M69" i="1"/>
  <c r="N69" i="1"/>
  <c r="O69" i="1"/>
  <c r="P69" i="1"/>
  <c r="Q69" i="1"/>
  <c r="R69" i="1"/>
  <c r="S69" i="1"/>
  <c r="T69" i="1"/>
  <c r="U69" i="1"/>
  <c r="V69" i="1"/>
  <c r="K69" i="1"/>
  <c r="L63" i="1" l="1"/>
  <c r="M63" i="1"/>
  <c r="N63" i="1"/>
  <c r="O63" i="1"/>
  <c r="P63" i="1"/>
  <c r="Q63" i="1"/>
  <c r="R63" i="1"/>
  <c r="S63" i="1"/>
  <c r="T63" i="1"/>
  <c r="U63" i="1"/>
  <c r="V63" i="1"/>
  <c r="K63" i="1"/>
  <c r="L50" i="1" l="1"/>
  <c r="M50" i="1"/>
  <c r="N50" i="1"/>
  <c r="O50" i="1"/>
  <c r="P50" i="1"/>
  <c r="Q50" i="1"/>
  <c r="R50" i="1"/>
  <c r="S50" i="1"/>
  <c r="T50" i="1"/>
  <c r="U50" i="1"/>
  <c r="V50" i="1"/>
  <c r="K50" i="1"/>
  <c r="L41" i="1"/>
  <c r="M41" i="1"/>
  <c r="N41" i="1"/>
  <c r="O41" i="1"/>
  <c r="P41" i="1"/>
  <c r="Q41" i="1"/>
  <c r="R41" i="1"/>
  <c r="S41" i="1"/>
  <c r="T41" i="1"/>
  <c r="U41" i="1"/>
  <c r="V41" i="1"/>
  <c r="K41" i="1"/>
  <c r="J24" i="1"/>
  <c r="J25" i="1"/>
  <c r="J26" i="1"/>
  <c r="J27" i="1"/>
  <c r="E52" i="1" l="1"/>
  <c r="E26" i="17" l="1"/>
  <c r="F26" i="17"/>
  <c r="G26" i="17"/>
  <c r="H26" i="17"/>
  <c r="I26" i="17"/>
  <c r="J26" i="17"/>
  <c r="K26" i="17"/>
  <c r="L26" i="17"/>
  <c r="M26" i="17"/>
  <c r="N26" i="17"/>
  <c r="O26" i="17"/>
  <c r="D26" i="17"/>
  <c r="C10" i="17"/>
  <c r="E15" i="17" l="1"/>
  <c r="E16" i="17" s="1"/>
  <c r="F15" i="17"/>
  <c r="F16" i="17" s="1"/>
  <c r="G15" i="17"/>
  <c r="G16" i="17" s="1"/>
  <c r="M15" i="17"/>
  <c r="M16" i="17" s="1"/>
  <c r="N15" i="17"/>
  <c r="N16" i="17" s="1"/>
  <c r="E33" i="17" l="1"/>
  <c r="E56" i="17" s="1"/>
  <c r="F33" i="17"/>
  <c r="F56" i="17" s="1"/>
  <c r="G33" i="17"/>
  <c r="G56" i="17" s="1"/>
  <c r="H33" i="17"/>
  <c r="H56" i="17" s="1"/>
  <c r="I33" i="17"/>
  <c r="I56" i="17" s="1"/>
  <c r="J33" i="17"/>
  <c r="J56" i="17" s="1"/>
  <c r="K33" i="17"/>
  <c r="K56" i="17" s="1"/>
  <c r="L33" i="17"/>
  <c r="L56" i="17" s="1"/>
  <c r="M33" i="17"/>
  <c r="M56" i="17" s="1"/>
  <c r="N33" i="17"/>
  <c r="N56" i="17" s="1"/>
  <c r="O33" i="17"/>
  <c r="O56" i="17" s="1"/>
  <c r="D33" i="17"/>
  <c r="D56" i="17" s="1"/>
  <c r="E94" i="1" l="1"/>
  <c r="E32" i="1"/>
  <c r="E35" i="1"/>
  <c r="E27" i="1" l="1"/>
  <c r="E24" i="1" l="1"/>
  <c r="E24" i="17" l="1"/>
  <c r="F24" i="17"/>
  <c r="G24" i="17"/>
  <c r="H24" i="17"/>
  <c r="I24" i="17"/>
  <c r="J24" i="17"/>
  <c r="K24" i="17"/>
  <c r="L24" i="17"/>
  <c r="M24" i="17"/>
  <c r="N24" i="17"/>
  <c r="O24" i="17"/>
  <c r="D24" i="17"/>
  <c r="D34" i="19"/>
  <c r="E34" i="19"/>
  <c r="F34" i="19"/>
  <c r="G34" i="19"/>
  <c r="H34" i="19"/>
  <c r="I34" i="19"/>
  <c r="J34" i="19"/>
  <c r="K34" i="19"/>
  <c r="L34" i="19"/>
  <c r="M34" i="19"/>
  <c r="N34" i="19"/>
  <c r="C34" i="19"/>
  <c r="L93" i="1" l="1"/>
  <c r="M93" i="1"/>
  <c r="N93" i="1"/>
  <c r="O93" i="1"/>
  <c r="P93" i="1"/>
  <c r="Q93" i="1"/>
  <c r="R93" i="1"/>
  <c r="S93" i="1"/>
  <c r="T93" i="1"/>
  <c r="U93" i="1"/>
  <c r="V93" i="1"/>
  <c r="K93" i="1"/>
  <c r="D24" i="19" l="1"/>
  <c r="E24" i="19"/>
  <c r="F24" i="19"/>
  <c r="G24" i="19"/>
  <c r="H24" i="19"/>
  <c r="I24" i="19"/>
  <c r="J24" i="19"/>
  <c r="K24" i="19"/>
  <c r="L24" i="19"/>
  <c r="M24" i="19"/>
  <c r="N24" i="19"/>
  <c r="C24" i="19"/>
  <c r="J12" i="1" l="1"/>
  <c r="V20" i="1"/>
  <c r="U20" i="1"/>
  <c r="T20" i="1"/>
  <c r="S20" i="1"/>
  <c r="R20" i="1"/>
  <c r="Q20" i="1"/>
  <c r="P20" i="1"/>
  <c r="O20" i="1"/>
  <c r="N20" i="1"/>
  <c r="M20" i="1"/>
  <c r="L20" i="1"/>
  <c r="K20" i="1"/>
  <c r="E53" i="1" l="1"/>
  <c r="E12" i="1"/>
  <c r="J51" i="1" l="1"/>
  <c r="J14" i="1"/>
  <c r="E51" i="1"/>
  <c r="B24" i="19"/>
  <c r="J82" i="1"/>
  <c r="E82" i="1"/>
  <c r="A9" i="1"/>
  <c r="A10" i="1" s="1"/>
  <c r="A11" i="1" s="1"/>
  <c r="A12" i="1" s="1"/>
  <c r="D33" i="16"/>
  <c r="K18" i="1" s="1"/>
  <c r="E33" i="16"/>
  <c r="L18" i="1" s="1"/>
  <c r="F33" i="16"/>
  <c r="M18" i="1" s="1"/>
  <c r="G33" i="16"/>
  <c r="N18" i="1" s="1"/>
  <c r="H33" i="16"/>
  <c r="O18" i="1" s="1"/>
  <c r="I33" i="16"/>
  <c r="P18" i="1" s="1"/>
  <c r="J33" i="16"/>
  <c r="Q18" i="1" s="1"/>
  <c r="K33" i="16"/>
  <c r="R18" i="1" s="1"/>
  <c r="L33" i="16"/>
  <c r="S18" i="1" s="1"/>
  <c r="M33" i="16"/>
  <c r="T18" i="1" s="1"/>
  <c r="N33" i="16"/>
  <c r="U18" i="1" s="1"/>
  <c r="O33" i="16"/>
  <c r="V18" i="1" s="1"/>
  <c r="D90" i="1"/>
  <c r="E14" i="1"/>
  <c r="E36" i="17"/>
  <c r="D6" i="17"/>
  <c r="D15" i="17" s="1"/>
  <c r="D16" i="17" s="1"/>
  <c r="K84" i="1" s="1"/>
  <c r="H6" i="17"/>
  <c r="H15" i="17" s="1"/>
  <c r="I6" i="17"/>
  <c r="I15" i="17" s="1"/>
  <c r="I16" i="17" s="1"/>
  <c r="P84" i="1" s="1"/>
  <c r="J6" i="17"/>
  <c r="J15" i="17" s="1"/>
  <c r="K6" i="17"/>
  <c r="K15" i="17" s="1"/>
  <c r="K16" i="17" s="1"/>
  <c r="R84" i="1" s="1"/>
  <c r="L6" i="17"/>
  <c r="L15" i="17" s="1"/>
  <c r="O6" i="17"/>
  <c r="O15" i="17" s="1"/>
  <c r="O16" i="17" s="1"/>
  <c r="V84" i="1" s="1"/>
  <c r="E48" i="17"/>
  <c r="F36" i="17"/>
  <c r="G36" i="17"/>
  <c r="H36" i="17"/>
  <c r="I36" i="17"/>
  <c r="J36" i="17"/>
  <c r="K36" i="17"/>
  <c r="L36" i="17"/>
  <c r="M36" i="17"/>
  <c r="N36" i="17"/>
  <c r="O36" i="17"/>
  <c r="D36" i="17"/>
  <c r="L72" i="1"/>
  <c r="D20" i="19" s="1"/>
  <c r="M72" i="1"/>
  <c r="E20" i="19" s="1"/>
  <c r="N72" i="1"/>
  <c r="F20" i="19" s="1"/>
  <c r="O72" i="1"/>
  <c r="G20" i="19" s="1"/>
  <c r="P72" i="1"/>
  <c r="H20" i="19" s="1"/>
  <c r="Q72" i="1"/>
  <c r="I20" i="19" s="1"/>
  <c r="R72" i="1"/>
  <c r="J20" i="19" s="1"/>
  <c r="S72" i="1"/>
  <c r="K20" i="19" s="1"/>
  <c r="T72" i="1"/>
  <c r="L20" i="19" s="1"/>
  <c r="U72" i="1"/>
  <c r="M20" i="19" s="1"/>
  <c r="V72" i="1"/>
  <c r="N20" i="19" s="1"/>
  <c r="K72" i="1"/>
  <c r="C20" i="19" s="1"/>
  <c r="B22" i="19"/>
  <c r="J89" i="1"/>
  <c r="J81" i="1"/>
  <c r="J17" i="1"/>
  <c r="J19" i="1"/>
  <c r="J11" i="1"/>
  <c r="E35" i="16"/>
  <c r="L49" i="1" s="1"/>
  <c r="F35" i="16"/>
  <c r="M49" i="1" s="1"/>
  <c r="G35" i="16"/>
  <c r="N49" i="1" s="1"/>
  <c r="H35" i="16"/>
  <c r="O49" i="1" s="1"/>
  <c r="I35" i="16"/>
  <c r="P49" i="1" s="1"/>
  <c r="J35" i="16"/>
  <c r="Q49" i="1" s="1"/>
  <c r="K35" i="16"/>
  <c r="R49" i="1" s="1"/>
  <c r="L35" i="16"/>
  <c r="S49" i="1" s="1"/>
  <c r="M35" i="16"/>
  <c r="T49" i="1" s="1"/>
  <c r="N35" i="16"/>
  <c r="U49" i="1" s="1"/>
  <c r="O35" i="16"/>
  <c r="V49" i="1" s="1"/>
  <c r="D35" i="16"/>
  <c r="K49" i="1" s="1"/>
  <c r="J50" i="1"/>
  <c r="C29" i="17"/>
  <c r="C28" i="17"/>
  <c r="E11" i="1"/>
  <c r="D23" i="16"/>
  <c r="K42" i="1" s="1"/>
  <c r="D27" i="16"/>
  <c r="D31" i="16"/>
  <c r="K47" i="1" s="1"/>
  <c r="D39" i="16"/>
  <c r="K56" i="1" s="1"/>
  <c r="D43" i="16"/>
  <c r="K57" i="1" s="1"/>
  <c r="D47" i="16"/>
  <c r="K54" i="1" s="1"/>
  <c r="D51" i="16"/>
  <c r="K55" i="1" s="1"/>
  <c r="E23" i="16"/>
  <c r="L42" i="1" s="1"/>
  <c r="E27" i="16"/>
  <c r="L40" i="1" s="1"/>
  <c r="E31" i="16"/>
  <c r="L47" i="1" s="1"/>
  <c r="E39" i="16"/>
  <c r="L56" i="1" s="1"/>
  <c r="E43" i="16"/>
  <c r="L57" i="1" s="1"/>
  <c r="E47" i="16"/>
  <c r="L54" i="1" s="1"/>
  <c r="E51" i="16"/>
  <c r="L55" i="1" s="1"/>
  <c r="F23" i="16"/>
  <c r="M42" i="1" s="1"/>
  <c r="F27" i="16"/>
  <c r="M40" i="1" s="1"/>
  <c r="F31" i="16"/>
  <c r="M47" i="1" s="1"/>
  <c r="F39" i="16"/>
  <c r="F43" i="16"/>
  <c r="M57" i="1" s="1"/>
  <c r="F47" i="16"/>
  <c r="M54" i="1" s="1"/>
  <c r="F51" i="16"/>
  <c r="M55" i="1" s="1"/>
  <c r="G23" i="16"/>
  <c r="G27" i="16"/>
  <c r="N40" i="1" s="1"/>
  <c r="G31" i="16"/>
  <c r="G39" i="16"/>
  <c r="N56" i="1" s="1"/>
  <c r="G43" i="16"/>
  <c r="G47" i="16"/>
  <c r="N54" i="1" s="1"/>
  <c r="G51" i="16"/>
  <c r="N55" i="1" s="1"/>
  <c r="H23" i="16"/>
  <c r="O42" i="1" s="1"/>
  <c r="H27" i="16"/>
  <c r="O40" i="1" s="1"/>
  <c r="H31" i="16"/>
  <c r="O47" i="1" s="1"/>
  <c r="H39" i="16"/>
  <c r="O56" i="1" s="1"/>
  <c r="H43" i="16"/>
  <c r="O57" i="1" s="1"/>
  <c r="H47" i="16"/>
  <c r="H51" i="16"/>
  <c r="O55" i="1" s="1"/>
  <c r="I23" i="16"/>
  <c r="P42" i="1" s="1"/>
  <c r="I27" i="16"/>
  <c r="P40" i="1" s="1"/>
  <c r="I31" i="16"/>
  <c r="I39" i="16"/>
  <c r="P56" i="1" s="1"/>
  <c r="I43" i="16"/>
  <c r="P57" i="1" s="1"/>
  <c r="I47" i="16"/>
  <c r="P54" i="1" s="1"/>
  <c r="I51" i="16"/>
  <c r="P55" i="1" s="1"/>
  <c r="J23" i="16"/>
  <c r="Q42" i="1" s="1"/>
  <c r="J27" i="16"/>
  <c r="Q40" i="1" s="1"/>
  <c r="J31" i="16"/>
  <c r="Q47" i="1" s="1"/>
  <c r="J39" i="16"/>
  <c r="Q56" i="1" s="1"/>
  <c r="J43" i="16"/>
  <c r="Q57" i="1" s="1"/>
  <c r="J47" i="16"/>
  <c r="Q54" i="1" s="1"/>
  <c r="J51" i="16"/>
  <c r="Q55" i="1" s="1"/>
  <c r="L23" i="16"/>
  <c r="S42" i="1" s="1"/>
  <c r="L27" i="16"/>
  <c r="S40" i="1" s="1"/>
  <c r="L31" i="16"/>
  <c r="S47" i="1" s="1"/>
  <c r="L39" i="16"/>
  <c r="L43" i="16"/>
  <c r="L47" i="16"/>
  <c r="L51" i="16"/>
  <c r="S55" i="1" s="1"/>
  <c r="M23" i="16"/>
  <c r="T42" i="1" s="1"/>
  <c r="M27" i="16"/>
  <c r="M31" i="16"/>
  <c r="T47" i="1" s="1"/>
  <c r="M39" i="16"/>
  <c r="T56" i="1" s="1"/>
  <c r="M43" i="16"/>
  <c r="T57" i="1" s="1"/>
  <c r="M47" i="16"/>
  <c r="M51" i="16"/>
  <c r="T55" i="1" s="1"/>
  <c r="N23" i="16"/>
  <c r="U42" i="1" s="1"/>
  <c r="N27" i="16"/>
  <c r="N31" i="16"/>
  <c r="N39" i="16"/>
  <c r="U56" i="1" s="1"/>
  <c r="N43" i="16"/>
  <c r="U57" i="1" s="1"/>
  <c r="N47" i="16"/>
  <c r="U54" i="1" s="1"/>
  <c r="N51" i="16"/>
  <c r="U55" i="1" s="1"/>
  <c r="O23" i="16"/>
  <c r="O27" i="16"/>
  <c r="V40" i="1" s="1"/>
  <c r="O31" i="16"/>
  <c r="V47" i="1" s="1"/>
  <c r="O39" i="16"/>
  <c r="O43" i="16"/>
  <c r="V57" i="1" s="1"/>
  <c r="O47" i="16"/>
  <c r="V54" i="1" s="1"/>
  <c r="O51" i="16"/>
  <c r="V55" i="1" s="1"/>
  <c r="K23" i="16"/>
  <c r="R42" i="1" s="1"/>
  <c r="K27" i="16"/>
  <c r="R40" i="1" s="1"/>
  <c r="K31" i="16"/>
  <c r="R47" i="1" s="1"/>
  <c r="K39" i="16"/>
  <c r="R56" i="1" s="1"/>
  <c r="K43" i="16"/>
  <c r="K47" i="16"/>
  <c r="R54" i="1" s="1"/>
  <c r="K51" i="16"/>
  <c r="R55" i="1" s="1"/>
  <c r="E17" i="1"/>
  <c r="E50" i="1"/>
  <c r="E44" i="17"/>
  <c r="F44" i="17"/>
  <c r="G44" i="17"/>
  <c r="H44" i="17"/>
  <c r="I44" i="17"/>
  <c r="J44" i="17"/>
  <c r="K44" i="17"/>
  <c r="L44" i="17"/>
  <c r="M44" i="17"/>
  <c r="N44" i="17"/>
  <c r="O44" i="17"/>
  <c r="D44" i="17"/>
  <c r="B36" i="19"/>
  <c r="D21" i="16"/>
  <c r="E21" i="16"/>
  <c r="F21" i="16"/>
  <c r="G21" i="16"/>
  <c r="H21" i="16"/>
  <c r="I21" i="16"/>
  <c r="J21" i="16"/>
  <c r="K21" i="16"/>
  <c r="K22" i="16" s="1"/>
  <c r="L21" i="16"/>
  <c r="M21" i="16"/>
  <c r="N21" i="16"/>
  <c r="O21" i="16"/>
  <c r="E81" i="1"/>
  <c r="E10" i="1"/>
  <c r="E89" i="1"/>
  <c r="D13" i="16"/>
  <c r="K9" i="1" s="1"/>
  <c r="K40" i="1"/>
  <c r="K43" i="1"/>
  <c r="K48" i="1"/>
  <c r="D9" i="16"/>
  <c r="K80" i="1" s="1"/>
  <c r="K85" i="1"/>
  <c r="K86" i="1"/>
  <c r="E13" i="16"/>
  <c r="L9" i="1" s="1"/>
  <c r="L43" i="1"/>
  <c r="L48" i="1"/>
  <c r="E9" i="16"/>
  <c r="L80" i="1" s="1"/>
  <c r="L84" i="1"/>
  <c r="L85" i="1"/>
  <c r="L86" i="1"/>
  <c r="F13" i="16"/>
  <c r="M9" i="1" s="1"/>
  <c r="M43" i="1"/>
  <c r="M56" i="1"/>
  <c r="M48" i="1"/>
  <c r="F9" i="16"/>
  <c r="M80" i="1" s="1"/>
  <c r="M84" i="1"/>
  <c r="M85" i="1"/>
  <c r="M86" i="1"/>
  <c r="G13" i="16"/>
  <c r="N9" i="1" s="1"/>
  <c r="N42" i="1"/>
  <c r="N43" i="1"/>
  <c r="N47" i="1"/>
  <c r="N57" i="1"/>
  <c r="N48" i="1"/>
  <c r="G9" i="16"/>
  <c r="N80" i="1" s="1"/>
  <c r="N84" i="1"/>
  <c r="N85" i="1"/>
  <c r="N86" i="1"/>
  <c r="H13" i="16"/>
  <c r="O9" i="1" s="1"/>
  <c r="O43" i="1"/>
  <c r="O54" i="1"/>
  <c r="O48" i="1"/>
  <c r="H9" i="16"/>
  <c r="O80" i="1" s="1"/>
  <c r="O85" i="1"/>
  <c r="O86" i="1"/>
  <c r="I13" i="16"/>
  <c r="P9" i="1" s="1"/>
  <c r="P43" i="1"/>
  <c r="P47" i="1"/>
  <c r="P48" i="1"/>
  <c r="I9" i="16"/>
  <c r="P80" i="1" s="1"/>
  <c r="P85" i="1"/>
  <c r="P86" i="1"/>
  <c r="J13" i="16"/>
  <c r="Q9" i="1" s="1"/>
  <c r="Q43" i="1"/>
  <c r="Q48" i="1"/>
  <c r="J9" i="16"/>
  <c r="Q80" i="1" s="1"/>
  <c r="Q85" i="1"/>
  <c r="Q86" i="1"/>
  <c r="K13" i="16"/>
  <c r="R9" i="1" s="1"/>
  <c r="R43" i="1"/>
  <c r="R57" i="1"/>
  <c r="R48" i="1"/>
  <c r="K9" i="16"/>
  <c r="R80" i="1" s="1"/>
  <c r="R85" i="1"/>
  <c r="R86" i="1"/>
  <c r="L13" i="16"/>
  <c r="S9" i="1" s="1"/>
  <c r="S43" i="1"/>
  <c r="S54" i="1"/>
  <c r="S56" i="1"/>
  <c r="S57" i="1"/>
  <c r="S48" i="1"/>
  <c r="L9" i="16"/>
  <c r="S80" i="1" s="1"/>
  <c r="S85" i="1"/>
  <c r="S86" i="1"/>
  <c r="M13" i="16"/>
  <c r="T9" i="1" s="1"/>
  <c r="T40" i="1"/>
  <c r="T43" i="1"/>
  <c r="T54" i="1"/>
  <c r="T48" i="1"/>
  <c r="M9" i="16"/>
  <c r="T80" i="1" s="1"/>
  <c r="T84" i="1"/>
  <c r="T85" i="1"/>
  <c r="T86" i="1"/>
  <c r="N13" i="16"/>
  <c r="U9" i="1" s="1"/>
  <c r="U40" i="1"/>
  <c r="U43" i="1"/>
  <c r="U47" i="1"/>
  <c r="U48" i="1"/>
  <c r="N9" i="16"/>
  <c r="U80" i="1" s="1"/>
  <c r="U84" i="1"/>
  <c r="U85" i="1"/>
  <c r="U86" i="1"/>
  <c r="O13" i="16"/>
  <c r="V9" i="1" s="1"/>
  <c r="V43" i="1"/>
  <c r="V56" i="1"/>
  <c r="V48" i="1"/>
  <c r="O9" i="16"/>
  <c r="V80" i="1" s="1"/>
  <c r="V85" i="1"/>
  <c r="V86" i="1"/>
  <c r="F37" i="1"/>
  <c r="F72" i="1"/>
  <c r="F96" i="1"/>
  <c r="D28" i="1"/>
  <c r="D37" i="1"/>
  <c r="D44" i="1"/>
  <c r="D58" i="1"/>
  <c r="D72" i="1"/>
  <c r="D96" i="1"/>
  <c r="J36" i="1"/>
  <c r="J31" i="1"/>
  <c r="E26" i="1"/>
  <c r="E93" i="1"/>
  <c r="J64" i="1"/>
  <c r="J65" i="1"/>
  <c r="J66" i="1"/>
  <c r="J67" i="1"/>
  <c r="J68" i="1"/>
  <c r="J69" i="1"/>
  <c r="J70" i="1"/>
  <c r="J71" i="1"/>
  <c r="J63" i="1"/>
  <c r="J87" i="1"/>
  <c r="E87" i="1"/>
  <c r="J16" i="1"/>
  <c r="E69" i="1"/>
  <c r="E16" i="1"/>
  <c r="J13" i="1"/>
  <c r="J20" i="1"/>
  <c r="J21" i="1"/>
  <c r="J22" i="1"/>
  <c r="J41" i="1"/>
  <c r="E48" i="1"/>
  <c r="E67" i="1"/>
  <c r="E68" i="1"/>
  <c r="E63" i="1"/>
  <c r="E64" i="1"/>
  <c r="E65" i="1"/>
  <c r="E66" i="1"/>
  <c r="E70" i="1"/>
  <c r="E71" i="1"/>
  <c r="E25" i="1"/>
  <c r="E22" i="1"/>
  <c r="E43" i="1"/>
  <c r="E13" i="1"/>
  <c r="E19" i="1"/>
  <c r="E20" i="1"/>
  <c r="E21" i="1"/>
  <c r="E23" i="1"/>
  <c r="E36" i="1"/>
  <c r="E75" i="1"/>
  <c r="E83" i="1"/>
  <c r="E85" i="1"/>
  <c r="E86" i="1"/>
  <c r="E95" i="1"/>
  <c r="E99" i="1"/>
  <c r="E41" i="1"/>
  <c r="E31" i="1"/>
  <c r="N32" i="18"/>
  <c r="N33" i="18"/>
  <c r="N6" i="18"/>
  <c r="O6" i="18" s="1"/>
  <c r="N7" i="18"/>
  <c r="O7" i="18" s="1"/>
  <c r="N8" i="18"/>
  <c r="O8" i="18" s="1"/>
  <c r="N9" i="18"/>
  <c r="O9" i="18" s="1"/>
  <c r="N11" i="18"/>
  <c r="O11" i="18" s="1"/>
  <c r="N12" i="18"/>
  <c r="O12" i="18" s="1"/>
  <c r="N5" i="18"/>
  <c r="O5" i="18" s="1"/>
  <c r="N29" i="18"/>
  <c r="N28" i="18"/>
  <c r="N18" i="18"/>
  <c r="N19" i="18"/>
  <c r="O19" i="18" s="1"/>
  <c r="N20" i="18"/>
  <c r="O20" i="18" s="1"/>
  <c r="N21" i="18"/>
  <c r="O21" i="18" s="1"/>
  <c r="N23" i="18"/>
  <c r="N24" i="18"/>
  <c r="N17" i="18"/>
  <c r="P7" i="18"/>
  <c r="N30" i="18"/>
  <c r="O30" i="18" s="1"/>
  <c r="N15" i="18"/>
  <c r="E29" i="16"/>
  <c r="E30" i="16" s="1"/>
  <c r="F29" i="16"/>
  <c r="G29" i="16"/>
  <c r="H29" i="16"/>
  <c r="I29" i="16"/>
  <c r="I30" i="16" s="1"/>
  <c r="J29" i="16"/>
  <c r="K29" i="16"/>
  <c r="L29" i="16"/>
  <c r="M29" i="16"/>
  <c r="N29" i="16"/>
  <c r="N30" i="16" s="1"/>
  <c r="O29" i="16"/>
  <c r="D29" i="16"/>
  <c r="E10" i="16"/>
  <c r="F10" i="16"/>
  <c r="F11" i="16" s="1"/>
  <c r="G10" i="16"/>
  <c r="G11" i="16" s="1"/>
  <c r="H10" i="16"/>
  <c r="I10" i="16"/>
  <c r="J10" i="16"/>
  <c r="J11" i="16" s="1"/>
  <c r="K10" i="16"/>
  <c r="L10" i="16"/>
  <c r="L11" i="16" s="1"/>
  <c r="M10" i="16"/>
  <c r="M11" i="16" s="1"/>
  <c r="N10" i="16"/>
  <c r="O10" i="16"/>
  <c r="E14" i="16"/>
  <c r="F14" i="16"/>
  <c r="G14" i="16"/>
  <c r="G16" i="16" s="1"/>
  <c r="H14" i="16"/>
  <c r="I14" i="16"/>
  <c r="J14" i="16"/>
  <c r="K14" i="16"/>
  <c r="K16" i="16" s="1"/>
  <c r="L14" i="16"/>
  <c r="L16" i="16" s="1"/>
  <c r="M14" i="16"/>
  <c r="N14" i="16"/>
  <c r="O14" i="16"/>
  <c r="O15" i="16" s="1"/>
  <c r="D14" i="16"/>
  <c r="D10" i="16"/>
  <c r="D12" i="16" s="1"/>
  <c r="D37" i="16"/>
  <c r="E37" i="16"/>
  <c r="E38" i="16" s="1"/>
  <c r="F37" i="16"/>
  <c r="G37" i="16"/>
  <c r="H37" i="16"/>
  <c r="I37" i="16"/>
  <c r="I38" i="16" s="1"/>
  <c r="J37" i="16"/>
  <c r="K37" i="16"/>
  <c r="L37" i="16"/>
  <c r="M37" i="16"/>
  <c r="M38" i="16" s="1"/>
  <c r="N37" i="16"/>
  <c r="O37" i="16"/>
  <c r="O38" i="16" s="1"/>
  <c r="D41" i="16"/>
  <c r="E41" i="16"/>
  <c r="E42" i="16" s="1"/>
  <c r="F41" i="16"/>
  <c r="G41" i="16"/>
  <c r="G42" i="16" s="1"/>
  <c r="H41" i="16"/>
  <c r="I41" i="16"/>
  <c r="I42" i="16" s="1"/>
  <c r="J41" i="16"/>
  <c r="K41" i="16"/>
  <c r="K42" i="16" s="1"/>
  <c r="L41" i="16"/>
  <c r="L42" i="16" s="1"/>
  <c r="M41" i="16"/>
  <c r="M42" i="16" s="1"/>
  <c r="N41" i="16"/>
  <c r="O41" i="16"/>
  <c r="D45" i="16"/>
  <c r="D46" i="16" s="1"/>
  <c r="E45" i="16"/>
  <c r="E46" i="16" s="1"/>
  <c r="F45" i="16"/>
  <c r="G45" i="16"/>
  <c r="H45" i="16"/>
  <c r="H46" i="16" s="1"/>
  <c r="I45" i="16"/>
  <c r="I46" i="16" s="1"/>
  <c r="J45" i="16"/>
  <c r="K45" i="16"/>
  <c r="L45" i="16"/>
  <c r="M45" i="16"/>
  <c r="N45" i="16"/>
  <c r="O45" i="16"/>
  <c r="D49" i="16"/>
  <c r="E49" i="16"/>
  <c r="E50" i="16" s="1"/>
  <c r="F49" i="16"/>
  <c r="F50" i="16" s="1"/>
  <c r="G49" i="16"/>
  <c r="G50" i="16" s="1"/>
  <c r="H49" i="16"/>
  <c r="I49" i="16"/>
  <c r="I50" i="16" s="1"/>
  <c r="J49" i="16"/>
  <c r="K49" i="16"/>
  <c r="L49" i="16"/>
  <c r="M49" i="16"/>
  <c r="M50" i="16" s="1"/>
  <c r="N49" i="16"/>
  <c r="O49" i="16"/>
  <c r="D25" i="16"/>
  <c r="D26" i="16" s="1"/>
  <c r="E25" i="16"/>
  <c r="F25" i="16"/>
  <c r="G25" i="16"/>
  <c r="H25" i="16"/>
  <c r="H26" i="16" s="1"/>
  <c r="I25" i="16"/>
  <c r="J25" i="16"/>
  <c r="K25" i="16"/>
  <c r="L25" i="16"/>
  <c r="M25" i="16"/>
  <c r="M26" i="16" s="1"/>
  <c r="N25" i="16"/>
  <c r="O25" i="16"/>
  <c r="N50" i="16"/>
  <c r="J46" i="16"/>
  <c r="F38" i="16"/>
  <c r="J38" i="16"/>
  <c r="G22" i="16"/>
  <c r="H17" i="16"/>
  <c r="H18" i="16" s="1"/>
  <c r="C9" i="17"/>
  <c r="J10" i="1"/>
  <c r="G30" i="16" l="1"/>
  <c r="O50" i="16"/>
  <c r="K38" i="16"/>
  <c r="G38" i="16"/>
  <c r="C44" i="17"/>
  <c r="O16" i="16"/>
  <c r="G19" i="16"/>
  <c r="D38" i="16"/>
  <c r="K30" i="16"/>
  <c r="O26" i="16"/>
  <c r="K50" i="16"/>
  <c r="K46" i="16"/>
  <c r="O42" i="16"/>
  <c r="J26" i="16"/>
  <c r="N42" i="16"/>
  <c r="F26" i="16"/>
  <c r="H11" i="16"/>
  <c r="L30" i="16"/>
  <c r="L50" i="16"/>
  <c r="H38" i="16"/>
  <c r="K34" i="16"/>
  <c r="F42" i="16"/>
  <c r="G46" i="16"/>
  <c r="M16" i="16"/>
  <c r="E16" i="16"/>
  <c r="I11" i="16"/>
  <c r="E11" i="16"/>
  <c r="I22" i="16"/>
  <c r="E22" i="16"/>
  <c r="D16" i="16"/>
  <c r="O34" i="16"/>
  <c r="C37" i="16"/>
  <c r="P37" i="16" s="1"/>
  <c r="I15" i="16"/>
  <c r="C14" i="16"/>
  <c r="N17" i="16"/>
  <c r="N18" i="16" s="1"/>
  <c r="F17" i="16"/>
  <c r="F18" i="16" s="1"/>
  <c r="E15" i="16"/>
  <c r="E19" i="16"/>
  <c r="J17" i="16"/>
  <c r="J18" i="16" s="1"/>
  <c r="L12" i="16"/>
  <c r="L53" i="16"/>
  <c r="D15" i="16"/>
  <c r="L17" i="16"/>
  <c r="L18" i="16" s="1"/>
  <c r="C45" i="16"/>
  <c r="P45" i="16" s="1"/>
  <c r="C49" i="16"/>
  <c r="P49" i="16" s="1"/>
  <c r="F53" i="16"/>
  <c r="C15" i="17"/>
  <c r="D77" i="1"/>
  <c r="J48" i="1"/>
  <c r="O37" i="17"/>
  <c r="M37" i="17"/>
  <c r="K37" i="17"/>
  <c r="I37" i="17"/>
  <c r="G37" i="17"/>
  <c r="E37" i="17"/>
  <c r="D37" i="17"/>
  <c r="N37" i="17"/>
  <c r="L37" i="17"/>
  <c r="J37" i="17"/>
  <c r="H37" i="17"/>
  <c r="F37" i="17"/>
  <c r="C10" i="16"/>
  <c r="O17" i="16"/>
  <c r="O18" i="16" s="1"/>
  <c r="K17" i="16"/>
  <c r="K18" i="16" s="1"/>
  <c r="I17" i="16"/>
  <c r="I18" i="16" s="1"/>
  <c r="J43" i="1"/>
  <c r="J85" i="1"/>
  <c r="I12" i="16"/>
  <c r="G15" i="16"/>
  <c r="E17" i="16"/>
  <c r="E18" i="16" s="1"/>
  <c r="G17" i="16"/>
  <c r="G18" i="16" s="1"/>
  <c r="M17" i="16"/>
  <c r="M18" i="16" s="1"/>
  <c r="I19" i="16"/>
  <c r="G12" i="16"/>
  <c r="L19" i="16"/>
  <c r="D17" i="16"/>
  <c r="D18" i="16" s="1"/>
  <c r="L15" i="16"/>
  <c r="J12" i="16"/>
  <c r="M34" i="16"/>
  <c r="C39" i="16"/>
  <c r="F56" i="1" s="1"/>
  <c r="E56" i="1" s="1"/>
  <c r="C27" i="16"/>
  <c r="F40" i="1" s="1"/>
  <c r="E40" i="1" s="1"/>
  <c r="C13" i="16"/>
  <c r="F9" i="1" s="1"/>
  <c r="E9" i="1" s="1"/>
  <c r="F46" i="16"/>
  <c r="O46" i="16"/>
  <c r="M46" i="16"/>
  <c r="C47" i="16"/>
  <c r="F54" i="1" s="1"/>
  <c r="E54" i="1" s="1"/>
  <c r="D34" i="16"/>
  <c r="N34" i="16"/>
  <c r="L34" i="16"/>
  <c r="H34" i="16"/>
  <c r="M22" i="16"/>
  <c r="F34" i="16"/>
  <c r="T44" i="1"/>
  <c r="L12" i="19" s="1"/>
  <c r="L44" i="1"/>
  <c r="D12" i="19" s="1"/>
  <c r="O22" i="16"/>
  <c r="N26" i="16"/>
  <c r="E53" i="16"/>
  <c r="C23" i="16"/>
  <c r="F42" i="1" s="1"/>
  <c r="E42" i="1" s="1"/>
  <c r="V42" i="1"/>
  <c r="V44" i="1" s="1"/>
  <c r="D30" i="16"/>
  <c r="J30" i="16"/>
  <c r="H30" i="16"/>
  <c r="F30" i="16"/>
  <c r="N38" i="16"/>
  <c r="J42" i="16"/>
  <c r="N46" i="16"/>
  <c r="J50" i="16"/>
  <c r="H50" i="16"/>
  <c r="D50" i="16"/>
  <c r="L46" i="16"/>
  <c r="H42" i="16"/>
  <c r="D42" i="16"/>
  <c r="L38" i="16"/>
  <c r="C43" i="16"/>
  <c r="F57" i="1" s="1"/>
  <c r="E57" i="1" s="1"/>
  <c r="C51" i="16"/>
  <c r="F55" i="1" s="1"/>
  <c r="E55" i="1" s="1"/>
  <c r="J22" i="16"/>
  <c r="H22" i="16"/>
  <c r="F22" i="16"/>
  <c r="D22" i="16"/>
  <c r="J53" i="16"/>
  <c r="I53" i="16"/>
  <c r="N53" i="16"/>
  <c r="L26" i="16"/>
  <c r="K26" i="16"/>
  <c r="G26" i="16"/>
  <c r="E26" i="16"/>
  <c r="U58" i="1"/>
  <c r="M14" i="19" s="1"/>
  <c r="R58" i="1"/>
  <c r="J14" i="19" s="1"/>
  <c r="Q58" i="1"/>
  <c r="I14" i="19" s="1"/>
  <c r="S58" i="1"/>
  <c r="K14" i="19" s="1"/>
  <c r="P58" i="1"/>
  <c r="H14" i="19" s="1"/>
  <c r="N58" i="1"/>
  <c r="F14" i="19" s="1"/>
  <c r="M58" i="1"/>
  <c r="E14" i="19" s="1"/>
  <c r="O53" i="16"/>
  <c r="G53" i="16"/>
  <c r="K53" i="16"/>
  <c r="I34" i="16"/>
  <c r="G34" i="16"/>
  <c r="E34" i="16"/>
  <c r="C35" i="16"/>
  <c r="F49" i="1" s="1"/>
  <c r="E49" i="1" s="1"/>
  <c r="N22" i="16"/>
  <c r="L22" i="16"/>
  <c r="J34" i="16"/>
  <c r="L16" i="17"/>
  <c r="S84" i="1" s="1"/>
  <c r="S90" i="1" s="1"/>
  <c r="K16" i="19" s="1"/>
  <c r="J16" i="17"/>
  <c r="Q84" i="1" s="1"/>
  <c r="H16" i="17"/>
  <c r="O84" i="1" s="1"/>
  <c r="O90" i="1" s="1"/>
  <c r="G16" i="19" s="1"/>
  <c r="C25" i="16"/>
  <c r="P25" i="16" s="1"/>
  <c r="J57" i="1"/>
  <c r="K15" i="16"/>
  <c r="M15" i="16"/>
  <c r="H16" i="16"/>
  <c r="F16" i="16"/>
  <c r="N19" i="16"/>
  <c r="J19" i="16"/>
  <c r="H19" i="16"/>
  <c r="F19" i="16"/>
  <c r="N12" i="16"/>
  <c r="H12" i="16"/>
  <c r="F12" i="16"/>
  <c r="N25" i="18"/>
  <c r="N13" i="18"/>
  <c r="O13" i="18" s="1"/>
  <c r="C21" i="16"/>
  <c r="C41" i="16"/>
  <c r="C42" i="16" s="1"/>
  <c r="C29" i="16"/>
  <c r="P29" i="16" s="1"/>
  <c r="E72" i="1"/>
  <c r="P44" i="1"/>
  <c r="M44" i="1"/>
  <c r="F15" i="16"/>
  <c r="H15" i="16"/>
  <c r="D11" i="16"/>
  <c r="N15" i="16"/>
  <c r="J15" i="16"/>
  <c r="N16" i="16"/>
  <c r="J16" i="16"/>
  <c r="D19" i="16"/>
  <c r="O19" i="16"/>
  <c r="M19" i="16"/>
  <c r="K19" i="16"/>
  <c r="O12" i="16"/>
  <c r="N11" i="16"/>
  <c r="O11" i="16"/>
  <c r="K11" i="16"/>
  <c r="N34" i="18"/>
  <c r="C6" i="17"/>
  <c r="K58" i="1"/>
  <c r="C14" i="19" s="1"/>
  <c r="J42" i="1"/>
  <c r="J55" i="1"/>
  <c r="L58" i="1"/>
  <c r="D14" i="19" s="1"/>
  <c r="H53" i="16"/>
  <c r="D102" i="1"/>
  <c r="E96" i="1"/>
  <c r="E37" i="1"/>
  <c r="R44" i="1"/>
  <c r="N44" i="1"/>
  <c r="J86" i="1"/>
  <c r="J83" i="1"/>
  <c r="J23" i="1"/>
  <c r="J56" i="1"/>
  <c r="J54" i="1"/>
  <c r="J40" i="1"/>
  <c r="J72" i="1"/>
  <c r="S44" i="1"/>
  <c r="P90" i="1"/>
  <c r="H16" i="19" s="1"/>
  <c r="N90" i="1"/>
  <c r="F16" i="19" s="1"/>
  <c r="J47" i="1"/>
  <c r="D53" i="16"/>
  <c r="M53" i="16"/>
  <c r="O30" i="16"/>
  <c r="M30" i="16"/>
  <c r="C31" i="16"/>
  <c r="F47" i="1" s="1"/>
  <c r="E47" i="1" s="1"/>
  <c r="K44" i="1"/>
  <c r="C12" i="19" s="1"/>
  <c r="M48" i="17"/>
  <c r="V90" i="1"/>
  <c r="N16" i="19" s="1"/>
  <c r="I48" i="17"/>
  <c r="Q44" i="1"/>
  <c r="O44" i="1"/>
  <c r="O48" i="17"/>
  <c r="K48" i="17"/>
  <c r="G48" i="17"/>
  <c r="D48" i="17"/>
  <c r="V58" i="1"/>
  <c r="N14" i="19" s="1"/>
  <c r="K90" i="1"/>
  <c r="C16" i="19" s="1"/>
  <c r="C36" i="17"/>
  <c r="J49" i="1"/>
  <c r="B20" i="19"/>
  <c r="U44" i="1"/>
  <c r="T90" i="1"/>
  <c r="L16" i="19" s="1"/>
  <c r="R90" i="1"/>
  <c r="J16" i="19" s="1"/>
  <c r="M90" i="1"/>
  <c r="E16" i="19" s="1"/>
  <c r="N48" i="17"/>
  <c r="L48" i="17"/>
  <c r="J48" i="17"/>
  <c r="H48" i="17"/>
  <c r="F48" i="17"/>
  <c r="C33" i="16"/>
  <c r="C46" i="16"/>
  <c r="C17" i="16"/>
  <c r="C18" i="16" s="1"/>
  <c r="C15" i="16"/>
  <c r="C16" i="16"/>
  <c r="M12" i="16"/>
  <c r="K12" i="16"/>
  <c r="E12" i="16"/>
  <c r="C9" i="16"/>
  <c r="C19" i="16" s="1"/>
  <c r="U90" i="1"/>
  <c r="M16" i="19" s="1"/>
  <c r="J80" i="1"/>
  <c r="L90" i="1"/>
  <c r="C56" i="17"/>
  <c r="D34" i="17" s="1"/>
  <c r="J18" i="1"/>
  <c r="F18" i="1" s="1"/>
  <c r="J9" i="1"/>
  <c r="C38" i="16" l="1"/>
  <c r="E34" i="17"/>
  <c r="F34" i="17" s="1"/>
  <c r="G34" i="17" s="1"/>
  <c r="H34" i="17" s="1"/>
  <c r="I34" i="17" s="1"/>
  <c r="J34" i="17" s="1"/>
  <c r="K34" i="17" s="1"/>
  <c r="L34" i="17" s="1"/>
  <c r="M34" i="17" s="1"/>
  <c r="N34" i="17" s="1"/>
  <c r="O34" i="17" s="1"/>
  <c r="C26" i="16"/>
  <c r="F44" i="1"/>
  <c r="E44" i="1" s="1"/>
  <c r="C50" i="16"/>
  <c r="I12" i="19"/>
  <c r="K12" i="19"/>
  <c r="M12" i="19"/>
  <c r="G12" i="19"/>
  <c r="J12" i="19"/>
  <c r="H12" i="19"/>
  <c r="F12" i="19"/>
  <c r="N12" i="19"/>
  <c r="E12" i="19"/>
  <c r="J84" i="1"/>
  <c r="Q90" i="1"/>
  <c r="I16" i="19" s="1"/>
  <c r="C16" i="17"/>
  <c r="F84" i="1" s="1"/>
  <c r="E84" i="1" s="1"/>
  <c r="P41" i="16"/>
  <c r="Q37" i="16" s="1"/>
  <c r="N36" i="18"/>
  <c r="C37" i="17"/>
  <c r="C30" i="16"/>
  <c r="C22" i="16"/>
  <c r="P21" i="16"/>
  <c r="Q21" i="16" s="1"/>
  <c r="P33" i="16"/>
  <c r="D104" i="1"/>
  <c r="J44" i="1"/>
  <c r="J53" i="1"/>
  <c r="C53" i="16"/>
  <c r="C55" i="16" s="1"/>
  <c r="A13" i="1"/>
  <c r="A14" i="1" s="1"/>
  <c r="A15" i="1" s="1"/>
  <c r="A16" i="1" s="1"/>
  <c r="F58" i="1"/>
  <c r="E58" i="1" s="1"/>
  <c r="C48" i="17"/>
  <c r="E18" i="1"/>
  <c r="C34" i="16"/>
  <c r="F80" i="1"/>
  <c r="C11" i="16"/>
  <c r="C12" i="16"/>
  <c r="C58" i="17"/>
  <c r="D16" i="19"/>
  <c r="O39" i="17" l="1"/>
  <c r="M39" i="17"/>
  <c r="K39" i="17"/>
  <c r="I39" i="17"/>
  <c r="G39" i="17"/>
  <c r="E39" i="17"/>
  <c r="D39" i="17"/>
  <c r="N39" i="17"/>
  <c r="L39" i="17"/>
  <c r="J39" i="17"/>
  <c r="H39" i="17"/>
  <c r="F39" i="17"/>
  <c r="B12" i="19"/>
  <c r="B16" i="19"/>
  <c r="J90" i="1"/>
  <c r="A17" i="1"/>
  <c r="A18" i="1" s="1"/>
  <c r="A19" i="1" s="1"/>
  <c r="F49" i="17"/>
  <c r="H49" i="17"/>
  <c r="J49" i="17"/>
  <c r="L49" i="17"/>
  <c r="N49" i="17"/>
  <c r="D49" i="17"/>
  <c r="E49" i="17"/>
  <c r="G49" i="17"/>
  <c r="I49" i="17"/>
  <c r="K49" i="17"/>
  <c r="M49" i="17"/>
  <c r="O49" i="17"/>
  <c r="F45" i="17"/>
  <c r="H45" i="17"/>
  <c r="J45" i="17"/>
  <c r="L45" i="17"/>
  <c r="N45" i="17"/>
  <c r="D45" i="17"/>
  <c r="E45" i="17"/>
  <c r="G45" i="17"/>
  <c r="I45" i="17"/>
  <c r="K45" i="17"/>
  <c r="M45" i="17"/>
  <c r="O45" i="17"/>
  <c r="E80" i="1"/>
  <c r="F90" i="1"/>
  <c r="F102" i="1" s="1"/>
  <c r="E46" i="17"/>
  <c r="G46" i="17"/>
  <c r="I46" i="17"/>
  <c r="K46" i="17"/>
  <c r="M46" i="17"/>
  <c r="O46" i="17"/>
  <c r="F46" i="17"/>
  <c r="H46" i="17"/>
  <c r="J46" i="17"/>
  <c r="L46" i="17"/>
  <c r="N46" i="17"/>
  <c r="D46" i="17"/>
  <c r="A20" i="1" l="1"/>
  <c r="A21" i="1" s="1"/>
  <c r="A22" i="1" s="1"/>
  <c r="A23" i="1" s="1"/>
  <c r="A24" i="1" s="1"/>
  <c r="A25" i="1" s="1"/>
  <c r="A26" i="1" s="1"/>
  <c r="C46" i="17"/>
  <c r="E102" i="1"/>
  <c r="E90" i="1"/>
  <c r="L41" i="17"/>
  <c r="L50" i="17"/>
  <c r="H41" i="17"/>
  <c r="H50" i="17"/>
  <c r="D50" i="17"/>
  <c r="M41" i="17"/>
  <c r="M50" i="17"/>
  <c r="I41" i="17"/>
  <c r="I50" i="17"/>
  <c r="E41" i="17"/>
  <c r="E50" i="17"/>
  <c r="N41" i="17"/>
  <c r="N50" i="17"/>
  <c r="J41" i="17"/>
  <c r="J50" i="17"/>
  <c r="F41" i="17"/>
  <c r="F50" i="17"/>
  <c r="O41" i="17"/>
  <c r="O50" i="17"/>
  <c r="K41" i="17"/>
  <c r="K50" i="17"/>
  <c r="G41" i="17"/>
  <c r="G50" i="17"/>
  <c r="H53" i="17" l="1"/>
  <c r="O15" i="1" s="1"/>
  <c r="O28" i="1" s="1"/>
  <c r="L53" i="17"/>
  <c r="S15" i="1" s="1"/>
  <c r="S28" i="1" s="1"/>
  <c r="S110" i="1" s="1"/>
  <c r="S112" i="1" s="1"/>
  <c r="G53" i="17"/>
  <c r="N15" i="1" s="1"/>
  <c r="N28" i="1" s="1"/>
  <c r="N110" i="1" s="1"/>
  <c r="N112" i="1" s="1"/>
  <c r="K53" i="17"/>
  <c r="R15" i="1" s="1"/>
  <c r="R28" i="1" s="1"/>
  <c r="R110" i="1" s="1"/>
  <c r="R112" i="1" s="1"/>
  <c r="O53" i="17"/>
  <c r="V15" i="1" s="1"/>
  <c r="V28" i="1" s="1"/>
  <c r="V110" i="1" s="1"/>
  <c r="V112" i="1" s="1"/>
  <c r="F53" i="17"/>
  <c r="M15" i="1" s="1"/>
  <c r="M28" i="1" s="1"/>
  <c r="M110" i="1" s="1"/>
  <c r="M112" i="1" s="1"/>
  <c r="J53" i="17"/>
  <c r="Q15" i="1" s="1"/>
  <c r="Q28" i="1" s="1"/>
  <c r="Q110" i="1" s="1"/>
  <c r="Q112" i="1" s="1"/>
  <c r="N53" i="17"/>
  <c r="U15" i="1" s="1"/>
  <c r="U28" i="1" s="1"/>
  <c r="U110" i="1" s="1"/>
  <c r="U112" i="1" s="1"/>
  <c r="E53" i="17"/>
  <c r="L15" i="1" s="1"/>
  <c r="L28" i="1" s="1"/>
  <c r="L110" i="1" s="1"/>
  <c r="L112" i="1" s="1"/>
  <c r="I53" i="17"/>
  <c r="P15" i="1" s="1"/>
  <c r="P28" i="1" s="1"/>
  <c r="P110" i="1" s="1"/>
  <c r="P112" i="1" s="1"/>
  <c r="M53" i="17"/>
  <c r="T15" i="1" s="1"/>
  <c r="T28" i="1" s="1"/>
  <c r="K42" i="17"/>
  <c r="F42" i="17"/>
  <c r="J42" i="17"/>
  <c r="N42" i="17"/>
  <c r="E42" i="17"/>
  <c r="I42" i="17"/>
  <c r="M42" i="17"/>
  <c r="H42" i="17"/>
  <c r="L42" i="17"/>
  <c r="C50" i="17"/>
  <c r="C51" i="17" s="1"/>
  <c r="G42" i="17"/>
  <c r="O42" i="17"/>
  <c r="C39" i="17"/>
  <c r="D41" i="17"/>
  <c r="D53" i="17" s="1"/>
  <c r="K15" i="1" s="1"/>
  <c r="A27" i="1" l="1"/>
  <c r="K10" i="19"/>
  <c r="K18" i="19" s="1"/>
  <c r="K26" i="19" s="1"/>
  <c r="K28" i="19" s="1"/>
  <c r="G10" i="19"/>
  <c r="L10" i="19"/>
  <c r="H10" i="19"/>
  <c r="H18" i="19" s="1"/>
  <c r="H26" i="19" s="1"/>
  <c r="H28" i="19" s="1"/>
  <c r="M10" i="19"/>
  <c r="M18" i="19" s="1"/>
  <c r="M26" i="19" s="1"/>
  <c r="M28" i="19" s="1"/>
  <c r="I10" i="19"/>
  <c r="I18" i="19" s="1"/>
  <c r="I26" i="19" s="1"/>
  <c r="I28" i="19" s="1"/>
  <c r="E10" i="19"/>
  <c r="E18" i="19" s="1"/>
  <c r="E26" i="19" s="1"/>
  <c r="E28" i="19" s="1"/>
  <c r="D42" i="17"/>
  <c r="C41" i="17"/>
  <c r="C42" i="17" s="1"/>
  <c r="N10" i="19"/>
  <c r="N18" i="19" s="1"/>
  <c r="N26" i="19" s="1"/>
  <c r="N28" i="19" s="1"/>
  <c r="F10" i="19"/>
  <c r="F18" i="19" s="1"/>
  <c r="F26" i="19" s="1"/>
  <c r="F28" i="19" s="1"/>
  <c r="D10" i="19"/>
  <c r="D18" i="19" s="1"/>
  <c r="D26" i="19" s="1"/>
  <c r="D28" i="19" s="1"/>
  <c r="J10" i="19"/>
  <c r="J18" i="19" s="1"/>
  <c r="J26" i="19" s="1"/>
  <c r="J28" i="19" s="1"/>
  <c r="A28" i="1" l="1"/>
  <c r="A31" i="1" s="1"/>
  <c r="A32" i="1" s="1"/>
  <c r="A33" i="1" s="1"/>
  <c r="C53" i="17"/>
  <c r="F15" i="1" s="1"/>
  <c r="A34" i="1" l="1"/>
  <c r="A35" i="1" s="1"/>
  <c r="A36" i="1" s="1"/>
  <c r="A37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3" i="1" s="1"/>
  <c r="J15" i="1"/>
  <c r="K28" i="1"/>
  <c r="C54" i="17"/>
  <c r="A64" i="1" l="1"/>
  <c r="A65" i="1" s="1"/>
  <c r="A66" i="1" s="1"/>
  <c r="A67" i="1" s="1"/>
  <c r="A68" i="1" s="1"/>
  <c r="A69" i="1" s="1"/>
  <c r="A70" i="1" s="1"/>
  <c r="A71" i="1" s="1"/>
  <c r="A72" i="1" s="1"/>
  <c r="A75" i="1" s="1"/>
  <c r="F28" i="1"/>
  <c r="F77" i="1" s="1"/>
  <c r="E15" i="1"/>
  <c r="K110" i="1"/>
  <c r="K112" i="1" s="1"/>
  <c r="C10" i="19"/>
  <c r="C18" i="19" s="1"/>
  <c r="C26" i="19" s="1"/>
  <c r="J28" i="1"/>
  <c r="C28" i="19" l="1"/>
  <c r="A77" i="1"/>
  <c r="A80" i="1" s="1"/>
  <c r="A81" i="1" s="1"/>
  <c r="A82" i="1" s="1"/>
  <c r="A83" i="1" s="1"/>
  <c r="A84" i="1" s="1"/>
  <c r="A85" i="1" s="1"/>
  <c r="A86" i="1" s="1"/>
  <c r="E28" i="1"/>
  <c r="B10" i="19"/>
  <c r="A87" i="1" l="1"/>
  <c r="E77" i="1"/>
  <c r="F104" i="1"/>
  <c r="E106" i="1" s="1"/>
  <c r="A88" i="1" l="1"/>
  <c r="A89" i="1" s="1"/>
  <c r="A90" i="1" s="1"/>
  <c r="A93" i="1" s="1"/>
  <c r="A94" i="1" s="1"/>
  <c r="A95" i="1" s="1"/>
  <c r="A96" i="1" s="1"/>
  <c r="A99" i="1" s="1"/>
  <c r="A102" i="1" s="1"/>
  <c r="A104" i="1" s="1"/>
  <c r="E104" i="1"/>
  <c r="O58" i="1"/>
  <c r="O110" i="1" s="1"/>
  <c r="O112" i="1" s="1"/>
  <c r="J52" i="1"/>
  <c r="J58" i="1" s="1"/>
  <c r="G14" i="19" l="1"/>
  <c r="G18" i="19" s="1"/>
  <c r="G26" i="19" s="1"/>
  <c r="T58" i="1"/>
  <c r="T110" i="1" s="1"/>
  <c r="T112" i="1" s="1"/>
  <c r="J112" i="1" s="1"/>
  <c r="G28" i="19" l="1"/>
  <c r="J110" i="1"/>
  <c r="L14" i="19"/>
  <c r="L18" i="19" s="1"/>
  <c r="L26" i="19" s="1"/>
  <c r="L28" i="19" s="1"/>
  <c r="B26" i="19" l="1"/>
  <c r="B28" i="19"/>
  <c r="B38" i="19" s="1"/>
  <c r="B18" i="19"/>
  <c r="B14" i="19"/>
</calcChain>
</file>

<file path=xl/comments1.xml><?xml version="1.0" encoding="utf-8"?>
<comments xmlns="http://schemas.openxmlformats.org/spreadsheetml/2006/main">
  <authors>
    <author>gzhkw6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tlk:  imported from Transmission Adjustment work paper "456 Totals Monthly WA 2017 and 2018 GRC Pro Forma"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tlk: imported from Revenue Normalization work papers.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<sst xmlns="http://schemas.openxmlformats.org/spreadsheetml/2006/main" count="287" uniqueCount="244">
  <si>
    <t>Line</t>
  </si>
  <si>
    <t>No.</t>
  </si>
  <si>
    <t>Actuals</t>
  </si>
  <si>
    <t>Adjustment</t>
  </si>
  <si>
    <t>555 PURCHASED POWER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</si>
  <si>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</si>
  <si>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</si>
  <si>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</si>
  <si>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</si>
  <si>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</si>
  <si>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</si>
  <si>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</si>
  <si>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</si>
  <si>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</si>
  <si>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</si>
  <si>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</si>
  <si>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</si>
  <si>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</si>
  <si>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</si>
  <si>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</si>
  <si>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</si>
  <si>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</si>
  <si>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</si>
  <si>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</si>
  <si>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</si>
  <si>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</si>
  <si>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557 OTHER EXPENSES</t>
  </si>
  <si>
    <t>453 SALES OF WATER AND WATER POWER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</si>
  <si>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</si>
  <si>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</si>
  <si>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</si>
  <si>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</si>
  <si>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</si>
  <si>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</si>
  <si>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</si>
  <si>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</si>
  <si>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</si>
  <si>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</si>
  <si>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</si>
  <si>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</si>
  <si>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</si>
  <si>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</si>
  <si>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</si>
  <si>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</si>
  <si>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</si>
  <si>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Kettle Falls - Wood Fuel</t>
  </si>
  <si>
    <t>Colstrip - Coal</t>
  </si>
  <si>
    <t>501 THERMAL FUEL EXPENSE</t>
  </si>
  <si>
    <t>547 OTHER FUEL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</si>
  <si>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</si>
  <si>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</si>
  <si>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</si>
  <si>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</si>
  <si>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</si>
  <si>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</si>
  <si>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</si>
  <si>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</si>
  <si>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</si>
  <si>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</si>
  <si>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</si>
  <si>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</si>
  <si>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</si>
  <si>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</si>
  <si>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</si>
  <si>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</si>
  <si>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</si>
  <si>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</si>
  <si>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</si>
  <si>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</si>
  <si>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</si>
  <si>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</si>
  <si>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</si>
  <si>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</si>
  <si>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</si>
  <si>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</si>
  <si>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</si>
  <si>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</si>
  <si>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</si>
  <si>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</si>
  <si>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</si>
  <si>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</si>
  <si>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</si>
  <si>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</si>
  <si>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</si>
  <si>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</si>
  <si>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</si>
  <si>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</si>
  <si>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</si>
  <si>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</si>
  <si>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</si>
  <si>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</si>
  <si>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</si>
  <si>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</si>
  <si>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</si>
  <si>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</si>
  <si>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</si>
  <si>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</si>
  <si>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</si>
  <si>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</si>
  <si>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</si>
  <si>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</si>
  <si>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</si>
  <si>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</si>
  <si>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</si>
  <si>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</si>
  <si>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</si>
  <si>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</si>
  <si>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</si>
  <si>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</si>
  <si>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</si>
  <si>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</si>
  <si>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</si>
  <si>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</si>
  <si>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</si>
  <si>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</si>
  <si>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normal $0</t>
  </si>
  <si>
    <t>Comment</t>
  </si>
  <si>
    <t>Market Purchases and Sales, Plant Generation and Fuel Cost Summary</t>
  </si>
  <si>
    <t>Sovereign/Kaiser DES</t>
  </si>
  <si>
    <t>Douglas Settlement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</si>
  <si>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</si>
  <si>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</si>
  <si>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</si>
  <si>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</si>
  <si>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</si>
  <si>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</si>
  <si>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</si>
  <si>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Small Power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</si>
  <si>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</si>
  <si>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</si>
  <si>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</si>
  <si>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</si>
  <si>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</si>
  <si>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</si>
  <si>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</si>
  <si>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</si>
  <si>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</si>
  <si>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</si>
  <si>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</si>
  <si>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</si>
  <si>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</si>
  <si>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</si>
  <si>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</si>
  <si>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</si>
  <si>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</si>
  <si>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</si>
  <si>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</si>
  <si>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</si>
  <si>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</si>
  <si>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Surplus Conversion Cost per MWh</t>
  </si>
  <si>
    <t>Total Priest Rapids Product Cost</t>
  </si>
  <si>
    <t>Total Priest Rapids Product Cost per MWh</t>
  </si>
  <si>
    <t>Modeled Short-Term Market Sales</t>
  </si>
  <si>
    <t>Pro forma</t>
  </si>
  <si>
    <t>Natural Gas Fuel Purchases</t>
  </si>
  <si>
    <t>Avista Corp</t>
  </si>
  <si>
    <t>new rate</t>
  </si>
  <si>
    <t>check energy</t>
  </si>
  <si>
    <t>modeled MWh x Actual</t>
  </si>
  <si>
    <t xml:space="preserve">  Surplus</t>
  </si>
  <si>
    <t>Priest Rapids, MWh</t>
  </si>
  <si>
    <t>Wanpum, MWh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</si>
  <si>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</si>
  <si>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</si>
  <si>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</si>
  <si>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</si>
  <si>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</si>
  <si>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</si>
  <si>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</si>
  <si>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</si>
  <si>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</si>
  <si>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</si>
  <si>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</si>
  <si>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</si>
  <si>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</si>
  <si>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Wells - Avista Share</t>
  </si>
  <si>
    <t>Wells - Colville Tribe's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</si>
  <si>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</si>
  <si>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</si>
  <si>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</si>
  <si>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</si>
  <si>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</si>
  <si>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/MWh</t>
  </si>
  <si>
    <t>Actual Financial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</si>
  <si>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</si>
  <si>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</si>
  <si>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</si>
  <si>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</si>
  <si>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</si>
  <si>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</si>
  <si>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</si>
  <si>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</si>
  <si>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</si>
  <si>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</si>
  <si>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</si>
  <si>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</si>
  <si>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</si>
  <si>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</si>
  <si>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</si>
  <si>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</si>
  <si>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</si>
  <si>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</si>
  <si>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BPA PTP for Colstrip, Coyote &amp; Lancaster</t>
  </si>
  <si>
    <t>Northwestern for Colstrip</t>
  </si>
  <si>
    <t>Palouse Wind</t>
  </si>
  <si>
    <t>Spokane Waste-to-Energy</t>
  </si>
  <si>
    <t>Non-WA EIA REC Sales</t>
  </si>
  <si>
    <t>WA EIA REC Purchase - 100% WA Allocation</t>
  </si>
  <si>
    <t>Gas Transpot Optimization</t>
  </si>
  <si>
    <t>Pro Forma</t>
  </si>
  <si>
    <t>****LOAD NEW PRICES*****</t>
  </si>
  <si>
    <t>Modeled HLH Electric Price</t>
  </si>
  <si>
    <t>Modeled LLH Electric Price</t>
  </si>
  <si>
    <t>Predicted Auction Price</t>
  </si>
  <si>
    <t>ERM Authorized Washington Retail Sales (2)</t>
  </si>
  <si>
    <t>Modeled ST Market Purchases</t>
  </si>
  <si>
    <t>Actual ST Market Purchases</t>
  </si>
  <si>
    <t>Actual ST Purchases - Financial M-to-M</t>
  </si>
  <si>
    <t>Transmission Revenue</t>
  </si>
  <si>
    <t>Total Retail Sales, MWh (2)</t>
  </si>
  <si>
    <t>Intracompany Generation</t>
  </si>
  <si>
    <t>Short-term Transmission Purchases</t>
  </si>
  <si>
    <t>WA EIA REC Sales</t>
  </si>
  <si>
    <t>Pullman Battery</t>
  </si>
  <si>
    <t>Modeled Flat Electric Price</t>
  </si>
  <si>
    <t>Rate (Mid C plus $3/MWh)</t>
  </si>
  <si>
    <t>Energy America</t>
  </si>
  <si>
    <t>Test Year Load</t>
  </si>
  <si>
    <t>ERM Accounts</t>
  </si>
  <si>
    <t>All Accounts</t>
  </si>
  <si>
    <t>Oct 14 - Sep 15</t>
  </si>
  <si>
    <t>System Numbers - Oct 2014 - Sep 2015 Actual and 2017 Pro Forma</t>
  </si>
  <si>
    <t>SMUD/Energy America</t>
  </si>
  <si>
    <t>Rathdrum Solar, Buck-a-Block</t>
  </si>
  <si>
    <t>REC Expenses (offset to REC Revenue)</t>
  </si>
  <si>
    <t>COB Optimization</t>
  </si>
  <si>
    <t>Spokane Energy Capacity Payment Adjustment</t>
  </si>
  <si>
    <t xml:space="preserve">Total </t>
  </si>
  <si>
    <t>WA Share of System Costs</t>
  </si>
  <si>
    <t>(2) Twelve months ended September 2015 normalized monthly WA Retail Sales.</t>
  </si>
  <si>
    <t>Pro forma January 2017 - December 2017</t>
  </si>
  <si>
    <t>October 2014 - September 2015 Historic Normalized Loads</t>
  </si>
  <si>
    <t>Washington Pro Forma January 2017 - December 2017</t>
  </si>
  <si>
    <t>Retail Revenue Adjustment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</si>
</sst>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7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2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0" fontId="0" fillId="0" borderId="0" xfId="0" quotePrefix="1" applyFill="1"/>
    <xf numFmtId="3" fontId="2" fillId="0" borderId="1" xfId="0" applyNumberFormat="1" applyFont="1" applyFill="1" applyBorder="1" applyAlignment="1">
      <alignment horizontal="right"/>
    </xf>
    <xf numFmtId="10" fontId="0" fillId="0" borderId="0" xfId="2" applyNumberFormat="1" applyFont="1"/>
    <xf numFmtId="3" fontId="0" fillId="0" borderId="0" xfId="1" applyNumberFormat="1" applyFont="1"/>
    <xf numFmtId="10" fontId="0" fillId="0" borderId="0" xfId="0" applyNumberFormat="1" applyFill="1"/>
    <xf numFmtId="10" fontId="0" fillId="0" borderId="0" xfId="2" applyNumberFormat="1" applyFont="1" applyFill="1"/>
    <xf numFmtId="7" fontId="0" fillId="0" borderId="0" xfId="3" applyNumberFormat="1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683"/>
  <sheetViews>
    <sheetView view="pageBreakPreview" topLeftCell="A81" zoomScale="115" zoomScaleNormal="100" zoomScaleSheetLayoutView="115" workbookViewId="0">
      <pane xSplit="24225" topLeftCell="T1"/>
      <selection activeCell="F116" sqref="F116"/>
      <selection pane="topRight" activeCell="L6" sqref="L6"/>
    </sheetView>
  </sheetViews>
  <sheetFormatPr defaultColWidth="11.42578125" defaultRowHeight="12.75"/>
  <cols>
    <col min="1" max="1" width="6.140625" style="4" customWidth="1"/>
    <col min="2" max="2" width="39.140625" customWidth="1"/>
    <col min="3" max="3" width="9" customWidth="1"/>
    <col min="4" max="4" width="15.140625" customWidth="1"/>
    <col min="5" max="5" width="13" customWidth="1"/>
    <col min="6" max="6" width="14.140625" style="3" customWidth="1"/>
    <col min="7" max="7" width="13.140625" style="3" customWidth="1"/>
    <col min="8" max="8" width="14.85546875" style="3" hidden="1" customWidth="1"/>
    <col min="9" max="9" width="18.85546875" style="20" customWidth="1"/>
    <col min="10" max="10" width="15.85546875" customWidth="1"/>
    <col min="11" max="11" width="12" customWidth="1"/>
    <col min="12" max="12" width="12.28515625" bestFit="1" customWidth="1"/>
    <col min="13" max="13" width="12" bestFit="1" customWidth="1"/>
    <col min="14" max="14" width="11.5703125" bestFit="1" customWidth="1"/>
    <col min="15" max="18" width="11.85546875" bestFit="1" customWidth="1"/>
    <col min="19" max="22" width="12.28515625" bestFit="1" customWidth="1"/>
  </cols>
  <sheetData>
    <row r="1" spans="1:22">
      <c r="A1" s="8"/>
      <c r="B1" s="8"/>
      <c r="C1" s="14" t="s">
        <v>31</v>
      </c>
      <c r="F1"/>
      <c r="G1"/>
      <c r="H1"/>
      <c r="I1"/>
    </row>
    <row r="2" spans="1:22">
      <c r="A2" s="8"/>
      <c r="B2" s="8"/>
      <c r="C2" s="14" t="s">
        <v>172</v>
      </c>
      <c r="F2"/>
      <c r="G2"/>
      <c r="H2"/>
      <c r="I2"/>
    </row>
    <row r="3" spans="1:22">
      <c r="A3" s="10"/>
      <c r="B3" s="8"/>
      <c r="C3" s="14" t="s">
        <v>231</v>
      </c>
      <c r="F3"/>
      <c r="G3"/>
      <c r="H3"/>
      <c r="I3" s="72"/>
    </row>
    <row r="4" spans="1:22">
      <c r="A4" s="10"/>
      <c r="B4" s="8"/>
      <c r="C4" s="14" t="s">
        <v>227</v>
      </c>
      <c r="F4"/>
      <c r="G4"/>
      <c r="H4"/>
      <c r="I4" s="72"/>
    </row>
    <row r="5" spans="1:22" ht="12.75" customHeight="1">
      <c r="A5" s="5"/>
      <c r="C5" s="126"/>
      <c r="D5" s="11"/>
      <c r="E5" s="11"/>
      <c r="F5" s="11"/>
      <c r="G5" s="11"/>
      <c r="H5" s="11" t="s">
        <v>126</v>
      </c>
      <c r="I5" s="82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230</v>
      </c>
      <c r="E6" s="11"/>
      <c r="F6" s="11">
        <v>2017</v>
      </c>
      <c r="G6" s="53"/>
      <c r="H6" s="53" t="s">
        <v>125</v>
      </c>
      <c r="I6" s="83"/>
    </row>
    <row r="7" spans="1:22">
      <c r="A7" s="45" t="s">
        <v>1</v>
      </c>
      <c r="D7" s="15" t="s">
        <v>2</v>
      </c>
      <c r="E7" s="1" t="s">
        <v>3</v>
      </c>
      <c r="F7" s="15" t="s">
        <v>209</v>
      </c>
      <c r="G7" s="15"/>
      <c r="H7" s="15" t="s">
        <v>153</v>
      </c>
      <c r="I7" s="86" t="s">
        <v>116</v>
      </c>
      <c r="J7" s="79" t="s">
        <v>32</v>
      </c>
      <c r="K7" s="47">
        <v>41274</v>
      </c>
      <c r="L7" s="47">
        <v>41305</v>
      </c>
      <c r="M7" s="47">
        <v>41333</v>
      </c>
      <c r="N7" s="47">
        <v>41364</v>
      </c>
      <c r="O7" s="47">
        <v>41394</v>
      </c>
      <c r="P7" s="47">
        <v>41425</v>
      </c>
      <c r="Q7" s="47">
        <v>41455</v>
      </c>
      <c r="R7" s="47">
        <v>41486</v>
      </c>
      <c r="S7" s="47">
        <v>41517</v>
      </c>
      <c r="T7" s="47">
        <v>41547</v>
      </c>
      <c r="U7" s="47">
        <v>41578</v>
      </c>
      <c r="V7" s="47">
        <v>41608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6" si="0">A8+1</f>
        <v>1</v>
      </c>
      <c r="B9" t="s">
        <v>215</v>
      </c>
      <c r="D9" s="18">
        <v>0</v>
      </c>
      <c r="E9" s="18">
        <f t="shared" ref="E9:E15" si="1">F9-D9</f>
        <v>6493.5845668410038</v>
      </c>
      <c r="F9" s="18">
        <f>'WGJ-4'!C13/1000</f>
        <v>6493.5845668410038</v>
      </c>
      <c r="G9" s="18"/>
      <c r="H9" s="18">
        <v>20917.018981429192</v>
      </c>
      <c r="I9" s="94" t="s">
        <v>121</v>
      </c>
      <c r="J9" s="3">
        <f t="shared" ref="J9:J14" si="2">SUM(K9:V9)/1000</f>
        <v>6493.5845668410038</v>
      </c>
      <c r="K9" s="56">
        <f>'WGJ-4'!D13</f>
        <v>278587.28761039599</v>
      </c>
      <c r="L9" s="56">
        <f>'WGJ-4'!E13</f>
        <v>384582.43190646102</v>
      </c>
      <c r="M9" s="56">
        <f>'WGJ-4'!F13</f>
        <v>332034.20101609</v>
      </c>
      <c r="N9" s="56">
        <f>'WGJ-4'!G13</f>
        <v>51347.39433676</v>
      </c>
      <c r="O9" s="56">
        <f>'WGJ-4'!H13</f>
        <v>14245.3725124709</v>
      </c>
      <c r="P9" s="56">
        <f>'WGJ-4'!I13</f>
        <v>375181.923155486</v>
      </c>
      <c r="Q9" s="56">
        <f>'WGJ-4'!J13</f>
        <v>704803.26130390097</v>
      </c>
      <c r="R9" s="56">
        <f>'WGJ-4'!K13</f>
        <v>1638561.01512908</v>
      </c>
      <c r="S9" s="56">
        <f>'WGJ-4'!L13</f>
        <v>763024.433270865</v>
      </c>
      <c r="T9" s="56">
        <f>'WGJ-4'!M13</f>
        <v>849668.47098618699</v>
      </c>
      <c r="U9" s="56">
        <f>'WGJ-4'!N13</f>
        <v>675421.80030345905</v>
      </c>
      <c r="V9" s="56">
        <f>'WGJ-4'!O13</f>
        <v>426126.97530984797</v>
      </c>
    </row>
    <row r="10" spans="1:22">
      <c r="A10" s="5">
        <f t="shared" si="0"/>
        <v>2</v>
      </c>
      <c r="B10" t="s">
        <v>216</v>
      </c>
      <c r="D10" s="88">
        <f>84386+1</f>
        <v>84387</v>
      </c>
      <c r="E10" s="19">
        <f t="shared" si="1"/>
        <v>-84387</v>
      </c>
      <c r="F10" s="128">
        <v>0</v>
      </c>
      <c r="G10" s="18"/>
      <c r="H10" s="18"/>
      <c r="I10" s="94"/>
      <c r="J10" s="3">
        <f t="shared" si="2"/>
        <v>0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2">
      <c r="A11" s="5">
        <f t="shared" si="0"/>
        <v>3</v>
      </c>
      <c r="B11" t="s">
        <v>217</v>
      </c>
      <c r="D11" s="88">
        <v>0</v>
      </c>
      <c r="E11" s="19">
        <f t="shared" si="1"/>
        <v>0</v>
      </c>
      <c r="F11" s="128">
        <v>0</v>
      </c>
      <c r="G11" s="18"/>
      <c r="H11" s="18"/>
      <c r="I11" s="94"/>
      <c r="J11" s="3">
        <f t="shared" si="2"/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</row>
    <row r="12" spans="1:22">
      <c r="A12" s="5">
        <f t="shared" si="0"/>
        <v>4</v>
      </c>
      <c r="B12" t="s">
        <v>186</v>
      </c>
      <c r="D12" s="88">
        <v>13315</v>
      </c>
      <c r="E12" s="19">
        <f t="shared" si="1"/>
        <v>558</v>
      </c>
      <c r="F12" s="88">
        <v>13873</v>
      </c>
      <c r="G12" s="22"/>
      <c r="H12" s="22"/>
      <c r="I12" s="19"/>
      <c r="J12" s="3">
        <f t="shared" si="2"/>
        <v>13873.093199999998</v>
      </c>
      <c r="K12" s="55">
        <v>1156091.0999999999</v>
      </c>
      <c r="L12" s="55">
        <v>1156091.0999999999</v>
      </c>
      <c r="M12" s="55">
        <v>1156091.0999999999</v>
      </c>
      <c r="N12" s="55">
        <v>1156091.0999999999</v>
      </c>
      <c r="O12" s="55">
        <v>1156091.0999999999</v>
      </c>
      <c r="P12" s="55">
        <v>1156091.0999999999</v>
      </c>
      <c r="Q12" s="55">
        <v>1156091.0999999999</v>
      </c>
      <c r="R12" s="55">
        <v>1156091.0999999999</v>
      </c>
      <c r="S12" s="55">
        <v>1156091.0999999999</v>
      </c>
      <c r="T12" s="55">
        <v>1156091.0999999999</v>
      </c>
      <c r="U12" s="55">
        <v>1156091.0999999999</v>
      </c>
      <c r="V12" s="55">
        <v>1156091.0999999999</v>
      </c>
    </row>
    <row r="13" spans="1:22">
      <c r="A13" s="5">
        <f t="shared" si="0"/>
        <v>5</v>
      </c>
      <c r="B13" t="s">
        <v>175</v>
      </c>
      <c r="D13" s="88">
        <v>1703</v>
      </c>
      <c r="E13" s="19">
        <f t="shared" si="1"/>
        <v>155</v>
      </c>
      <c r="F13" s="88">
        <v>1858</v>
      </c>
      <c r="G13" s="22"/>
      <c r="H13" s="22">
        <v>1177</v>
      </c>
      <c r="I13" s="19"/>
      <c r="J13" s="3">
        <f t="shared" si="2"/>
        <v>1857.8737066666665</v>
      </c>
      <c r="K13" s="55">
        <v>154313.52333333335</v>
      </c>
      <c r="L13" s="55">
        <v>154313.52333333335</v>
      </c>
      <c r="M13" s="55">
        <v>154313.52333333335</v>
      </c>
      <c r="N13" s="55">
        <v>154313.52333333335</v>
      </c>
      <c r="O13" s="55">
        <v>154313.52333333335</v>
      </c>
      <c r="P13" s="55">
        <v>154313.52333333335</v>
      </c>
      <c r="Q13" s="55">
        <v>154313.52333333335</v>
      </c>
      <c r="R13" s="55">
        <v>154313.52333333335</v>
      </c>
      <c r="S13" s="55">
        <v>155841.38</v>
      </c>
      <c r="T13" s="55">
        <v>155841.38</v>
      </c>
      <c r="U13" s="55">
        <v>155841.38</v>
      </c>
      <c r="V13" s="55">
        <v>155841.38</v>
      </c>
    </row>
    <row r="14" spans="1:22">
      <c r="A14" s="5">
        <f t="shared" si="0"/>
        <v>6</v>
      </c>
      <c r="B14" t="s">
        <v>176</v>
      </c>
      <c r="D14" s="88">
        <v>2482</v>
      </c>
      <c r="E14" s="19">
        <f t="shared" si="1"/>
        <v>-2482</v>
      </c>
      <c r="F14" s="90">
        <v>0</v>
      </c>
      <c r="G14" s="22"/>
      <c r="H14" s="22"/>
      <c r="I14" s="19"/>
      <c r="J14" s="3">
        <f t="shared" si="2"/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>
      <c r="A15" s="5">
        <f t="shared" si="0"/>
        <v>7</v>
      </c>
      <c r="B15" t="s">
        <v>148</v>
      </c>
      <c r="D15" s="88">
        <v>7118</v>
      </c>
      <c r="E15" s="19">
        <f t="shared" si="1"/>
        <v>1016.9285251992287</v>
      </c>
      <c r="F15" s="88">
        <f>Index!C53/1000</f>
        <v>8134.9285251992287</v>
      </c>
      <c r="G15" s="93"/>
      <c r="H15" s="19">
        <v>0</v>
      </c>
      <c r="I15" s="93" t="s">
        <v>133</v>
      </c>
      <c r="J15" s="3">
        <f t="shared" ref="J15:J28" si="3">SUM(K15:V15)/1000</f>
        <v>8134.9285251992287</v>
      </c>
      <c r="K15" s="55">
        <f>Index!D53</f>
        <v>796266.84849191376</v>
      </c>
      <c r="L15" s="55">
        <f>Index!E53</f>
        <v>647413.74114047934</v>
      </c>
      <c r="M15" s="55">
        <f>Index!F53</f>
        <v>634175.86960587197</v>
      </c>
      <c r="N15" s="55">
        <f>Index!G53</f>
        <v>645309.51368263992</v>
      </c>
      <c r="O15" s="55">
        <f>Index!H53</f>
        <v>750567.48584605695</v>
      </c>
      <c r="P15" s="55">
        <f>Index!I53</f>
        <v>710936.0013581973</v>
      </c>
      <c r="Q15" s="55">
        <f>Index!J53</f>
        <v>786956.62444236467</v>
      </c>
      <c r="R15" s="55">
        <f>Index!K53</f>
        <v>715082.86621149303</v>
      </c>
      <c r="S15" s="55">
        <f>Index!L53</f>
        <v>502724.70419096563</v>
      </c>
      <c r="T15" s="55">
        <f>Index!M53</f>
        <v>484744.19688655477</v>
      </c>
      <c r="U15" s="55">
        <f>Index!N53</f>
        <v>658302.51697176613</v>
      </c>
      <c r="V15" s="55">
        <f>Index!O53</f>
        <v>802448.15637092548</v>
      </c>
    </row>
    <row r="16" spans="1:22">
      <c r="A16" s="5">
        <f t="shared" si="0"/>
        <v>8</v>
      </c>
      <c r="B16" t="s">
        <v>119</v>
      </c>
      <c r="D16" s="88">
        <v>1211</v>
      </c>
      <c r="E16" s="88">
        <f t="shared" ref="E16:E24" si="4">F16-D16</f>
        <v>24</v>
      </c>
      <c r="F16" s="88">
        <v>1235</v>
      </c>
      <c r="G16" s="88" t="s">
        <v>157</v>
      </c>
      <c r="H16" s="90">
        <v>5512</v>
      </c>
      <c r="I16" s="19"/>
      <c r="J16" s="3">
        <f t="shared" si="3"/>
        <v>1234.8103949999997</v>
      </c>
      <c r="K16" s="55">
        <v>49173.119999999995</v>
      </c>
      <c r="L16" s="55">
        <v>37218.239999999998</v>
      </c>
      <c r="M16" s="55">
        <v>87602.553</v>
      </c>
      <c r="N16" s="55">
        <v>156229.92000000001</v>
      </c>
      <c r="O16" s="55">
        <v>194293.34399999998</v>
      </c>
      <c r="P16" s="55">
        <v>210072.24</v>
      </c>
      <c r="Q16" s="55">
        <v>178908</v>
      </c>
      <c r="R16" s="55">
        <v>127452.74400000001</v>
      </c>
      <c r="S16" s="55">
        <v>52231.44</v>
      </c>
      <c r="T16" s="55">
        <v>57140.423999999999</v>
      </c>
      <c r="U16" s="55">
        <v>39909.713999999993</v>
      </c>
      <c r="V16" s="55">
        <v>44578.656000000003</v>
      </c>
    </row>
    <row r="17" spans="1:22">
      <c r="A17" s="5">
        <f t="shared" ref="A17:A27" si="5">A16+1</f>
        <v>9</v>
      </c>
      <c r="B17" t="s">
        <v>170</v>
      </c>
      <c r="D17" s="88">
        <v>22737</v>
      </c>
      <c r="E17" s="88">
        <f t="shared" si="4"/>
        <v>849</v>
      </c>
      <c r="F17" s="90">
        <v>23586</v>
      </c>
      <c r="G17" s="90"/>
      <c r="H17" s="90"/>
      <c r="I17" s="19"/>
      <c r="J17" s="3">
        <f t="shared" si="3"/>
        <v>23585.839952999995</v>
      </c>
      <c r="K17" s="55">
        <v>1965486.6627500001</v>
      </c>
      <c r="L17" s="55">
        <v>1965486.6627500001</v>
      </c>
      <c r="M17" s="55">
        <v>1965486.6627500001</v>
      </c>
      <c r="N17" s="55">
        <v>1965486.6627500001</v>
      </c>
      <c r="O17" s="55">
        <v>1965486.6627500001</v>
      </c>
      <c r="P17" s="55">
        <v>1965486.6627500001</v>
      </c>
      <c r="Q17" s="55">
        <v>1965486.6627500001</v>
      </c>
      <c r="R17" s="55">
        <v>1965486.6627500001</v>
      </c>
      <c r="S17" s="55">
        <v>1965486.6627500001</v>
      </c>
      <c r="T17" s="55">
        <v>1965486.6627500001</v>
      </c>
      <c r="U17" s="55">
        <v>1965486.6627500001</v>
      </c>
      <c r="V17" s="55">
        <v>1965486.6627500001</v>
      </c>
    </row>
    <row r="18" spans="1:22">
      <c r="A18" s="5">
        <f t="shared" si="5"/>
        <v>10</v>
      </c>
      <c r="B18" t="s">
        <v>169</v>
      </c>
      <c r="D18" s="88">
        <v>2745</v>
      </c>
      <c r="E18" s="88">
        <f t="shared" si="4"/>
        <v>682.33605446701176</v>
      </c>
      <c r="F18" s="90">
        <f>J18</f>
        <v>3427.3360544670118</v>
      </c>
      <c r="G18" s="90"/>
      <c r="H18" s="90"/>
      <c r="I18" s="19"/>
      <c r="J18" s="3">
        <f t="shared" si="3"/>
        <v>3427.3360544670118</v>
      </c>
      <c r="K18" s="55">
        <f>'WGJ-4'!D33*2.134</f>
        <v>380922.63608383591</v>
      </c>
      <c r="L18" s="55">
        <f>'WGJ-4'!E33*2.134</f>
        <v>303520.18256108277</v>
      </c>
      <c r="M18" s="55">
        <f>'WGJ-4'!F33*2.134</f>
        <v>330061.23707036092</v>
      </c>
      <c r="N18" s="55">
        <f>'WGJ-4'!G33*2.134</f>
        <v>256765.73674531802</v>
      </c>
      <c r="O18" s="55">
        <f>'WGJ-4'!H33*2.134</f>
        <v>144121.24697728874</v>
      </c>
      <c r="P18" s="55">
        <f>'WGJ-4'!I33*2.134</f>
        <v>99921.657283157241</v>
      </c>
      <c r="Q18" s="55">
        <f>'WGJ-4'!J33*2.134</f>
        <v>228847.3785321039</v>
      </c>
      <c r="R18" s="55">
        <f>'WGJ-4'!K33*2.134</f>
        <v>302142.65800038952</v>
      </c>
      <c r="S18" s="55">
        <f>'WGJ-4'!L33*2.134</f>
        <v>316676.68846601452</v>
      </c>
      <c r="T18" s="55">
        <f>'WGJ-4'!M33*2.134</f>
        <v>337829.67879374995</v>
      </c>
      <c r="U18" s="55">
        <f>'WGJ-4'!N33*2.134</f>
        <v>338235.01042031246</v>
      </c>
      <c r="V18" s="55">
        <f>'WGJ-4'!O33*2.134</f>
        <v>388291.94353339786</v>
      </c>
    </row>
    <row r="19" spans="1:22">
      <c r="A19" s="5">
        <f t="shared" si="5"/>
        <v>11</v>
      </c>
      <c r="B19" t="s">
        <v>5</v>
      </c>
      <c r="D19" s="88">
        <v>13302</v>
      </c>
      <c r="E19" s="19">
        <f t="shared" si="4"/>
        <v>4556</v>
      </c>
      <c r="F19" s="88">
        <v>17858</v>
      </c>
      <c r="G19" s="19" t="s">
        <v>157</v>
      </c>
      <c r="H19" s="19">
        <v>-2690</v>
      </c>
      <c r="I19" s="95" t="s">
        <v>158</v>
      </c>
      <c r="J19" s="3">
        <f t="shared" si="3"/>
        <v>17857.553444352005</v>
      </c>
      <c r="K19" s="56">
        <v>3641832.8064000006</v>
      </c>
      <c r="L19" s="56">
        <v>3249377.2800000003</v>
      </c>
      <c r="M19" s="56">
        <v>1799986.3296000003</v>
      </c>
      <c r="N19" s="56">
        <v>1769845.2480000004</v>
      </c>
      <c r="O19" s="56"/>
      <c r="P19" s="56"/>
      <c r="Q19" s="56"/>
      <c r="R19" s="56"/>
      <c r="S19" s="56"/>
      <c r="T19" s="56"/>
      <c r="U19" s="56">
        <v>3638840.005632001</v>
      </c>
      <c r="V19" s="56">
        <v>3757671.774720001</v>
      </c>
    </row>
    <row r="20" spans="1:22">
      <c r="A20" s="5">
        <f t="shared" si="5"/>
        <v>12</v>
      </c>
      <c r="B20" t="s">
        <v>6</v>
      </c>
      <c r="D20" s="88">
        <v>7</v>
      </c>
      <c r="E20" s="19">
        <f t="shared" si="4"/>
        <v>0</v>
      </c>
      <c r="F20" s="19">
        <v>7</v>
      </c>
      <c r="G20" s="19"/>
      <c r="H20" s="19">
        <v>6679.5</v>
      </c>
      <c r="I20" s="19"/>
      <c r="J20" s="3">
        <f t="shared" si="3"/>
        <v>6.9999999999999991</v>
      </c>
      <c r="K20" s="55">
        <f t="shared" ref="K20:V20" si="6">$F20/12*1000</f>
        <v>583.33333333333337</v>
      </c>
      <c r="L20" s="55">
        <f t="shared" si="6"/>
        <v>583.33333333333337</v>
      </c>
      <c r="M20" s="55">
        <f t="shared" si="6"/>
        <v>583.33333333333337</v>
      </c>
      <c r="N20" s="55">
        <f t="shared" si="6"/>
        <v>583.33333333333337</v>
      </c>
      <c r="O20" s="55">
        <f t="shared" si="6"/>
        <v>583.33333333333337</v>
      </c>
      <c r="P20" s="55">
        <f t="shared" si="6"/>
        <v>583.33333333333337</v>
      </c>
      <c r="Q20" s="55">
        <f t="shared" si="6"/>
        <v>583.33333333333337</v>
      </c>
      <c r="R20" s="55">
        <f t="shared" si="6"/>
        <v>583.33333333333337</v>
      </c>
      <c r="S20" s="55">
        <f t="shared" si="6"/>
        <v>583.33333333333337</v>
      </c>
      <c r="T20" s="55">
        <f t="shared" si="6"/>
        <v>583.33333333333337</v>
      </c>
      <c r="U20" s="55">
        <f t="shared" si="6"/>
        <v>583.33333333333337</v>
      </c>
      <c r="V20" s="55">
        <f t="shared" si="6"/>
        <v>583.33333333333337</v>
      </c>
    </row>
    <row r="21" spans="1:22">
      <c r="A21" s="5">
        <f t="shared" si="5"/>
        <v>13</v>
      </c>
      <c r="B21" t="s">
        <v>127</v>
      </c>
      <c r="D21" s="88">
        <v>1290</v>
      </c>
      <c r="E21" s="19">
        <f t="shared" si="4"/>
        <v>68</v>
      </c>
      <c r="F21" s="90">
        <v>1358</v>
      </c>
      <c r="G21" s="19" t="s">
        <v>157</v>
      </c>
      <c r="H21" s="90">
        <v>6132</v>
      </c>
      <c r="I21" s="19"/>
      <c r="J21" s="3">
        <f t="shared" si="3"/>
        <v>1358.4641244904462</v>
      </c>
      <c r="K21" s="55">
        <v>101777.21716415261</v>
      </c>
      <c r="L21" s="55">
        <v>122124.18402414545</v>
      </c>
      <c r="M21" s="55">
        <v>156259.97529834532</v>
      </c>
      <c r="N21" s="55">
        <v>174470.60051249905</v>
      </c>
      <c r="O21" s="55">
        <v>168952.86594441361</v>
      </c>
      <c r="P21" s="55">
        <v>147730.86448487977</v>
      </c>
      <c r="Q21" s="55">
        <v>128692.68468434841</v>
      </c>
      <c r="R21" s="55">
        <v>78476.746595809935</v>
      </c>
      <c r="S21" s="55">
        <v>53427.096850076006</v>
      </c>
      <c r="T21" s="55">
        <v>57263.917042848785</v>
      </c>
      <c r="U21" s="55">
        <v>75352.367671043787</v>
      </c>
      <c r="V21" s="55">
        <v>93935.604217883098</v>
      </c>
    </row>
    <row r="22" spans="1:22">
      <c r="A22" s="5">
        <f t="shared" si="5"/>
        <v>14</v>
      </c>
      <c r="B22" t="s">
        <v>145</v>
      </c>
      <c r="D22" s="88">
        <v>1346</v>
      </c>
      <c r="E22" s="19">
        <f t="shared" si="4"/>
        <v>697</v>
      </c>
      <c r="F22" s="128">
        <v>2043</v>
      </c>
      <c r="G22" s="19" t="s">
        <v>157</v>
      </c>
      <c r="H22" s="88">
        <v>6132</v>
      </c>
      <c r="I22" s="95" t="s">
        <v>123</v>
      </c>
      <c r="J22" s="3">
        <f t="shared" si="3"/>
        <v>2042.9974663549795</v>
      </c>
      <c r="K22" s="55">
        <v>185068.50880371063</v>
      </c>
      <c r="L22" s="55">
        <v>161879.95904296878</v>
      </c>
      <c r="M22" s="55">
        <v>126130.54419433593</v>
      </c>
      <c r="N22" s="55">
        <v>112531.4590283203</v>
      </c>
      <c r="O22" s="55">
        <v>140145.05048583957</v>
      </c>
      <c r="P22" s="55">
        <v>107399.74097167968</v>
      </c>
      <c r="Q22" s="55">
        <v>200653.23071777317</v>
      </c>
      <c r="R22" s="55">
        <v>218186.04287109381</v>
      </c>
      <c r="S22" s="55">
        <v>183340.37119628876</v>
      </c>
      <c r="T22" s="55">
        <v>206497.5014355469</v>
      </c>
      <c r="U22" s="55">
        <v>194180.53760742192</v>
      </c>
      <c r="V22" s="55">
        <v>206984.52000000002</v>
      </c>
    </row>
    <row r="23" spans="1:22">
      <c r="A23" s="5">
        <f t="shared" si="5"/>
        <v>15</v>
      </c>
      <c r="B23" t="s">
        <v>7</v>
      </c>
      <c r="D23" s="88">
        <v>2330</v>
      </c>
      <c r="E23" s="19">
        <f t="shared" si="4"/>
        <v>540</v>
      </c>
      <c r="F23" s="88">
        <v>2870</v>
      </c>
      <c r="G23" s="19" t="s">
        <v>157</v>
      </c>
      <c r="H23" s="19">
        <v>6953.25</v>
      </c>
      <c r="I23" s="19"/>
      <c r="J23" s="3">
        <f t="shared" si="3"/>
        <v>2870.0777956958027</v>
      </c>
      <c r="K23" s="55">
        <v>351340.85650390631</v>
      </c>
      <c r="L23" s="55">
        <v>351203.12511474651</v>
      </c>
      <c r="M23" s="55">
        <v>473037.6889111331</v>
      </c>
      <c r="N23" s="55">
        <v>369796.11731404619</v>
      </c>
      <c r="O23" s="55">
        <v>342852.57934366894</v>
      </c>
      <c r="P23" s="55">
        <v>264551.06925374374</v>
      </c>
      <c r="Q23" s="55">
        <v>94880.820286458329</v>
      </c>
      <c r="R23" s="55">
        <v>-33904.298968098956</v>
      </c>
      <c r="S23" s="55">
        <v>8925.8123209635414</v>
      </c>
      <c r="T23" s="55">
        <v>107947.21971354166</v>
      </c>
      <c r="U23" s="55">
        <v>205954.81366699244</v>
      </c>
      <c r="V23" s="55">
        <v>333491.99223470083</v>
      </c>
    </row>
    <row r="24" spans="1:22">
      <c r="A24" s="5">
        <f t="shared" si="5"/>
        <v>16</v>
      </c>
      <c r="B24" t="s">
        <v>205</v>
      </c>
      <c r="D24" s="88">
        <v>5562</v>
      </c>
      <c r="E24" s="19">
        <f t="shared" si="4"/>
        <v>755</v>
      </c>
      <c r="F24" s="88">
        <v>6317</v>
      </c>
      <c r="G24" s="19" t="s">
        <v>157</v>
      </c>
      <c r="H24" s="19"/>
      <c r="I24" s="19"/>
      <c r="J24" s="3">
        <f t="shared" si="3"/>
        <v>6317.0099181225441</v>
      </c>
      <c r="K24" s="55">
        <v>507486.46364587406</v>
      </c>
      <c r="L24" s="55">
        <v>504989.29648803675</v>
      </c>
      <c r="M24" s="55">
        <v>461586.11395788298</v>
      </c>
      <c r="N24" s="55">
        <v>472591.65381969843</v>
      </c>
      <c r="O24" s="55">
        <v>488344.6847548809</v>
      </c>
      <c r="P24" s="55">
        <v>427274.59018847457</v>
      </c>
      <c r="Q24" s="55">
        <v>533290.85440172988</v>
      </c>
      <c r="R24" s="55">
        <v>619305.51740234368</v>
      </c>
      <c r="S24" s="55">
        <v>574355.96270507807</v>
      </c>
      <c r="T24" s="55">
        <v>636508.46778320312</v>
      </c>
      <c r="U24" s="55">
        <v>549383.94918945315</v>
      </c>
      <c r="V24" s="55">
        <v>541892.36378588679</v>
      </c>
    </row>
    <row r="25" spans="1:22">
      <c r="A25" s="5">
        <f t="shared" si="5"/>
        <v>17</v>
      </c>
      <c r="B25" t="s">
        <v>49</v>
      </c>
      <c r="D25" s="88">
        <v>34</v>
      </c>
      <c r="E25" s="19">
        <f t="shared" ref="E25:E28" si="7">F25-D25</f>
        <v>-34</v>
      </c>
      <c r="F25" s="19">
        <v>0</v>
      </c>
      <c r="G25" s="19"/>
      <c r="H25" s="19">
        <v>921</v>
      </c>
      <c r="I25" s="93" t="s">
        <v>115</v>
      </c>
      <c r="J25" s="3">
        <f t="shared" si="3"/>
        <v>0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>
      <c r="A26" s="5">
        <f t="shared" si="5"/>
        <v>18</v>
      </c>
      <c r="B26" t="s">
        <v>141</v>
      </c>
      <c r="D26" s="88">
        <v>1654</v>
      </c>
      <c r="E26" s="19">
        <f t="shared" si="7"/>
        <v>-1654</v>
      </c>
      <c r="F26" s="19">
        <v>0</v>
      </c>
      <c r="G26" s="19"/>
      <c r="H26" s="19"/>
      <c r="I26" s="19"/>
      <c r="J26" s="3">
        <f t="shared" si="3"/>
        <v>0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>
      <c r="A27" s="5">
        <f t="shared" si="5"/>
        <v>19</v>
      </c>
      <c r="B27" s="17" t="s">
        <v>204</v>
      </c>
      <c r="C27" s="17"/>
      <c r="D27" s="89">
        <v>16541</v>
      </c>
      <c r="E27" s="39">
        <f t="shared" si="7"/>
        <v>4181</v>
      </c>
      <c r="F27" s="89">
        <v>20722</v>
      </c>
      <c r="G27" s="19" t="s">
        <v>157</v>
      </c>
      <c r="H27" s="19"/>
      <c r="I27" s="19"/>
      <c r="J27" s="3">
        <f t="shared" si="3"/>
        <v>20721.590181093754</v>
      </c>
      <c r="K27" s="55">
        <v>2321260.3050000002</v>
      </c>
      <c r="L27" s="55">
        <v>1812340.69453125</v>
      </c>
      <c r="M27" s="55">
        <v>2126185.3396875001</v>
      </c>
      <c r="N27" s="55">
        <v>1817524.2210937501</v>
      </c>
      <c r="O27" s="55">
        <v>1599399.1771874998</v>
      </c>
      <c r="P27" s="55">
        <v>1282675.1681250001</v>
      </c>
      <c r="Q27" s="55">
        <v>1098639.9450000001</v>
      </c>
      <c r="R27" s="55">
        <v>1155240.9984375001</v>
      </c>
      <c r="S27" s="55">
        <v>1332899.80078125</v>
      </c>
      <c r="T27" s="55">
        <v>1638197.4740625003</v>
      </c>
      <c r="U27" s="55">
        <v>2113291.4765625</v>
      </c>
      <c r="V27" s="55">
        <v>2423935.5806249999</v>
      </c>
    </row>
    <row r="28" spans="1:22">
      <c r="A28" s="5">
        <f>A27+1</f>
        <v>20</v>
      </c>
      <c r="B28" t="s">
        <v>8</v>
      </c>
      <c r="D28" s="88">
        <f>SUM(D9:D27)</f>
        <v>177764</v>
      </c>
      <c r="E28" s="19">
        <f t="shared" si="7"/>
        <v>-67981.150853492756</v>
      </c>
      <c r="F28" s="19">
        <f>SUM(F9:F27)</f>
        <v>109782.84914650724</v>
      </c>
      <c r="G28" s="19"/>
      <c r="H28" s="19">
        <v>0</v>
      </c>
      <c r="I28" s="19"/>
      <c r="J28" s="3">
        <f t="shared" si="3"/>
        <v>109782.15933128343</v>
      </c>
      <c r="K28" s="25">
        <f t="shared" ref="K28:V28" si="8">SUM(K9:K27)</f>
        <v>11890190.669120457</v>
      </c>
      <c r="L28" s="25">
        <f t="shared" si="8"/>
        <v>10851123.754225841</v>
      </c>
      <c r="M28" s="25">
        <f t="shared" si="8"/>
        <v>9803534.4717581868</v>
      </c>
      <c r="N28" s="25">
        <f t="shared" si="8"/>
        <v>9102886.4839497004</v>
      </c>
      <c r="O28" s="25">
        <f t="shared" si="8"/>
        <v>7119396.4264687859</v>
      </c>
      <c r="P28" s="25">
        <f t="shared" si="8"/>
        <v>6902217.874237285</v>
      </c>
      <c r="Q28" s="25">
        <f t="shared" si="8"/>
        <v>7232147.4187853467</v>
      </c>
      <c r="R28" s="25">
        <f t="shared" si="8"/>
        <v>8097018.9090962764</v>
      </c>
      <c r="S28" s="25">
        <f t="shared" si="8"/>
        <v>7065608.7858648337</v>
      </c>
      <c r="T28" s="25">
        <f t="shared" si="8"/>
        <v>7653799.8267874662</v>
      </c>
      <c r="U28" s="25">
        <f t="shared" si="8"/>
        <v>11766874.668108283</v>
      </c>
      <c r="V28" s="25">
        <f t="shared" si="8"/>
        <v>12297360.042880978</v>
      </c>
    </row>
    <row r="29" spans="1:22">
      <c r="A29" s="5"/>
      <c r="D29" s="88"/>
      <c r="E29" s="19"/>
      <c r="F29" s="19"/>
      <c r="G29" s="19"/>
      <c r="H29" s="39">
        <v>3186</v>
      </c>
      <c r="I29" s="19"/>
      <c r="J29" s="3"/>
    </row>
    <row r="30" spans="1:22">
      <c r="A30" s="5"/>
      <c r="B30" s="7" t="s">
        <v>26</v>
      </c>
      <c r="D30" s="19"/>
      <c r="E30" s="19"/>
      <c r="F30" s="19"/>
      <c r="G30" s="19"/>
      <c r="H30" s="19">
        <v>0</v>
      </c>
      <c r="I30" s="19"/>
      <c r="J30" s="3"/>
    </row>
    <row r="31" spans="1:22">
      <c r="A31" s="5">
        <f>A28+1</f>
        <v>21</v>
      </c>
      <c r="B31" t="s">
        <v>12</v>
      </c>
      <c r="D31" s="88">
        <v>407</v>
      </c>
      <c r="E31" s="88">
        <f>F31-D31</f>
        <v>0</v>
      </c>
      <c r="F31" s="128">
        <v>407</v>
      </c>
      <c r="G31" s="93"/>
      <c r="H31" s="89">
        <v>150</v>
      </c>
      <c r="I31" s="93"/>
      <c r="J31" s="3">
        <f>SUM(K31:V31)/1000</f>
        <v>407.00000000000006</v>
      </c>
      <c r="K31" s="55">
        <f>407000/12</f>
        <v>33916.666666666664</v>
      </c>
      <c r="L31" s="55">
        <f t="shared" ref="L31:V31" si="9">407000/12</f>
        <v>33916.666666666664</v>
      </c>
      <c r="M31" s="55">
        <f t="shared" si="9"/>
        <v>33916.666666666664</v>
      </c>
      <c r="N31" s="55">
        <f t="shared" si="9"/>
        <v>33916.666666666664</v>
      </c>
      <c r="O31" s="55">
        <f t="shared" si="9"/>
        <v>33916.666666666664</v>
      </c>
      <c r="P31" s="55">
        <f t="shared" si="9"/>
        <v>33916.666666666664</v>
      </c>
      <c r="Q31" s="55">
        <f t="shared" si="9"/>
        <v>33916.666666666664</v>
      </c>
      <c r="R31" s="55">
        <f t="shared" si="9"/>
        <v>33916.666666666664</v>
      </c>
      <c r="S31" s="55">
        <f t="shared" si="9"/>
        <v>33916.666666666664</v>
      </c>
      <c r="T31" s="55">
        <f t="shared" si="9"/>
        <v>33916.666666666664</v>
      </c>
      <c r="U31" s="55">
        <f t="shared" si="9"/>
        <v>33916.666666666664</v>
      </c>
      <c r="V31" s="55">
        <f t="shared" si="9"/>
        <v>33916.666666666664</v>
      </c>
    </row>
    <row r="32" spans="1:22">
      <c r="A32" s="5">
        <f>A31+1</f>
        <v>22</v>
      </c>
      <c r="B32" t="s">
        <v>207</v>
      </c>
      <c r="D32" s="88">
        <v>645</v>
      </c>
      <c r="E32" s="88">
        <f t="shared" ref="E32:E35" si="10">F32-D32</f>
        <v>-645</v>
      </c>
      <c r="F32" s="88">
        <v>0</v>
      </c>
      <c r="G32" s="88"/>
      <c r="H32" s="88"/>
      <c r="I32" s="19"/>
      <c r="J32" s="3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>
      <c r="A33" s="5">
        <f>A32+1</f>
        <v>23</v>
      </c>
      <c r="B33" t="s">
        <v>234</v>
      </c>
      <c r="D33" s="88">
        <v>109</v>
      </c>
      <c r="E33" s="88">
        <f t="shared" si="10"/>
        <v>-109</v>
      </c>
      <c r="F33" s="88">
        <v>0</v>
      </c>
      <c r="G33" s="88"/>
      <c r="H33" s="88"/>
      <c r="I33" s="19"/>
      <c r="J33" s="3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>
      <c r="A34" s="5">
        <f t="shared" ref="A34:A35" si="11">A33+1</f>
        <v>24</v>
      </c>
      <c r="B34" t="s">
        <v>236</v>
      </c>
      <c r="D34" s="88">
        <v>-5310</v>
      </c>
      <c r="E34" s="88">
        <f t="shared" si="10"/>
        <v>5310</v>
      </c>
      <c r="F34" s="88">
        <v>0</v>
      </c>
      <c r="G34" s="88"/>
      <c r="H34" s="88"/>
      <c r="I34" s="19"/>
      <c r="J34" s="3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>
      <c r="A35" s="5">
        <f t="shared" si="11"/>
        <v>25</v>
      </c>
      <c r="B35" t="s">
        <v>233</v>
      </c>
      <c r="D35" s="88">
        <v>1</v>
      </c>
      <c r="E35" s="88">
        <f t="shared" si="10"/>
        <v>-1</v>
      </c>
      <c r="F35" s="88">
        <v>0</v>
      </c>
      <c r="G35" s="88"/>
      <c r="H35" s="88"/>
      <c r="I35" s="19"/>
      <c r="J35" s="3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>
      <c r="A36" s="5">
        <f t="shared" ref="A36" si="12">A35+1</f>
        <v>26</v>
      </c>
      <c r="B36" s="17" t="s">
        <v>154</v>
      </c>
      <c r="C36" s="17"/>
      <c r="D36" s="88">
        <v>86543</v>
      </c>
      <c r="E36" s="39">
        <f>F36-D36</f>
        <v>-86543</v>
      </c>
      <c r="F36" s="19">
        <v>0</v>
      </c>
      <c r="G36" s="19"/>
      <c r="H36" s="19">
        <v>152</v>
      </c>
      <c r="I36" s="93" t="s">
        <v>122</v>
      </c>
      <c r="J36" s="3">
        <f>SUM(K36:V36)/1000</f>
        <v>0</v>
      </c>
    </row>
    <row r="37" spans="1:22">
      <c r="A37" s="5">
        <f>A36+1</f>
        <v>27</v>
      </c>
      <c r="B37" t="s">
        <v>13</v>
      </c>
      <c r="D37" s="104">
        <f>SUM(D31:D36)</f>
        <v>82395</v>
      </c>
      <c r="E37" s="19">
        <f>F37-D37</f>
        <v>-81988</v>
      </c>
      <c r="F37" s="21">
        <f>SUM(F31:F36)</f>
        <v>407</v>
      </c>
      <c r="G37" s="19"/>
      <c r="H37" s="19"/>
      <c r="I37" s="19"/>
      <c r="J37" s="3">
        <f>SUM(K37:V37)/1000</f>
        <v>407.00000000000006</v>
      </c>
      <c r="K37" s="56">
        <f>SUM(K31:K36)</f>
        <v>33916.666666666664</v>
      </c>
      <c r="L37" s="56">
        <f t="shared" ref="L37:V37" si="13">SUM(L31:L36)</f>
        <v>33916.666666666664</v>
      </c>
      <c r="M37" s="56">
        <f t="shared" si="13"/>
        <v>33916.666666666664</v>
      </c>
      <c r="N37" s="56">
        <f t="shared" si="13"/>
        <v>33916.666666666664</v>
      </c>
      <c r="O37" s="56">
        <f t="shared" si="13"/>
        <v>33916.666666666664</v>
      </c>
      <c r="P37" s="56">
        <f t="shared" si="13"/>
        <v>33916.666666666664</v>
      </c>
      <c r="Q37" s="56">
        <f t="shared" si="13"/>
        <v>33916.666666666664</v>
      </c>
      <c r="R37" s="56">
        <f t="shared" si="13"/>
        <v>33916.666666666664</v>
      </c>
      <c r="S37" s="56">
        <f t="shared" si="13"/>
        <v>33916.666666666664</v>
      </c>
      <c r="T37" s="56">
        <f t="shared" si="13"/>
        <v>33916.666666666664</v>
      </c>
      <c r="U37" s="56">
        <f t="shared" si="13"/>
        <v>33916.666666666664</v>
      </c>
      <c r="V37" s="56">
        <f t="shared" si="13"/>
        <v>33916.666666666664</v>
      </c>
    </row>
    <row r="38" spans="1:22">
      <c r="A38" s="5"/>
      <c r="D38" s="19"/>
      <c r="E38" s="19"/>
      <c r="F38" s="19"/>
      <c r="G38" s="19"/>
      <c r="H38" s="19"/>
      <c r="I38" s="19"/>
      <c r="J38" s="3"/>
    </row>
    <row r="39" spans="1:22">
      <c r="A39" s="5"/>
      <c r="B39" s="7" t="s">
        <v>47</v>
      </c>
      <c r="D39" s="19"/>
      <c r="E39" s="19"/>
      <c r="F39" s="19"/>
      <c r="G39" s="19"/>
      <c r="H39" s="19">
        <v>78</v>
      </c>
      <c r="I39" s="19"/>
      <c r="J39" s="3"/>
    </row>
    <row r="40" spans="1:22">
      <c r="A40" s="5">
        <f>A37+1</f>
        <v>28</v>
      </c>
      <c r="B40" t="s">
        <v>45</v>
      </c>
      <c r="C40" s="13"/>
      <c r="D40" s="88">
        <v>6231</v>
      </c>
      <c r="E40" s="19">
        <f>F40-D40</f>
        <v>-762.07525897026699</v>
      </c>
      <c r="F40" s="88">
        <f>'WGJ-4'!C27/1000</f>
        <v>5468.924741029733</v>
      </c>
      <c r="G40" s="88"/>
      <c r="H40" s="89">
        <v>0</v>
      </c>
      <c r="I40" s="93" t="s">
        <v>121</v>
      </c>
      <c r="J40" s="3">
        <f>SUM(K40:V40)/1000</f>
        <v>5468.924741029733</v>
      </c>
      <c r="K40" s="25">
        <f>'WGJ-4'!D27</f>
        <v>563944.72770690906</v>
      </c>
      <c r="L40" s="25">
        <f>'WGJ-4'!E27</f>
        <v>481397.09529876697</v>
      </c>
      <c r="M40" s="25">
        <f>'WGJ-4'!F27</f>
        <v>475423.15025329497</v>
      </c>
      <c r="N40" s="25">
        <f>'WGJ-4'!G27</f>
        <v>399959.8903656</v>
      </c>
      <c r="O40" s="25">
        <f>'WGJ-4'!H27</f>
        <v>289292.750549316</v>
      </c>
      <c r="P40" s="25">
        <f>'WGJ-4'!I27</f>
        <v>15654.236459731999</v>
      </c>
      <c r="Q40" s="25">
        <f>'WGJ-4'!J27</f>
        <v>418520.77522277803</v>
      </c>
      <c r="R40" s="25">
        <f>'WGJ-4'!K27</f>
        <v>554292.63610839797</v>
      </c>
      <c r="S40" s="25">
        <f>'WGJ-4'!L27</f>
        <v>563600.61264037993</v>
      </c>
      <c r="T40" s="25">
        <f>'WGJ-4'!M27</f>
        <v>557676.30691528297</v>
      </c>
      <c r="U40" s="25">
        <f>'WGJ-4'!N27</f>
        <v>549035.95046997</v>
      </c>
      <c r="V40" s="25">
        <f>'WGJ-4'!O27</f>
        <v>600126.60903930606</v>
      </c>
    </row>
    <row r="41" spans="1:22">
      <c r="A41" s="5">
        <f>A40+1</f>
        <v>29</v>
      </c>
      <c r="B41" t="s">
        <v>171</v>
      </c>
      <c r="C41" s="13"/>
      <c r="D41" s="90">
        <v>14</v>
      </c>
      <c r="E41" s="19">
        <f>F41-D41</f>
        <v>0</v>
      </c>
      <c r="F41" s="19">
        <v>14</v>
      </c>
      <c r="G41" s="19"/>
      <c r="H41" s="19">
        <v>78</v>
      </c>
      <c r="I41" s="19"/>
      <c r="J41" s="3">
        <f>SUM(K41:V41)/1000</f>
        <v>13.999999999999998</v>
      </c>
      <c r="K41" s="18">
        <f>$F41/12*1000</f>
        <v>1166.6666666666667</v>
      </c>
      <c r="L41" s="18">
        <f t="shared" ref="L41:V41" si="14">$F41/12*1000</f>
        <v>1166.6666666666667</v>
      </c>
      <c r="M41" s="18">
        <f t="shared" si="14"/>
        <v>1166.6666666666667</v>
      </c>
      <c r="N41" s="18">
        <f t="shared" si="14"/>
        <v>1166.6666666666667</v>
      </c>
      <c r="O41" s="18">
        <f t="shared" si="14"/>
        <v>1166.6666666666667</v>
      </c>
      <c r="P41" s="18">
        <f t="shared" si="14"/>
        <v>1166.6666666666667</v>
      </c>
      <c r="Q41" s="18">
        <f t="shared" si="14"/>
        <v>1166.6666666666667</v>
      </c>
      <c r="R41" s="18">
        <f t="shared" si="14"/>
        <v>1166.6666666666667</v>
      </c>
      <c r="S41" s="18">
        <f t="shared" si="14"/>
        <v>1166.6666666666667</v>
      </c>
      <c r="T41" s="18">
        <f t="shared" si="14"/>
        <v>1166.6666666666667</v>
      </c>
      <c r="U41" s="18">
        <f t="shared" si="14"/>
        <v>1166.6666666666667</v>
      </c>
      <c r="V41" s="18">
        <f t="shared" si="14"/>
        <v>1166.6666666666667</v>
      </c>
    </row>
    <row r="42" spans="1:22">
      <c r="A42" s="5">
        <f>A41+1</f>
        <v>30</v>
      </c>
      <c r="B42" s="12" t="s">
        <v>46</v>
      </c>
      <c r="C42" s="11"/>
      <c r="D42" s="88">
        <v>22168</v>
      </c>
      <c r="E42" s="19">
        <f>F42-D42</f>
        <v>1345.5637133326236</v>
      </c>
      <c r="F42" s="88">
        <f>'WGJ-4'!C23/1000</f>
        <v>23513.563713332624</v>
      </c>
      <c r="G42" s="88"/>
      <c r="H42" s="88"/>
      <c r="I42" s="93" t="s">
        <v>121</v>
      </c>
      <c r="J42" s="3">
        <f>SUM(K42:V42)/1000</f>
        <v>23513.563713332624</v>
      </c>
      <c r="K42" s="80">
        <f>'WGJ-4'!D23</f>
        <v>2072471.9850438018</v>
      </c>
      <c r="L42" s="80">
        <f>'WGJ-4'!E23</f>
        <v>1927609.4327824498</v>
      </c>
      <c r="M42" s="80">
        <f>'WGJ-4'!F23</f>
        <v>2051075.4373448268</v>
      </c>
      <c r="N42" s="80">
        <f>'WGJ-4'!G23</f>
        <v>1895315.9292118917</v>
      </c>
      <c r="O42" s="80">
        <f>'WGJ-4'!H23</f>
        <v>1703457.5265782245</v>
      </c>
      <c r="P42" s="80">
        <f>'WGJ-4'!I23</f>
        <v>1580391.7016880887</v>
      </c>
      <c r="Q42" s="80">
        <f>'WGJ-4'!J23</f>
        <v>1987604.6304600609</v>
      </c>
      <c r="R42" s="80">
        <f>'WGJ-4'!K23</f>
        <v>2059937.7004521266</v>
      </c>
      <c r="S42" s="80">
        <f>'WGJ-4'!L23</f>
        <v>2041763.0666630638</v>
      </c>
      <c r="T42" s="80">
        <f>'WGJ-4'!M23</f>
        <v>2078044.6622746368</v>
      </c>
      <c r="U42" s="80">
        <f>'WGJ-4'!N23</f>
        <v>2034885.0164311298</v>
      </c>
      <c r="V42" s="80">
        <f>'WGJ-4'!O23</f>
        <v>2081006.6244023219</v>
      </c>
    </row>
    <row r="43" spans="1:22">
      <c r="A43" s="5">
        <f>A42+1</f>
        <v>31</v>
      </c>
      <c r="B43" s="17" t="s">
        <v>190</v>
      </c>
      <c r="C43" s="40"/>
      <c r="D43" s="142">
        <v>229</v>
      </c>
      <c r="E43" s="39">
        <f>F43-D43</f>
        <v>0</v>
      </c>
      <c r="F43" s="89">
        <v>229</v>
      </c>
      <c r="G43" s="19"/>
      <c r="H43" s="19"/>
      <c r="I43" s="19"/>
      <c r="J43" s="3">
        <f>SUM(K43:V43)/1000</f>
        <v>229.00000000000003</v>
      </c>
      <c r="K43" s="105">
        <f>$F43/12*1000</f>
        <v>19083.333333333332</v>
      </c>
      <c r="L43" s="105">
        <f t="shared" ref="L43:V43" si="15">$F43/12*1000</f>
        <v>19083.333333333332</v>
      </c>
      <c r="M43" s="105">
        <f t="shared" si="15"/>
        <v>19083.333333333332</v>
      </c>
      <c r="N43" s="105">
        <f t="shared" si="15"/>
        <v>19083.333333333332</v>
      </c>
      <c r="O43" s="105">
        <f t="shared" si="15"/>
        <v>19083.333333333332</v>
      </c>
      <c r="P43" s="105">
        <f t="shared" si="15"/>
        <v>19083.333333333332</v>
      </c>
      <c r="Q43" s="105">
        <f t="shared" si="15"/>
        <v>19083.333333333332</v>
      </c>
      <c r="R43" s="105">
        <f t="shared" si="15"/>
        <v>19083.333333333332</v>
      </c>
      <c r="S43" s="105">
        <f t="shared" si="15"/>
        <v>19083.333333333332</v>
      </c>
      <c r="T43" s="105">
        <f t="shared" si="15"/>
        <v>19083.333333333332</v>
      </c>
      <c r="U43" s="105">
        <f t="shared" si="15"/>
        <v>19083.333333333332</v>
      </c>
      <c r="V43" s="105">
        <f t="shared" si="15"/>
        <v>19083.333333333332</v>
      </c>
    </row>
    <row r="44" spans="1:22">
      <c r="A44" s="11">
        <f>A43+1</f>
        <v>32</v>
      </c>
      <c r="B44" t="s">
        <v>22</v>
      </c>
      <c r="D44" s="88">
        <f>SUM(D40:D43)</f>
        <v>28642</v>
      </c>
      <c r="E44" s="19">
        <f>F44-D44</f>
        <v>583.4884543623557</v>
      </c>
      <c r="F44" s="19">
        <f>SUM(F40:F43)</f>
        <v>29225.488454362356</v>
      </c>
      <c r="G44" s="19"/>
      <c r="H44" s="19">
        <v>8095.4688974966612</v>
      </c>
      <c r="I44" s="19"/>
      <c r="J44" s="3">
        <f>SUM(K44:V44)/1000</f>
        <v>29225.488454362359</v>
      </c>
      <c r="K44" s="25">
        <f>SUM(K40:K43)</f>
        <v>2656666.712750711</v>
      </c>
      <c r="L44" s="25">
        <f t="shared" ref="L44:V44" si="16">SUM(L40:L43)</f>
        <v>2429256.5280812168</v>
      </c>
      <c r="M44" s="25">
        <f t="shared" si="16"/>
        <v>2546748.5875981217</v>
      </c>
      <c r="N44" s="25">
        <f t="shared" si="16"/>
        <v>2315525.8195774918</v>
      </c>
      <c r="O44" s="25">
        <f t="shared" si="16"/>
        <v>2013000.2771275404</v>
      </c>
      <c r="P44" s="25">
        <f t="shared" si="16"/>
        <v>1616295.9381478205</v>
      </c>
      <c r="Q44" s="25">
        <f t="shared" si="16"/>
        <v>2426375.405682839</v>
      </c>
      <c r="R44" s="25">
        <f t="shared" si="16"/>
        <v>2634480.3365605245</v>
      </c>
      <c r="S44" s="25">
        <f t="shared" si="16"/>
        <v>2625613.679303444</v>
      </c>
      <c r="T44" s="25">
        <f t="shared" si="16"/>
        <v>2655970.96918992</v>
      </c>
      <c r="U44" s="25">
        <f t="shared" si="16"/>
        <v>2604170.9669010998</v>
      </c>
      <c r="V44" s="25">
        <f t="shared" si="16"/>
        <v>2701383.2334416281</v>
      </c>
    </row>
    <row r="45" spans="1:22">
      <c r="A45" s="5"/>
      <c r="D45" s="19"/>
      <c r="E45" s="19"/>
      <c r="F45" s="19"/>
      <c r="G45" s="19"/>
      <c r="H45" s="19">
        <v>0</v>
      </c>
      <c r="I45" s="19"/>
      <c r="J45" s="3"/>
    </row>
    <row r="46" spans="1:22">
      <c r="A46" s="5"/>
      <c r="B46" s="7" t="s">
        <v>48</v>
      </c>
      <c r="D46" s="19"/>
      <c r="E46" s="19"/>
      <c r="F46" s="19"/>
      <c r="G46" s="19"/>
      <c r="H46" s="19">
        <v>10682.990036010742</v>
      </c>
      <c r="I46" s="19"/>
      <c r="J46" s="3"/>
    </row>
    <row r="47" spans="1:22">
      <c r="A47" s="5">
        <f>A44+1</f>
        <v>33</v>
      </c>
      <c r="B47" s="16" t="s">
        <v>57</v>
      </c>
      <c r="D47" s="88">
        <v>42752</v>
      </c>
      <c r="E47" s="19">
        <f t="shared" ref="E47:E57" si="17">F47-D47</f>
        <v>-7642.564281818326</v>
      </c>
      <c r="F47" s="88">
        <f>'WGJ-4'!C31/1000</f>
        <v>35109.435718181674</v>
      </c>
      <c r="G47" s="88"/>
      <c r="H47" s="89">
        <v>188</v>
      </c>
      <c r="I47" s="93" t="s">
        <v>121</v>
      </c>
      <c r="J47" s="3">
        <f t="shared" ref="J47:J57" si="18">SUM(K47:V47)/1000</f>
        <v>35109.435718181674</v>
      </c>
      <c r="K47" s="25">
        <f>'WGJ-4'!D31</f>
        <v>3912754.2232421404</v>
      </c>
      <c r="L47" s="25">
        <f>'WGJ-4'!E31</f>
        <v>3151626.2165694116</v>
      </c>
      <c r="M47" s="25">
        <f>'WGJ-4'!F31</f>
        <v>3349033.1939916951</v>
      </c>
      <c r="N47" s="25">
        <f>'WGJ-4'!G31</f>
        <v>2322855.4371337607</v>
      </c>
      <c r="O47" s="25">
        <f>'WGJ-4'!H31</f>
        <v>1371668.786784152</v>
      </c>
      <c r="P47" s="25">
        <f>'WGJ-4'!I31</f>
        <v>866875.4244879235</v>
      </c>
      <c r="Q47" s="25">
        <f>'WGJ-4'!J31</f>
        <v>2426949.4677620521</v>
      </c>
      <c r="R47" s="25">
        <f>'WGJ-4'!K31</f>
        <v>3294625.0499735642</v>
      </c>
      <c r="S47" s="25">
        <f>'WGJ-4'!L31</f>
        <v>3364610.7474835087</v>
      </c>
      <c r="T47" s="25">
        <f>'WGJ-4'!M31</f>
        <v>3292024.4895748389</v>
      </c>
      <c r="U47" s="25">
        <f>'WGJ-4'!N31</f>
        <v>3477660.6980995308</v>
      </c>
      <c r="V47" s="25">
        <f>'WGJ-4'!O31</f>
        <v>4278751.9830791047</v>
      </c>
    </row>
    <row r="48" spans="1:22">
      <c r="A48" s="5">
        <f>A47+1</f>
        <v>34</v>
      </c>
      <c r="B48" s="16" t="s">
        <v>178</v>
      </c>
      <c r="D48" s="88">
        <v>6247</v>
      </c>
      <c r="E48" s="19">
        <f t="shared" si="17"/>
        <v>889</v>
      </c>
      <c r="F48" s="88">
        <v>7136</v>
      </c>
      <c r="G48" s="19"/>
      <c r="H48" s="19">
        <v>18966.458933507405</v>
      </c>
      <c r="I48" s="19"/>
      <c r="J48" s="3">
        <f t="shared" si="18"/>
        <v>7136.0000000000009</v>
      </c>
      <c r="K48" s="81">
        <f>$F48/12*1000</f>
        <v>594666.66666666663</v>
      </c>
      <c r="L48" s="81">
        <f t="shared" ref="L48:V48" si="19">$F48/12*1000</f>
        <v>594666.66666666663</v>
      </c>
      <c r="M48" s="81">
        <f t="shared" si="19"/>
        <v>594666.66666666663</v>
      </c>
      <c r="N48" s="81">
        <f t="shared" si="19"/>
        <v>594666.66666666663</v>
      </c>
      <c r="O48" s="81">
        <f t="shared" si="19"/>
        <v>594666.66666666663</v>
      </c>
      <c r="P48" s="81">
        <f t="shared" si="19"/>
        <v>594666.66666666663</v>
      </c>
      <c r="Q48" s="81">
        <f t="shared" si="19"/>
        <v>594666.66666666663</v>
      </c>
      <c r="R48" s="81">
        <f t="shared" si="19"/>
        <v>594666.66666666663</v>
      </c>
      <c r="S48" s="81">
        <f t="shared" si="19"/>
        <v>594666.66666666663</v>
      </c>
      <c r="T48" s="81">
        <f t="shared" si="19"/>
        <v>594666.66666666663</v>
      </c>
      <c r="U48" s="81">
        <f t="shared" si="19"/>
        <v>594666.66666666663</v>
      </c>
      <c r="V48" s="81">
        <f t="shared" si="19"/>
        <v>594666.66666666663</v>
      </c>
    </row>
    <row r="49" spans="1:22">
      <c r="A49" s="5">
        <f t="shared" ref="A49:A58" si="20">A48+1</f>
        <v>35</v>
      </c>
      <c r="B49" s="16" t="s">
        <v>164</v>
      </c>
      <c r="D49" s="88">
        <v>33676</v>
      </c>
      <c r="E49" s="19">
        <f t="shared" si="17"/>
        <v>-1265.061678197133</v>
      </c>
      <c r="F49" s="88">
        <f>'WGJ-4'!C35/1000</f>
        <v>32410.938321802867</v>
      </c>
      <c r="G49" s="19"/>
      <c r="H49" s="19"/>
      <c r="I49" s="19"/>
      <c r="J49" s="3">
        <f t="shared" si="18"/>
        <v>32410.938321802867</v>
      </c>
      <c r="K49" s="81">
        <f>'WGJ-4'!D35</f>
        <v>3691599.136372</v>
      </c>
      <c r="L49" s="81">
        <f>'WGJ-4'!E35</f>
        <v>2940952.456096665</v>
      </c>
      <c r="M49" s="81">
        <f>'WGJ-4'!F35</f>
        <v>3148424.67326209</v>
      </c>
      <c r="N49" s="81">
        <f>'WGJ-4'!G35</f>
        <v>2222690.1716095814</v>
      </c>
      <c r="O49" s="81">
        <f>'WGJ-4'!H35</f>
        <v>1264540.2657170147</v>
      </c>
      <c r="P49" s="81">
        <f>'WGJ-4'!I35</f>
        <v>896608.53242968465</v>
      </c>
      <c r="Q49" s="81">
        <f>'WGJ-4'!J35</f>
        <v>2120761.4816806205</v>
      </c>
      <c r="R49" s="81">
        <f>'WGJ-4'!K35</f>
        <v>2819149.6793990224</v>
      </c>
      <c r="S49" s="81">
        <f>'WGJ-4'!L35</f>
        <v>2936904.8125248998</v>
      </c>
      <c r="T49" s="81">
        <f>'WGJ-4'!M35</f>
        <v>3122452.1307323161</v>
      </c>
      <c r="U49" s="81">
        <f>'WGJ-4'!N35</f>
        <v>3277819.7112992764</v>
      </c>
      <c r="V49" s="81">
        <f>'WGJ-4'!O35</f>
        <v>3969035.2706796946</v>
      </c>
    </row>
    <row r="50" spans="1:22">
      <c r="A50" s="5">
        <f t="shared" si="20"/>
        <v>36</v>
      </c>
      <c r="B50" s="16" t="s">
        <v>177</v>
      </c>
      <c r="D50" s="88">
        <v>5409</v>
      </c>
      <c r="E50" s="19">
        <f t="shared" si="17"/>
        <v>386</v>
      </c>
      <c r="F50" s="88">
        <v>5795</v>
      </c>
      <c r="G50" s="19"/>
      <c r="H50" s="19"/>
      <c r="I50" s="19"/>
      <c r="J50" s="3">
        <f t="shared" si="18"/>
        <v>5795.0000000000009</v>
      </c>
      <c r="K50" s="81">
        <f>$F50/12*1000</f>
        <v>482916.66666666669</v>
      </c>
      <c r="L50" s="81">
        <f t="shared" ref="L50:V50" si="21">$F50/12*1000</f>
        <v>482916.66666666669</v>
      </c>
      <c r="M50" s="81">
        <f t="shared" si="21"/>
        <v>482916.66666666669</v>
      </c>
      <c r="N50" s="81">
        <f t="shared" si="21"/>
        <v>482916.66666666669</v>
      </c>
      <c r="O50" s="81">
        <f t="shared" si="21"/>
        <v>482916.66666666669</v>
      </c>
      <c r="P50" s="81">
        <f t="shared" si="21"/>
        <v>482916.66666666669</v>
      </c>
      <c r="Q50" s="81">
        <f t="shared" si="21"/>
        <v>482916.66666666669</v>
      </c>
      <c r="R50" s="81">
        <f t="shared" si="21"/>
        <v>482916.66666666669</v>
      </c>
      <c r="S50" s="81">
        <f t="shared" si="21"/>
        <v>482916.66666666669</v>
      </c>
      <c r="T50" s="81">
        <f t="shared" si="21"/>
        <v>482916.66666666669</v>
      </c>
      <c r="U50" s="81">
        <f t="shared" si="21"/>
        <v>482916.66666666669</v>
      </c>
      <c r="V50" s="81">
        <f t="shared" si="21"/>
        <v>482916.66666666669</v>
      </c>
    </row>
    <row r="51" spans="1:22">
      <c r="A51" s="5">
        <f t="shared" si="20"/>
        <v>37</v>
      </c>
      <c r="B51" t="s">
        <v>183</v>
      </c>
      <c r="D51" s="88">
        <v>0</v>
      </c>
      <c r="E51" s="19">
        <f t="shared" si="17"/>
        <v>1876</v>
      </c>
      <c r="F51" s="128">
        <v>1876</v>
      </c>
      <c r="G51" s="19"/>
      <c r="H51" s="19"/>
      <c r="I51" s="19"/>
      <c r="J51" s="3">
        <f t="shared" si="18"/>
        <v>1876.0520000000001</v>
      </c>
      <c r="K51" s="81">
        <f>1876052/12</f>
        <v>156337.66666666666</v>
      </c>
      <c r="L51" s="81">
        <f t="shared" ref="L51:V51" si="22">1876052/12</f>
        <v>156337.66666666666</v>
      </c>
      <c r="M51" s="81">
        <f t="shared" si="22"/>
        <v>156337.66666666666</v>
      </c>
      <c r="N51" s="81">
        <f t="shared" si="22"/>
        <v>156337.66666666666</v>
      </c>
      <c r="O51" s="81">
        <f t="shared" si="22"/>
        <v>156337.66666666666</v>
      </c>
      <c r="P51" s="81">
        <f t="shared" si="22"/>
        <v>156337.66666666666</v>
      </c>
      <c r="Q51" s="81">
        <f t="shared" si="22"/>
        <v>156337.66666666666</v>
      </c>
      <c r="R51" s="81">
        <f t="shared" si="22"/>
        <v>156337.66666666666</v>
      </c>
      <c r="S51" s="81">
        <f t="shared" si="22"/>
        <v>156337.66666666666</v>
      </c>
      <c r="T51" s="81">
        <f t="shared" si="22"/>
        <v>156337.66666666666</v>
      </c>
      <c r="U51" s="81">
        <f t="shared" si="22"/>
        <v>156337.66666666666</v>
      </c>
      <c r="V51" s="81">
        <f t="shared" si="22"/>
        <v>156337.66666666666</v>
      </c>
    </row>
    <row r="52" spans="1:22">
      <c r="A52" s="5">
        <f t="shared" si="20"/>
        <v>38</v>
      </c>
      <c r="B52" t="s">
        <v>208</v>
      </c>
      <c r="D52" s="88">
        <v>0</v>
      </c>
      <c r="E52" s="19">
        <f t="shared" si="17"/>
        <v>-9000</v>
      </c>
      <c r="F52" s="88">
        <v>-9000</v>
      </c>
      <c r="G52" s="19"/>
      <c r="H52" s="19"/>
      <c r="I52" s="19"/>
      <c r="J52" s="3">
        <f t="shared" si="18"/>
        <v>-9000</v>
      </c>
      <c r="K52" s="81">
        <f>$F52*1000/12</f>
        <v>-750000</v>
      </c>
      <c r="L52" s="81">
        <f t="shared" ref="L52:V52" si="23">$F52*1000/12</f>
        <v>-750000</v>
      </c>
      <c r="M52" s="81">
        <f t="shared" si="23"/>
        <v>-750000</v>
      </c>
      <c r="N52" s="81">
        <f t="shared" si="23"/>
        <v>-750000</v>
      </c>
      <c r="O52" s="81">
        <f t="shared" si="23"/>
        <v>-750000</v>
      </c>
      <c r="P52" s="81">
        <f t="shared" si="23"/>
        <v>-750000</v>
      </c>
      <c r="Q52" s="81">
        <f t="shared" si="23"/>
        <v>-750000</v>
      </c>
      <c r="R52" s="81">
        <f t="shared" si="23"/>
        <v>-750000</v>
      </c>
      <c r="S52" s="81">
        <f t="shared" si="23"/>
        <v>-750000</v>
      </c>
      <c r="T52" s="81">
        <f t="shared" si="23"/>
        <v>-750000</v>
      </c>
      <c r="U52" s="81">
        <f t="shared" si="23"/>
        <v>-750000</v>
      </c>
      <c r="V52" s="81">
        <f t="shared" si="23"/>
        <v>-750000</v>
      </c>
    </row>
    <row r="53" spans="1:22">
      <c r="A53" s="5">
        <f t="shared" si="20"/>
        <v>39</v>
      </c>
      <c r="B53" t="s">
        <v>188</v>
      </c>
      <c r="D53" s="88">
        <v>53</v>
      </c>
      <c r="E53" s="19">
        <f t="shared" si="17"/>
        <v>0</v>
      </c>
      <c r="F53" s="128">
        <v>53</v>
      </c>
      <c r="G53" s="19"/>
      <c r="H53" s="19"/>
      <c r="I53" s="19"/>
      <c r="J53" s="3">
        <f t="shared" si="18"/>
        <v>52.999999999999993</v>
      </c>
      <c r="K53" s="130">
        <f>53000/12</f>
        <v>4416.666666666667</v>
      </c>
      <c r="L53" s="130">
        <f t="shared" ref="L53:V53" si="24">53000/12</f>
        <v>4416.666666666667</v>
      </c>
      <c r="M53" s="130">
        <f t="shared" si="24"/>
        <v>4416.666666666667</v>
      </c>
      <c r="N53" s="130">
        <f t="shared" si="24"/>
        <v>4416.666666666667</v>
      </c>
      <c r="O53" s="130">
        <f t="shared" si="24"/>
        <v>4416.666666666667</v>
      </c>
      <c r="P53" s="130">
        <f t="shared" si="24"/>
        <v>4416.666666666667</v>
      </c>
      <c r="Q53" s="130">
        <f t="shared" si="24"/>
        <v>4416.666666666667</v>
      </c>
      <c r="R53" s="130">
        <f t="shared" si="24"/>
        <v>4416.666666666667</v>
      </c>
      <c r="S53" s="130">
        <f t="shared" si="24"/>
        <v>4416.666666666667</v>
      </c>
      <c r="T53" s="130">
        <f t="shared" si="24"/>
        <v>4416.666666666667</v>
      </c>
      <c r="U53" s="130">
        <f t="shared" si="24"/>
        <v>4416.666666666667</v>
      </c>
      <c r="V53" s="130">
        <f t="shared" si="24"/>
        <v>4416.666666666667</v>
      </c>
    </row>
    <row r="54" spans="1:22">
      <c r="A54" s="5">
        <f t="shared" si="20"/>
        <v>40</v>
      </c>
      <c r="B54" s="12" t="s">
        <v>61</v>
      </c>
      <c r="C54" s="12"/>
      <c r="D54" s="88">
        <v>1832</v>
      </c>
      <c r="E54" s="19">
        <f t="shared" si="17"/>
        <v>195.46160918954752</v>
      </c>
      <c r="F54" s="88">
        <f>'WGJ-4'!C47/1000</f>
        <v>2027.4616091895475</v>
      </c>
      <c r="G54" s="88"/>
      <c r="H54" s="88"/>
      <c r="I54" s="93" t="s">
        <v>121</v>
      </c>
      <c r="J54" s="3">
        <f t="shared" si="18"/>
        <v>2027.4616091895475</v>
      </c>
      <c r="K54" s="25">
        <f>'WGJ-4'!D47</f>
        <v>118963.08623099315</v>
      </c>
      <c r="L54" s="25">
        <f>'WGJ-4'!E47</f>
        <v>80117.031277942602</v>
      </c>
      <c r="M54" s="25">
        <f>'WGJ-4'!F47</f>
        <v>6006.8128417968601</v>
      </c>
      <c r="N54" s="25">
        <f>'WGJ-4'!G47</f>
        <v>3664.5131330489976</v>
      </c>
      <c r="O54" s="25">
        <f>'WGJ-4'!H47</f>
        <v>2344.080625963205</v>
      </c>
      <c r="P54" s="25">
        <f>'WGJ-4'!I47</f>
        <v>52685.613557696313</v>
      </c>
      <c r="Q54" s="25">
        <f>'WGJ-4'!J47</f>
        <v>312156.6140420608</v>
      </c>
      <c r="R54" s="25">
        <f>'WGJ-4'!K47</f>
        <v>701245.6624404894</v>
      </c>
      <c r="S54" s="25">
        <f>'WGJ-4'!L47</f>
        <v>249302.71271274021</v>
      </c>
      <c r="T54" s="25">
        <f>'WGJ-4'!M47</f>
        <v>45095.798382163004</v>
      </c>
      <c r="U54" s="25">
        <f>'WGJ-4'!N47</f>
        <v>107324.47718596447</v>
      </c>
      <c r="V54" s="25">
        <f>'WGJ-4'!O47</f>
        <v>348555.20675868879</v>
      </c>
    </row>
    <row r="55" spans="1:22">
      <c r="A55" s="5">
        <f t="shared" si="20"/>
        <v>41</v>
      </c>
      <c r="B55" t="s">
        <v>60</v>
      </c>
      <c r="D55" s="88">
        <v>50</v>
      </c>
      <c r="E55" s="19">
        <f t="shared" si="17"/>
        <v>80.166682899743108</v>
      </c>
      <c r="F55" s="88">
        <f>'WGJ-4'!C51/1000</f>
        <v>130.16668289974311</v>
      </c>
      <c r="G55" s="88"/>
      <c r="H55" s="88"/>
      <c r="I55" s="93" t="s">
        <v>121</v>
      </c>
      <c r="J55" s="3">
        <f t="shared" si="18"/>
        <v>130.16668289974311</v>
      </c>
      <c r="K55" s="25">
        <f>'WGJ-4'!D51</f>
        <v>5922.2077637910807</v>
      </c>
      <c r="L55" s="25">
        <f>'WGJ-4'!E51</f>
        <v>3697.2898483276203</v>
      </c>
      <c r="M55" s="25">
        <f>'WGJ-4'!F51</f>
        <v>0</v>
      </c>
      <c r="N55" s="25">
        <f>'WGJ-4'!G51</f>
        <v>0</v>
      </c>
      <c r="O55" s="25">
        <f>'WGJ-4'!H51</f>
        <v>0</v>
      </c>
      <c r="P55" s="25">
        <f>'WGJ-4'!I51</f>
        <v>4699.5632410049402</v>
      </c>
      <c r="Q55" s="25">
        <f>'WGJ-4'!J51</f>
        <v>16278.33171188831</v>
      </c>
      <c r="R55" s="25">
        <f>'WGJ-4'!K51</f>
        <v>70579.886247217495</v>
      </c>
      <c r="S55" s="25">
        <f>'WGJ-4'!L51</f>
        <v>10112.445612251751</v>
      </c>
      <c r="T55" s="25">
        <f>'WGJ-4'!M51</f>
        <v>824.82577040791409</v>
      </c>
      <c r="U55" s="25">
        <f>'WGJ-4'!N51</f>
        <v>1589.6598786115642</v>
      </c>
      <c r="V55" s="25">
        <f>'WGJ-4'!O51</f>
        <v>16462.47282624244</v>
      </c>
    </row>
    <row r="56" spans="1:22">
      <c r="A56" s="5">
        <f t="shared" si="20"/>
        <v>42</v>
      </c>
      <c r="B56" t="s">
        <v>58</v>
      </c>
      <c r="D56" s="88">
        <v>613</v>
      </c>
      <c r="E56" s="19">
        <f t="shared" si="17"/>
        <v>188.07837331630117</v>
      </c>
      <c r="F56" s="88">
        <f>'WGJ-4'!C39/1000</f>
        <v>801.07837331630117</v>
      </c>
      <c r="G56" s="88"/>
      <c r="H56" s="88">
        <v>59394.366704579188</v>
      </c>
      <c r="I56" s="93" t="s">
        <v>121</v>
      </c>
      <c r="J56" s="3">
        <f t="shared" si="18"/>
        <v>801.07837331630117</v>
      </c>
      <c r="K56" s="25">
        <f>'WGJ-4'!D39</f>
        <v>77045.542311668396</v>
      </c>
      <c r="L56" s="25">
        <f>'WGJ-4'!E39</f>
        <v>44262.278789281801</v>
      </c>
      <c r="M56" s="25">
        <f>'WGJ-4'!F39</f>
        <v>32825.655031204202</v>
      </c>
      <c r="N56" s="25">
        <f>'WGJ-4'!G39</f>
        <v>17862.1154733002</v>
      </c>
      <c r="O56" s="25">
        <f>'WGJ-4'!H39</f>
        <v>10943.5888539999</v>
      </c>
      <c r="P56" s="25">
        <f>'WGJ-4'!I39</f>
        <v>22623.347054421898</v>
      </c>
      <c r="Q56" s="25">
        <f>'WGJ-4'!J39</f>
        <v>107305.66711425701</v>
      </c>
      <c r="R56" s="25">
        <f>'WGJ-4'!K39</f>
        <v>146979.28237914998</v>
      </c>
      <c r="S56" s="25">
        <f>'WGJ-4'!L39</f>
        <v>89984.589350223498</v>
      </c>
      <c r="T56" s="25">
        <f>'WGJ-4'!M39</f>
        <v>39479.195079207399</v>
      </c>
      <c r="U56" s="25">
        <f>'WGJ-4'!N39</f>
        <v>81701.994854211807</v>
      </c>
      <c r="V56" s="25">
        <f>'WGJ-4'!O39</f>
        <v>130065.117025375</v>
      </c>
    </row>
    <row r="57" spans="1:22">
      <c r="A57" s="5">
        <f t="shared" si="20"/>
        <v>43</v>
      </c>
      <c r="B57" s="103" t="s">
        <v>59</v>
      </c>
      <c r="C57" s="17"/>
      <c r="D57" s="89">
        <v>156</v>
      </c>
      <c r="E57" s="39">
        <f t="shared" si="17"/>
        <v>88.388035152852211</v>
      </c>
      <c r="F57" s="89">
        <f>'WGJ-4'!C43/1000</f>
        <v>244.38803515285221</v>
      </c>
      <c r="G57" s="88"/>
      <c r="H57" s="88">
        <v>6240</v>
      </c>
      <c r="I57" s="93" t="s">
        <v>121</v>
      </c>
      <c r="J57" s="84">
        <f t="shared" si="18"/>
        <v>244.38803515285221</v>
      </c>
      <c r="K57" s="120">
        <f>'WGJ-4'!D43</f>
        <v>15011.5569785237</v>
      </c>
      <c r="L57" s="120">
        <f>'WGJ-4'!E43</f>
        <v>10020.820826292</v>
      </c>
      <c r="M57" s="120">
        <f>'WGJ-4'!F43</f>
        <v>3009.3554474413299</v>
      </c>
      <c r="N57" s="120">
        <f>'WGJ-4'!G43</f>
        <v>1478.31971347332</v>
      </c>
      <c r="O57" s="120">
        <f>'WGJ-4'!H43</f>
        <v>1562.7778384834501</v>
      </c>
      <c r="P57" s="120">
        <f>'WGJ-4'!I43</f>
        <v>8094.1903095692296</v>
      </c>
      <c r="Q57" s="120">
        <f>'WGJ-4'!J43</f>
        <v>35334.506844729098</v>
      </c>
      <c r="R57" s="120">
        <f>'WGJ-4'!K43</f>
        <v>61424.9718248844</v>
      </c>
      <c r="S57" s="120">
        <f>'WGJ-4'!L43</f>
        <v>34283.374915271997</v>
      </c>
      <c r="T57" s="120">
        <f>'WGJ-4'!M43</f>
        <v>11626.196282356901</v>
      </c>
      <c r="U57" s="120">
        <f>'WGJ-4'!N43</f>
        <v>20357.256922125798</v>
      </c>
      <c r="V57" s="120">
        <f>'WGJ-4'!O43</f>
        <v>42184.707249701001</v>
      </c>
    </row>
    <row r="58" spans="1:22">
      <c r="A58" s="5">
        <f t="shared" si="20"/>
        <v>44</v>
      </c>
      <c r="B58" t="s">
        <v>44</v>
      </c>
      <c r="D58" s="88">
        <f>SUM(D47:D57)</f>
        <v>90788</v>
      </c>
      <c r="E58" s="19">
        <f>F58-D58</f>
        <v>-14204.531259457028</v>
      </c>
      <c r="F58" s="19">
        <f>SUM(F47:F57)</f>
        <v>76583.468740542972</v>
      </c>
      <c r="G58" s="19"/>
      <c r="H58" s="19">
        <v>0.11360950271288535</v>
      </c>
      <c r="I58" s="19"/>
      <c r="J58" s="3">
        <f t="shared" ref="J58:V58" si="25">SUM(J47:J57)</f>
        <v>76583.520740542968</v>
      </c>
      <c r="K58" s="25">
        <f t="shared" si="25"/>
        <v>8309633.4195657829</v>
      </c>
      <c r="L58" s="25">
        <f t="shared" si="25"/>
        <v>6719013.7600745875</v>
      </c>
      <c r="M58" s="25">
        <f t="shared" si="25"/>
        <v>7027637.3572408957</v>
      </c>
      <c r="N58" s="25">
        <f t="shared" si="25"/>
        <v>5056888.2237298321</v>
      </c>
      <c r="O58" s="25">
        <f t="shared" si="25"/>
        <v>3139397.1664862796</v>
      </c>
      <c r="P58" s="25">
        <f t="shared" si="25"/>
        <v>2339924.3377469671</v>
      </c>
      <c r="Q58" s="25">
        <f t="shared" si="25"/>
        <v>5507123.7358222753</v>
      </c>
      <c r="R58" s="25">
        <f t="shared" si="25"/>
        <v>7582342.1989309955</v>
      </c>
      <c r="S58" s="25">
        <f t="shared" si="25"/>
        <v>7173536.3492655633</v>
      </c>
      <c r="T58" s="25">
        <f t="shared" si="25"/>
        <v>6999840.3024879573</v>
      </c>
      <c r="U58" s="25">
        <f t="shared" si="25"/>
        <v>7454791.464906388</v>
      </c>
      <c r="V58" s="25">
        <f t="shared" si="25"/>
        <v>9273392.4242854733</v>
      </c>
    </row>
    <row r="59" spans="1:22">
      <c r="A59" s="5"/>
      <c r="D59" s="19"/>
      <c r="E59" s="19"/>
      <c r="F59" s="19"/>
      <c r="G59" s="19"/>
      <c r="H59" s="19">
        <v>3237.8010523088278</v>
      </c>
      <c r="I59" s="19"/>
      <c r="J59" s="3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>
      <c r="A60" s="5"/>
      <c r="D60" s="19"/>
      <c r="E60" s="19"/>
      <c r="F60" s="19"/>
      <c r="G60" s="19"/>
      <c r="H60" s="19"/>
      <c r="I60" s="19"/>
      <c r="J60" s="3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>
      <c r="A61" s="5"/>
      <c r="D61" s="19"/>
      <c r="E61" s="19"/>
      <c r="F61" s="19"/>
      <c r="G61" s="19"/>
      <c r="H61" s="19">
        <v>592.63582339628294</v>
      </c>
      <c r="I61" s="19"/>
      <c r="J61" s="3"/>
    </row>
    <row r="62" spans="1:22">
      <c r="A62" s="5"/>
      <c r="B62" s="7" t="s">
        <v>10</v>
      </c>
      <c r="D62" s="19"/>
      <c r="E62" s="19" t="s">
        <v>9</v>
      </c>
      <c r="F62" s="19"/>
      <c r="G62" s="19"/>
      <c r="H62" s="39">
        <v>480</v>
      </c>
      <c r="I62" s="19"/>
      <c r="J62" s="3"/>
    </row>
    <row r="63" spans="1:22">
      <c r="A63" s="5">
        <f>A58+1</f>
        <v>45</v>
      </c>
      <c r="B63" t="s">
        <v>5</v>
      </c>
      <c r="C63" s="12"/>
      <c r="D63" s="88">
        <v>894</v>
      </c>
      <c r="E63" s="19">
        <f t="shared" ref="E63:E71" si="26">F63-D63</f>
        <v>49</v>
      </c>
      <c r="F63" s="88">
        <v>943</v>
      </c>
      <c r="G63" s="19"/>
      <c r="H63" s="19">
        <v>70026.232758276092</v>
      </c>
      <c r="I63" s="19"/>
      <c r="J63" s="3">
        <f t="shared" ref="J63:J72" si="27">SUM(K63:V63)/1000</f>
        <v>943.00000000000011</v>
      </c>
      <c r="K63" s="56">
        <f>$F63*1000/12</f>
        <v>78583.333333333328</v>
      </c>
      <c r="L63" s="56">
        <f t="shared" ref="L63:V64" si="28">$F63*1000/12</f>
        <v>78583.333333333328</v>
      </c>
      <c r="M63" s="56">
        <f t="shared" si="28"/>
        <v>78583.333333333328</v>
      </c>
      <c r="N63" s="56">
        <f t="shared" si="28"/>
        <v>78583.333333333328</v>
      </c>
      <c r="O63" s="56">
        <f t="shared" si="28"/>
        <v>78583.333333333328</v>
      </c>
      <c r="P63" s="56">
        <f t="shared" si="28"/>
        <v>78583.333333333328</v>
      </c>
      <c r="Q63" s="56">
        <f t="shared" si="28"/>
        <v>78583.333333333328</v>
      </c>
      <c r="R63" s="56">
        <f t="shared" si="28"/>
        <v>78583.333333333328</v>
      </c>
      <c r="S63" s="56">
        <f t="shared" si="28"/>
        <v>78583.333333333328</v>
      </c>
      <c r="T63" s="56">
        <f t="shared" si="28"/>
        <v>78583.333333333328</v>
      </c>
      <c r="U63" s="56">
        <f t="shared" si="28"/>
        <v>78583.333333333328</v>
      </c>
      <c r="V63" s="56">
        <f t="shared" si="28"/>
        <v>78583.333333333328</v>
      </c>
    </row>
    <row r="64" spans="1:22">
      <c r="A64" s="5">
        <f>A63+1</f>
        <v>46</v>
      </c>
      <c r="B64" t="s">
        <v>221</v>
      </c>
      <c r="D64" s="88">
        <f>136+2</f>
        <v>138</v>
      </c>
      <c r="E64" s="19">
        <f t="shared" si="26"/>
        <v>0</v>
      </c>
      <c r="F64" s="88">
        <v>138</v>
      </c>
      <c r="G64" s="19"/>
      <c r="H64" s="19"/>
      <c r="I64" s="19"/>
      <c r="J64" s="3">
        <f t="shared" si="27"/>
        <v>138</v>
      </c>
      <c r="K64" s="56">
        <f>$F64*1000/12</f>
        <v>11500</v>
      </c>
      <c r="L64" s="56">
        <f t="shared" si="28"/>
        <v>11500</v>
      </c>
      <c r="M64" s="56">
        <f t="shared" si="28"/>
        <v>11500</v>
      </c>
      <c r="N64" s="56">
        <f t="shared" si="28"/>
        <v>11500</v>
      </c>
      <c r="O64" s="56">
        <f t="shared" si="28"/>
        <v>11500</v>
      </c>
      <c r="P64" s="56">
        <f t="shared" si="28"/>
        <v>11500</v>
      </c>
      <c r="Q64" s="56">
        <f t="shared" si="28"/>
        <v>11500</v>
      </c>
      <c r="R64" s="56">
        <f t="shared" si="28"/>
        <v>11500</v>
      </c>
      <c r="S64" s="56">
        <f t="shared" si="28"/>
        <v>11500</v>
      </c>
      <c r="T64" s="56">
        <f t="shared" si="28"/>
        <v>11500</v>
      </c>
      <c r="U64" s="56">
        <f t="shared" si="28"/>
        <v>11500</v>
      </c>
      <c r="V64" s="56">
        <f t="shared" si="28"/>
        <v>11500</v>
      </c>
    </row>
    <row r="65" spans="1:22">
      <c r="A65" s="5">
        <f t="shared" ref="A65:A72" si="29">A64+1</f>
        <v>47</v>
      </c>
      <c r="B65" t="s">
        <v>202</v>
      </c>
      <c r="D65" s="88">
        <v>12067</v>
      </c>
      <c r="E65" s="19">
        <f t="shared" si="26"/>
        <v>287</v>
      </c>
      <c r="F65" s="88">
        <v>12354</v>
      </c>
      <c r="G65" s="88"/>
      <c r="H65" s="88">
        <v>772</v>
      </c>
      <c r="I65" s="91"/>
      <c r="J65" s="3">
        <f t="shared" si="27"/>
        <v>12354</v>
      </c>
      <c r="K65" s="56">
        <v>1016720</v>
      </c>
      <c r="L65" s="56">
        <v>1016720</v>
      </c>
      <c r="M65" s="56">
        <v>1016720</v>
      </c>
      <c r="N65" s="56">
        <v>1016720</v>
      </c>
      <c r="O65" s="56">
        <v>1016720</v>
      </c>
      <c r="P65" s="56">
        <v>1016720</v>
      </c>
      <c r="Q65" s="56">
        <v>1016720</v>
      </c>
      <c r="R65" s="56">
        <v>1016720</v>
      </c>
      <c r="S65" s="56">
        <v>1016720</v>
      </c>
      <c r="T65" s="56">
        <v>1067840</v>
      </c>
      <c r="U65" s="56">
        <v>1067840</v>
      </c>
      <c r="V65" s="56">
        <v>1067840</v>
      </c>
    </row>
    <row r="66" spans="1:22">
      <c r="A66" s="5">
        <f t="shared" si="29"/>
        <v>48</v>
      </c>
      <c r="B66" t="s">
        <v>24</v>
      </c>
      <c r="D66" s="88">
        <v>1501</v>
      </c>
      <c r="E66" s="19">
        <f t="shared" si="26"/>
        <v>26</v>
      </c>
      <c r="F66" s="88">
        <v>1527</v>
      </c>
      <c r="G66" s="19" t="s">
        <v>156</v>
      </c>
      <c r="H66" s="19">
        <v>49</v>
      </c>
      <c r="I66" s="19"/>
      <c r="J66" s="3">
        <f t="shared" si="27"/>
        <v>1526.5624499999997</v>
      </c>
      <c r="K66" s="56">
        <v>125643</v>
      </c>
      <c r="L66" s="56">
        <v>125643</v>
      </c>
      <c r="M66" s="56">
        <v>125643</v>
      </c>
      <c r="N66" s="56">
        <v>125643</v>
      </c>
      <c r="O66" s="56">
        <v>125643</v>
      </c>
      <c r="P66" s="56">
        <v>125643</v>
      </c>
      <c r="Q66" s="56">
        <v>125643</v>
      </c>
      <c r="R66" s="56">
        <v>125643</v>
      </c>
      <c r="S66" s="56">
        <v>125643</v>
      </c>
      <c r="T66" s="56">
        <v>131925.15</v>
      </c>
      <c r="U66" s="56">
        <v>131925.15</v>
      </c>
      <c r="V66" s="56">
        <v>131925.15</v>
      </c>
    </row>
    <row r="67" spans="1:22">
      <c r="A67" s="5">
        <f t="shared" si="29"/>
        <v>49</v>
      </c>
      <c r="B67" t="s">
        <v>94</v>
      </c>
      <c r="D67" s="88">
        <v>1373</v>
      </c>
      <c r="E67" s="19">
        <f t="shared" si="26"/>
        <v>45</v>
      </c>
      <c r="F67" s="88">
        <v>1418</v>
      </c>
      <c r="G67" s="93"/>
      <c r="H67" s="19">
        <v>348</v>
      </c>
      <c r="I67" s="19"/>
      <c r="J67" s="3">
        <f t="shared" si="27"/>
        <v>1418.1357588420003</v>
      </c>
      <c r="K67" s="56">
        <v>152421.69840000002</v>
      </c>
      <c r="L67" s="56">
        <v>133564.00443200002</v>
      </c>
      <c r="M67" s="56">
        <v>121321.00700800002</v>
      </c>
      <c r="N67" s="56">
        <v>127511.46372000001</v>
      </c>
      <c r="O67" s="56">
        <v>111882.20964</v>
      </c>
      <c r="P67" s="56">
        <v>83672.462360000005</v>
      </c>
      <c r="Q67" s="56">
        <v>132712.63364000001</v>
      </c>
      <c r="R67" s="56">
        <v>127312.81360000001</v>
      </c>
      <c r="S67" s="56">
        <v>108514.70956000002</v>
      </c>
      <c r="T67" s="56">
        <v>83647.210961999997</v>
      </c>
      <c r="U67" s="56">
        <v>90670.44381360001</v>
      </c>
      <c r="V67" s="56">
        <v>144905.10170639999</v>
      </c>
    </row>
    <row r="68" spans="1:22">
      <c r="A68" s="5">
        <f t="shared" si="29"/>
        <v>50</v>
      </c>
      <c r="B68" t="s">
        <v>93</v>
      </c>
      <c r="D68" s="88">
        <v>45</v>
      </c>
      <c r="E68" s="19">
        <f t="shared" si="26"/>
        <v>0</v>
      </c>
      <c r="F68" s="88">
        <v>45</v>
      </c>
      <c r="G68" s="19"/>
      <c r="H68" s="19">
        <v>8315</v>
      </c>
      <c r="I68" s="19"/>
      <c r="J68" s="3">
        <f t="shared" si="27"/>
        <v>45.222000000000001</v>
      </c>
      <c r="K68" s="56">
        <v>3768.5</v>
      </c>
      <c r="L68" s="56">
        <v>3768.5</v>
      </c>
      <c r="M68" s="56">
        <v>3768.5</v>
      </c>
      <c r="N68" s="56">
        <v>3768.5</v>
      </c>
      <c r="O68" s="56">
        <v>3768.5</v>
      </c>
      <c r="P68" s="56">
        <v>3768.5</v>
      </c>
      <c r="Q68" s="56">
        <v>3768.5</v>
      </c>
      <c r="R68" s="56">
        <v>3768.5</v>
      </c>
      <c r="S68" s="56">
        <v>3768.5</v>
      </c>
      <c r="T68" s="56">
        <v>3768.5</v>
      </c>
      <c r="U68" s="56">
        <v>3768.5</v>
      </c>
      <c r="V68" s="56">
        <v>3768.5</v>
      </c>
    </row>
    <row r="69" spans="1:22">
      <c r="A69" s="5">
        <f t="shared" si="29"/>
        <v>51</v>
      </c>
      <c r="B69" t="s">
        <v>124</v>
      </c>
      <c r="D69" s="88">
        <v>135</v>
      </c>
      <c r="E69" s="19">
        <f t="shared" si="26"/>
        <v>5</v>
      </c>
      <c r="F69" s="88">
        <v>140</v>
      </c>
      <c r="G69" s="19"/>
      <c r="H69" s="19">
        <v>1245</v>
      </c>
      <c r="I69" s="19"/>
      <c r="J69" s="3">
        <f t="shared" si="27"/>
        <v>140.00000000000003</v>
      </c>
      <c r="K69" s="56">
        <f>$F69*1000/12</f>
        <v>11666.666666666666</v>
      </c>
      <c r="L69" s="56">
        <f t="shared" ref="L69:V69" si="30">$F69*1000/12</f>
        <v>11666.666666666666</v>
      </c>
      <c r="M69" s="56">
        <f t="shared" si="30"/>
        <v>11666.666666666666</v>
      </c>
      <c r="N69" s="56">
        <f t="shared" si="30"/>
        <v>11666.666666666666</v>
      </c>
      <c r="O69" s="56">
        <f t="shared" si="30"/>
        <v>11666.666666666666</v>
      </c>
      <c r="P69" s="56">
        <f t="shared" si="30"/>
        <v>11666.666666666666</v>
      </c>
      <c r="Q69" s="56">
        <f t="shared" si="30"/>
        <v>11666.666666666666</v>
      </c>
      <c r="R69" s="56">
        <f t="shared" si="30"/>
        <v>11666.666666666666</v>
      </c>
      <c r="S69" s="56">
        <f t="shared" si="30"/>
        <v>11666.666666666666</v>
      </c>
      <c r="T69" s="56">
        <f t="shared" si="30"/>
        <v>11666.666666666666</v>
      </c>
      <c r="U69" s="56">
        <f t="shared" si="30"/>
        <v>11666.666666666666</v>
      </c>
      <c r="V69" s="56">
        <f t="shared" si="30"/>
        <v>11666.666666666666</v>
      </c>
    </row>
    <row r="70" spans="1:22">
      <c r="A70" s="5">
        <f t="shared" si="29"/>
        <v>52</v>
      </c>
      <c r="B70" t="s">
        <v>203</v>
      </c>
      <c r="C70" s="12"/>
      <c r="D70" s="88">
        <v>558</v>
      </c>
      <c r="E70" s="19">
        <f t="shared" si="26"/>
        <v>0</v>
      </c>
      <c r="F70" s="88">
        <v>558</v>
      </c>
      <c r="G70" s="93"/>
      <c r="H70" s="19">
        <v>1689</v>
      </c>
      <c r="I70" s="19"/>
      <c r="J70" s="3">
        <f t="shared" si="27"/>
        <v>558</v>
      </c>
      <c r="K70" s="56">
        <f>558000/12</f>
        <v>46500</v>
      </c>
      <c r="L70" s="56">
        <f t="shared" ref="L70:V70" si="31">558000/12</f>
        <v>46500</v>
      </c>
      <c r="M70" s="56">
        <f t="shared" si="31"/>
        <v>46500</v>
      </c>
      <c r="N70" s="56">
        <f t="shared" si="31"/>
        <v>46500</v>
      </c>
      <c r="O70" s="56">
        <f t="shared" si="31"/>
        <v>46500</v>
      </c>
      <c r="P70" s="56">
        <f t="shared" si="31"/>
        <v>46500</v>
      </c>
      <c r="Q70" s="56">
        <f t="shared" si="31"/>
        <v>46500</v>
      </c>
      <c r="R70" s="56">
        <f t="shared" si="31"/>
        <v>46500</v>
      </c>
      <c r="S70" s="56">
        <f t="shared" si="31"/>
        <v>46500</v>
      </c>
      <c r="T70" s="56">
        <f t="shared" si="31"/>
        <v>46500</v>
      </c>
      <c r="U70" s="56">
        <f t="shared" si="31"/>
        <v>46500</v>
      </c>
      <c r="V70" s="56">
        <f t="shared" si="31"/>
        <v>46500</v>
      </c>
    </row>
    <row r="71" spans="1:22">
      <c r="A71" s="5">
        <f t="shared" si="29"/>
        <v>53</v>
      </c>
      <c r="B71" s="17" t="s">
        <v>28</v>
      </c>
      <c r="C71" s="17"/>
      <c r="D71" s="89">
        <v>643</v>
      </c>
      <c r="E71" s="39">
        <f t="shared" si="26"/>
        <v>0</v>
      </c>
      <c r="F71" s="89">
        <v>643</v>
      </c>
      <c r="G71" s="19"/>
      <c r="H71" s="19">
        <v>32.112000000000002</v>
      </c>
      <c r="I71" s="19"/>
      <c r="J71" s="84">
        <f t="shared" si="27"/>
        <v>642.58799999999997</v>
      </c>
      <c r="K71" s="102">
        <v>53549</v>
      </c>
      <c r="L71" s="102">
        <v>53549</v>
      </c>
      <c r="M71" s="102">
        <v>53549</v>
      </c>
      <c r="N71" s="102">
        <v>53549</v>
      </c>
      <c r="O71" s="102">
        <v>53549</v>
      </c>
      <c r="P71" s="102">
        <v>53549</v>
      </c>
      <c r="Q71" s="102">
        <v>53549</v>
      </c>
      <c r="R71" s="102">
        <v>53549</v>
      </c>
      <c r="S71" s="102">
        <v>53549</v>
      </c>
      <c r="T71" s="102">
        <v>53549</v>
      </c>
      <c r="U71" s="102">
        <v>53549</v>
      </c>
      <c r="V71" s="102">
        <v>53549</v>
      </c>
    </row>
    <row r="72" spans="1:22">
      <c r="A72" s="5">
        <f t="shared" si="29"/>
        <v>54</v>
      </c>
      <c r="B72" t="s">
        <v>11</v>
      </c>
      <c r="D72" s="88">
        <f>SUM(D63:D71)</f>
        <v>17354</v>
      </c>
      <c r="E72" s="19">
        <f>F72-D72</f>
        <v>412</v>
      </c>
      <c r="F72" s="19">
        <f>SUM(F63:F71)</f>
        <v>17766</v>
      </c>
      <c r="G72" s="19"/>
      <c r="H72" s="19">
        <v>214</v>
      </c>
      <c r="I72" s="19"/>
      <c r="J72" s="3">
        <f t="shared" si="27"/>
        <v>17765.508208842002</v>
      </c>
      <c r="K72" s="25">
        <f t="shared" ref="K72:V72" si="32">SUM(K63:K71)</f>
        <v>1500352.1984000001</v>
      </c>
      <c r="L72" s="25">
        <f t="shared" si="32"/>
        <v>1481494.504432</v>
      </c>
      <c r="M72" s="25">
        <f t="shared" si="32"/>
        <v>1469251.507008</v>
      </c>
      <c r="N72" s="25">
        <f t="shared" si="32"/>
        <v>1475441.9637200001</v>
      </c>
      <c r="O72" s="25">
        <f t="shared" si="32"/>
        <v>1459812.70964</v>
      </c>
      <c r="P72" s="25">
        <f t="shared" si="32"/>
        <v>1431602.96236</v>
      </c>
      <c r="Q72" s="25">
        <f t="shared" si="32"/>
        <v>1480643.1336399999</v>
      </c>
      <c r="R72" s="25">
        <f t="shared" si="32"/>
        <v>1475243.3136</v>
      </c>
      <c r="S72" s="25">
        <f t="shared" si="32"/>
        <v>1456445.2095600001</v>
      </c>
      <c r="T72" s="25">
        <f t="shared" si="32"/>
        <v>1488979.860962</v>
      </c>
      <c r="U72" s="25">
        <f t="shared" si="32"/>
        <v>1496003.0938136</v>
      </c>
      <c r="V72" s="25">
        <f t="shared" si="32"/>
        <v>1550237.7517064</v>
      </c>
    </row>
    <row r="73" spans="1:22" ht="12.95" customHeight="1">
      <c r="A73" s="5"/>
      <c r="D73" s="19"/>
      <c r="E73" s="19"/>
      <c r="F73" s="19"/>
      <c r="G73" s="19"/>
      <c r="H73" s="39">
        <v>643</v>
      </c>
      <c r="I73" s="19"/>
      <c r="J73" s="3"/>
    </row>
    <row r="74" spans="1:22" ht="12" customHeight="1">
      <c r="A74" s="5"/>
      <c r="B74" s="7" t="s">
        <v>14</v>
      </c>
      <c r="D74" s="19"/>
      <c r="E74" s="19"/>
      <c r="F74" s="19"/>
      <c r="G74" s="19"/>
      <c r="H74" s="19">
        <v>13307.111999999999</v>
      </c>
      <c r="I74" s="19"/>
      <c r="J74" s="3"/>
    </row>
    <row r="75" spans="1:22" ht="12" customHeight="1">
      <c r="A75" s="5">
        <f>A72+1</f>
        <v>55</v>
      </c>
      <c r="B75" t="s">
        <v>103</v>
      </c>
      <c r="D75" s="88">
        <v>997</v>
      </c>
      <c r="E75" s="88">
        <f>F75-D75</f>
        <v>32</v>
      </c>
      <c r="F75" s="88">
        <v>1029</v>
      </c>
      <c r="G75" s="88"/>
      <c r="H75" s="88"/>
      <c r="I75" s="19"/>
      <c r="J75" s="3">
        <f t="shared" ref="J75" si="33">SUM(K75:V75)/1000</f>
        <v>1029</v>
      </c>
      <c r="K75" s="56">
        <f>$F75*1000/12</f>
        <v>85750</v>
      </c>
      <c r="L75" s="56">
        <f t="shared" ref="L75:V75" si="34">$F75*1000/12</f>
        <v>85750</v>
      </c>
      <c r="M75" s="56">
        <f t="shared" si="34"/>
        <v>85750</v>
      </c>
      <c r="N75" s="56">
        <f t="shared" si="34"/>
        <v>85750</v>
      </c>
      <c r="O75" s="56">
        <f t="shared" si="34"/>
        <v>85750</v>
      </c>
      <c r="P75" s="56">
        <f t="shared" si="34"/>
        <v>85750</v>
      </c>
      <c r="Q75" s="56">
        <f t="shared" si="34"/>
        <v>85750</v>
      </c>
      <c r="R75" s="56">
        <f t="shared" si="34"/>
        <v>85750</v>
      </c>
      <c r="S75" s="56">
        <f t="shared" si="34"/>
        <v>85750</v>
      </c>
      <c r="T75" s="56">
        <f t="shared" si="34"/>
        <v>85750</v>
      </c>
      <c r="U75" s="56">
        <f t="shared" si="34"/>
        <v>85750</v>
      </c>
      <c r="V75" s="56">
        <f t="shared" si="34"/>
        <v>85750</v>
      </c>
    </row>
    <row r="76" spans="1:22" ht="12" customHeight="1">
      <c r="A76" s="5"/>
      <c r="D76" s="19"/>
      <c r="E76" s="19"/>
      <c r="F76" s="19"/>
      <c r="G76" s="19"/>
      <c r="H76" s="19"/>
      <c r="I76" s="19"/>
      <c r="J76" s="3"/>
    </row>
    <row r="77" spans="1:22" ht="12" customHeight="1">
      <c r="A77" s="5">
        <f>A75+1</f>
        <v>56</v>
      </c>
      <c r="B77" s="41" t="s">
        <v>15</v>
      </c>
      <c r="C77" s="35"/>
      <c r="D77" s="42">
        <f>D28+D37+D44+D58+D72+D75</f>
        <v>397940</v>
      </c>
      <c r="E77" s="42">
        <f>F77-D77</f>
        <v>-163146.19365858744</v>
      </c>
      <c r="F77" s="43">
        <f>F28+F37+F44+F58+F72+F75</f>
        <v>234793.80634141256</v>
      </c>
      <c r="G77" s="19"/>
      <c r="H77" s="19">
        <v>133</v>
      </c>
      <c r="I77" s="19"/>
      <c r="J77" s="3"/>
    </row>
    <row r="78" spans="1:22" ht="12" customHeight="1">
      <c r="A78" s="5"/>
      <c r="B78" s="2"/>
      <c r="D78" s="19"/>
      <c r="E78" s="19"/>
      <c r="F78" s="19"/>
      <c r="G78" s="19"/>
      <c r="H78" s="39"/>
      <c r="I78" s="19"/>
      <c r="J78" s="3"/>
    </row>
    <row r="79" spans="1:22" ht="12" customHeight="1">
      <c r="A79" s="5"/>
      <c r="B79" s="7" t="s">
        <v>16</v>
      </c>
      <c r="D79" s="19"/>
      <c r="E79" s="19"/>
      <c r="F79" s="19"/>
      <c r="G79" s="19"/>
      <c r="H79" s="42">
        <v>188457.26014905036</v>
      </c>
      <c r="I79" s="19"/>
      <c r="J79" s="3"/>
      <c r="K79" s="47">
        <v>41274</v>
      </c>
      <c r="L79" s="47">
        <v>41305</v>
      </c>
      <c r="M79" s="47">
        <v>41333</v>
      </c>
      <c r="N79" s="47">
        <v>41364</v>
      </c>
      <c r="O79" s="47">
        <v>41394</v>
      </c>
      <c r="P79" s="47">
        <v>41425</v>
      </c>
      <c r="Q79" s="47">
        <v>41455</v>
      </c>
      <c r="R79" s="47">
        <v>41486</v>
      </c>
      <c r="S79" s="47">
        <v>41517</v>
      </c>
      <c r="T79" s="47">
        <v>41547</v>
      </c>
      <c r="U79" s="47">
        <v>41578</v>
      </c>
      <c r="V79" s="47">
        <v>41608</v>
      </c>
    </row>
    <row r="80" spans="1:22" ht="12.95" customHeight="1">
      <c r="A80" s="5">
        <f>A77+1</f>
        <v>57</v>
      </c>
      <c r="B80" t="s">
        <v>152</v>
      </c>
      <c r="D80" s="88">
        <v>0</v>
      </c>
      <c r="E80" s="19">
        <f t="shared" ref="E80:E89" si="35">F80-D80</f>
        <v>39356.478197088414</v>
      </c>
      <c r="F80" s="19">
        <f>-'WGJ-4'!C9/1000</f>
        <v>39356.478197088414</v>
      </c>
      <c r="G80" s="19"/>
      <c r="H80" s="19"/>
      <c r="I80" s="18"/>
      <c r="J80" s="3">
        <f>SUM(K80:V80)/1000</f>
        <v>39356.478197088414</v>
      </c>
      <c r="K80" s="25">
        <f>-'WGJ-4'!D9</f>
        <v>3351427.6340484601</v>
      </c>
      <c r="L80" s="25">
        <f>-'WGJ-4'!E9</f>
        <v>2457856.4855720801</v>
      </c>
      <c r="M80" s="25">
        <f>-'WGJ-4'!F9</f>
        <v>3082852.1832466098</v>
      </c>
      <c r="N80" s="25">
        <f>-'WGJ-4'!G9</f>
        <v>5214365.0466918899</v>
      </c>
      <c r="O80" s="25">
        <f>-'WGJ-4'!H9</f>
        <v>4477871.6865539504</v>
      </c>
      <c r="P80" s="25">
        <f>-'WGJ-4'!I9</f>
        <v>2412332.0132017103</v>
      </c>
      <c r="Q80" s="25">
        <f>-'WGJ-4'!J9</f>
        <v>3334983.9740753099</v>
      </c>
      <c r="R80" s="25">
        <f>-'WGJ-4'!K9</f>
        <v>2256416.1582946698</v>
      </c>
      <c r="S80" s="25">
        <f>-'WGJ-4'!L9</f>
        <v>2844487.78839111</v>
      </c>
      <c r="T80" s="25">
        <f>-'WGJ-4'!M9</f>
        <v>1915938.96694183</v>
      </c>
      <c r="U80" s="25">
        <f>-'WGJ-4'!N9</f>
        <v>3096587.5244140602</v>
      </c>
      <c r="V80" s="25">
        <f>-'WGJ-4'!O9</f>
        <v>4911358.7356567299</v>
      </c>
    </row>
    <row r="81" spans="1:22" ht="12.95" customHeight="1">
      <c r="A81" s="5">
        <f t="shared" ref="A81:A89" si="36">A80+1</f>
        <v>58</v>
      </c>
      <c r="B81" t="s">
        <v>180</v>
      </c>
      <c r="D81" s="88">
        <v>105602</v>
      </c>
      <c r="E81" s="19">
        <f t="shared" si="35"/>
        <v>-105602</v>
      </c>
      <c r="F81" s="128">
        <v>0</v>
      </c>
      <c r="G81" s="19"/>
      <c r="H81" s="19"/>
      <c r="I81" s="18"/>
      <c r="J81" s="3">
        <f>SUM(K81:V81)/1000</f>
        <v>0</v>
      </c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2.95" customHeight="1">
      <c r="A82" s="5">
        <f t="shared" si="36"/>
        <v>59</v>
      </c>
      <c r="B82" t="s">
        <v>179</v>
      </c>
      <c r="D82" s="88">
        <v>0</v>
      </c>
      <c r="E82" s="19">
        <f t="shared" si="35"/>
        <v>3554</v>
      </c>
      <c r="F82" s="128">
        <v>3554</v>
      </c>
      <c r="G82" s="19"/>
      <c r="H82" s="19"/>
      <c r="I82" s="18"/>
      <c r="J82" s="3">
        <f>SUM(K82:V82)/1000</f>
        <v>3554.4774946449015</v>
      </c>
      <c r="K82" s="25">
        <v>147609.98384451942</v>
      </c>
      <c r="L82" s="25">
        <v>200050.05664043096</v>
      </c>
      <c r="M82" s="25">
        <v>258562.30253074289</v>
      </c>
      <c r="N82" s="25">
        <v>454757.68638551026</v>
      </c>
      <c r="O82" s="25">
        <v>626631.0889244061</v>
      </c>
      <c r="P82" s="25">
        <v>679554.7420620881</v>
      </c>
      <c r="Q82" s="25">
        <v>396840.40910042811</v>
      </c>
      <c r="R82" s="25">
        <v>190471.73370886731</v>
      </c>
      <c r="S82" s="25">
        <v>159376.61876971816</v>
      </c>
      <c r="T82" s="25">
        <v>212017.76163480221</v>
      </c>
      <c r="U82" s="25">
        <v>172020.77126321368</v>
      </c>
      <c r="V82" s="25">
        <v>56584.339780174203</v>
      </c>
    </row>
    <row r="83" spans="1:22">
      <c r="A83" s="5">
        <f t="shared" si="36"/>
        <v>60</v>
      </c>
      <c r="B83" s="6" t="s">
        <v>114</v>
      </c>
      <c r="D83" s="88">
        <v>9501</v>
      </c>
      <c r="E83" s="19">
        <f t="shared" si="35"/>
        <v>-9501</v>
      </c>
      <c r="F83" s="88">
        <v>0</v>
      </c>
      <c r="G83" s="19"/>
      <c r="H83" s="19"/>
      <c r="I83" s="19"/>
      <c r="J83" s="3">
        <f t="shared" ref="J83:J90" si="37">SUM(K83:V83)/1000</f>
        <v>0</v>
      </c>
      <c r="K83" s="131">
        <v>0</v>
      </c>
      <c r="L83" s="131">
        <v>0</v>
      </c>
      <c r="M83" s="131">
        <v>0</v>
      </c>
      <c r="N83" s="131">
        <v>0</v>
      </c>
      <c r="O83" s="131">
        <v>0</v>
      </c>
      <c r="P83" s="131">
        <v>0</v>
      </c>
      <c r="Q83" s="131">
        <v>0</v>
      </c>
      <c r="R83" s="131">
        <v>0</v>
      </c>
      <c r="S83" s="131">
        <v>0</v>
      </c>
      <c r="T83" s="131">
        <v>0</v>
      </c>
      <c r="U83" s="131">
        <v>0</v>
      </c>
      <c r="V83" s="131">
        <v>0</v>
      </c>
    </row>
    <row r="84" spans="1:22">
      <c r="A84" s="5">
        <f t="shared" si="36"/>
        <v>61</v>
      </c>
      <c r="B84" t="s">
        <v>29</v>
      </c>
      <c r="D84" s="96">
        <v>1256</v>
      </c>
      <c r="E84" s="19">
        <f t="shared" si="35"/>
        <v>61.705380019940549</v>
      </c>
      <c r="F84" s="88">
        <f>Index!C16/1000</f>
        <v>1317.7053800199405</v>
      </c>
      <c r="G84" s="117" t="s">
        <v>120</v>
      </c>
      <c r="H84" s="96">
        <v>1800</v>
      </c>
      <c r="I84" s="92" t="s">
        <v>120</v>
      </c>
      <c r="J84" s="3">
        <f t="shared" si="37"/>
        <v>1317.7053800199405</v>
      </c>
      <c r="K84" s="25">
        <f>Index!D16</f>
        <v>124569.27618552468</v>
      </c>
      <c r="L84" s="25">
        <f>Index!E16</f>
        <v>102887.97148259163</v>
      </c>
      <c r="M84" s="25">
        <f>Index!F16</f>
        <v>107384.71268458519</v>
      </c>
      <c r="N84" s="25">
        <f>Index!G16</f>
        <v>84415.372777676443</v>
      </c>
      <c r="O84" s="25">
        <f>Index!H16</f>
        <v>75213.576255683845</v>
      </c>
      <c r="P84" s="25">
        <f>Index!I16</f>
        <v>69599.396467319471</v>
      </c>
      <c r="Q84" s="25">
        <f>Index!J16</f>
        <v>115362.0701252334</v>
      </c>
      <c r="R84" s="25">
        <f>Index!K16</f>
        <v>135889.5643526286</v>
      </c>
      <c r="S84" s="25">
        <f>Index!L16</f>
        <v>122870.99249935614</v>
      </c>
      <c r="T84" s="25">
        <f>Index!M16</f>
        <v>114862.70751870262</v>
      </c>
      <c r="U84" s="25">
        <f>Index!N16</f>
        <v>121131.21858830201</v>
      </c>
      <c r="V84" s="25">
        <f>Index!O16</f>
        <v>143518.52108233658</v>
      </c>
    </row>
    <row r="85" spans="1:22">
      <c r="A85" s="5">
        <f t="shared" si="36"/>
        <v>62</v>
      </c>
      <c r="B85" t="s">
        <v>118</v>
      </c>
      <c r="D85" s="96">
        <v>150</v>
      </c>
      <c r="E85" s="19">
        <f t="shared" si="35"/>
        <v>6</v>
      </c>
      <c r="F85" s="88">
        <v>156</v>
      </c>
      <c r="G85" s="20"/>
      <c r="H85" s="20">
        <v>-63</v>
      </c>
      <c r="J85" s="3">
        <f t="shared" si="37"/>
        <v>156</v>
      </c>
      <c r="K85" s="25">
        <f t="shared" ref="K85:K86" si="38">$F85/12*1000</f>
        <v>13000</v>
      </c>
      <c r="L85" s="25">
        <f t="shared" ref="L85:V86" si="39">$F85/12*1000</f>
        <v>13000</v>
      </c>
      <c r="M85" s="25">
        <f t="shared" si="39"/>
        <v>13000</v>
      </c>
      <c r="N85" s="25">
        <f t="shared" si="39"/>
        <v>13000</v>
      </c>
      <c r="O85" s="25">
        <f t="shared" si="39"/>
        <v>13000</v>
      </c>
      <c r="P85" s="25">
        <f t="shared" si="39"/>
        <v>13000</v>
      </c>
      <c r="Q85" s="25">
        <f t="shared" si="39"/>
        <v>13000</v>
      </c>
      <c r="R85" s="25">
        <f t="shared" si="39"/>
        <v>13000</v>
      </c>
      <c r="S85" s="25">
        <f t="shared" si="39"/>
        <v>13000</v>
      </c>
      <c r="T85" s="25">
        <f t="shared" si="39"/>
        <v>13000</v>
      </c>
      <c r="U85" s="25">
        <f t="shared" si="39"/>
        <v>13000</v>
      </c>
      <c r="V85" s="25">
        <f t="shared" si="39"/>
        <v>13000</v>
      </c>
    </row>
    <row r="86" spans="1:22">
      <c r="A86" s="5">
        <f t="shared" si="36"/>
        <v>63</v>
      </c>
      <c r="B86" t="s">
        <v>30</v>
      </c>
      <c r="D86" s="96">
        <v>525</v>
      </c>
      <c r="E86" s="19">
        <f t="shared" si="35"/>
        <v>45</v>
      </c>
      <c r="F86" s="88">
        <v>570</v>
      </c>
      <c r="G86" s="77"/>
      <c r="H86" s="77">
        <v>272</v>
      </c>
      <c r="J86" s="3">
        <f t="shared" si="37"/>
        <v>570</v>
      </c>
      <c r="K86" s="25">
        <f t="shared" si="38"/>
        <v>47500</v>
      </c>
      <c r="L86" s="25">
        <f t="shared" si="39"/>
        <v>47500</v>
      </c>
      <c r="M86" s="25">
        <f t="shared" si="39"/>
        <v>47500</v>
      </c>
      <c r="N86" s="25">
        <f t="shared" si="39"/>
        <v>47500</v>
      </c>
      <c r="O86" s="25">
        <f t="shared" si="39"/>
        <v>47500</v>
      </c>
      <c r="P86" s="25">
        <f t="shared" si="39"/>
        <v>47500</v>
      </c>
      <c r="Q86" s="25">
        <f t="shared" si="39"/>
        <v>47500</v>
      </c>
      <c r="R86" s="25">
        <f t="shared" si="39"/>
        <v>47500</v>
      </c>
      <c r="S86" s="25">
        <f t="shared" si="39"/>
        <v>47500</v>
      </c>
      <c r="T86" s="25">
        <f t="shared" si="39"/>
        <v>47500</v>
      </c>
      <c r="U86" s="25">
        <f t="shared" si="39"/>
        <v>47500</v>
      </c>
      <c r="V86" s="25">
        <f t="shared" si="39"/>
        <v>47500</v>
      </c>
    </row>
    <row r="87" spans="1:22">
      <c r="A87" s="5">
        <f t="shared" si="36"/>
        <v>64</v>
      </c>
      <c r="B87" t="s">
        <v>232</v>
      </c>
      <c r="D87" s="96">
        <v>12149</v>
      </c>
      <c r="E87" s="19">
        <f t="shared" si="35"/>
        <v>-125.60352548838819</v>
      </c>
      <c r="F87" s="88">
        <f>Index!C21/1000</f>
        <v>12023.396474511612</v>
      </c>
      <c r="G87" s="20"/>
      <c r="H87" s="20"/>
      <c r="J87" s="3">
        <f t="shared" si="37"/>
        <v>12023.396474511612</v>
      </c>
      <c r="K87" s="25">
        <f>Index!D21</f>
        <v>1113046.6045904148</v>
      </c>
      <c r="L87" s="25">
        <f>Index!E21</f>
        <v>935690.13925552275</v>
      </c>
      <c r="M87" s="25">
        <f>Index!F21</f>
        <v>988568.73505353834</v>
      </c>
      <c r="N87" s="25">
        <f>Index!G21</f>
        <v>808643.00951957575</v>
      </c>
      <c r="O87" s="25">
        <f>Index!H21</f>
        <v>752531.51869296876</v>
      </c>
      <c r="P87" s="25">
        <f>Index!I21</f>
        <v>704314.39361572172</v>
      </c>
      <c r="Q87" s="25">
        <f>Index!J21</f>
        <v>1041836.0441207878</v>
      </c>
      <c r="R87" s="25">
        <f>Index!K21</f>
        <v>1202607.481927871</v>
      </c>
      <c r="S87" s="25">
        <f>Index!L21</f>
        <v>1097578.9026260367</v>
      </c>
      <c r="T87" s="25">
        <f>Index!M21</f>
        <v>1041402.5899887073</v>
      </c>
      <c r="U87" s="25">
        <f>Index!N21</f>
        <v>1084866.4755821221</v>
      </c>
      <c r="V87" s="25">
        <f>Index!O21</f>
        <v>1252310.5795383449</v>
      </c>
    </row>
    <row r="88" spans="1:22">
      <c r="A88" s="5">
        <f t="shared" si="36"/>
        <v>65</v>
      </c>
      <c r="B88" t="s">
        <v>235</v>
      </c>
      <c r="D88" s="96">
        <v>0</v>
      </c>
      <c r="E88" s="19">
        <f t="shared" si="35"/>
        <v>526</v>
      </c>
      <c r="F88" s="88">
        <v>526</v>
      </c>
      <c r="G88" s="20"/>
      <c r="H88" s="20"/>
      <c r="J88" s="3">
        <f t="shared" si="37"/>
        <v>525.64186768531602</v>
      </c>
      <c r="K88" s="25">
        <v>41169.02837753301</v>
      </c>
      <c r="L88" s="25">
        <v>36513.082122801992</v>
      </c>
      <c r="M88" s="25">
        <v>40991.740226746006</v>
      </c>
      <c r="N88" s="25">
        <v>39135.485935210992</v>
      </c>
      <c r="O88" s="25">
        <v>46221.640110015986</v>
      </c>
      <c r="P88" s="25">
        <v>64191.032075882009</v>
      </c>
      <c r="Q88" s="25">
        <v>50951.742553709977</v>
      </c>
      <c r="R88" s="25">
        <v>44806.467247008979</v>
      </c>
      <c r="S88" s="25">
        <v>39912.834739684993</v>
      </c>
      <c r="T88" s="25">
        <v>40562.511157990004</v>
      </c>
      <c r="U88" s="25">
        <v>39637.582778930009</v>
      </c>
      <c r="V88" s="25">
        <v>41548.720359801991</v>
      </c>
    </row>
    <row r="89" spans="1:22">
      <c r="A89" s="5">
        <f t="shared" si="36"/>
        <v>66</v>
      </c>
      <c r="B89" s="17" t="s">
        <v>220</v>
      </c>
      <c r="C89" s="17"/>
      <c r="D89" s="89">
        <v>1654</v>
      </c>
      <c r="E89" s="39">
        <f t="shared" si="35"/>
        <v>-1654</v>
      </c>
      <c r="F89" s="39">
        <v>0</v>
      </c>
      <c r="G89" s="20"/>
      <c r="H89" s="20"/>
      <c r="J89" s="3">
        <f t="shared" si="37"/>
        <v>0</v>
      </c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>
      <c r="A90" s="5">
        <f>A89+1</f>
        <v>67</v>
      </c>
      <c r="B90" t="s">
        <v>17</v>
      </c>
      <c r="D90" s="19">
        <f>SUM(D80:D89)</f>
        <v>130837</v>
      </c>
      <c r="E90" s="19">
        <f>F90-D90</f>
        <v>-73333.419948380033</v>
      </c>
      <c r="F90" s="19">
        <f>SUM(F80:F89)</f>
        <v>57503.580051619967</v>
      </c>
      <c r="G90" s="19"/>
      <c r="H90" s="39">
        <v>0</v>
      </c>
      <c r="I90" s="19"/>
      <c r="J90" s="3">
        <f t="shared" si="37"/>
        <v>57503.699413950191</v>
      </c>
      <c r="K90" s="25">
        <f t="shared" ref="K90:V90" si="40">SUM(K80:K89)</f>
        <v>4838322.5270464523</v>
      </c>
      <c r="L90" s="25">
        <f t="shared" si="40"/>
        <v>3793497.7350734272</v>
      </c>
      <c r="M90" s="25">
        <f t="shared" si="40"/>
        <v>4538859.6737422217</v>
      </c>
      <c r="N90" s="25">
        <f t="shared" si="40"/>
        <v>6661816.6013098639</v>
      </c>
      <c r="O90" s="25">
        <f t="shared" si="40"/>
        <v>6038969.5105370246</v>
      </c>
      <c r="P90" s="25">
        <f t="shared" si="40"/>
        <v>3990491.5774227218</v>
      </c>
      <c r="Q90" s="25">
        <f t="shared" si="40"/>
        <v>5000474.2399754692</v>
      </c>
      <c r="R90" s="25">
        <f t="shared" si="40"/>
        <v>3890691.4055310455</v>
      </c>
      <c r="S90" s="25">
        <f t="shared" si="40"/>
        <v>4324727.1370259058</v>
      </c>
      <c r="T90" s="25">
        <f t="shared" si="40"/>
        <v>3385284.5372420321</v>
      </c>
      <c r="U90" s="25">
        <f t="shared" si="40"/>
        <v>4574743.572626628</v>
      </c>
      <c r="V90" s="25">
        <f t="shared" si="40"/>
        <v>6465820.8964173887</v>
      </c>
    </row>
    <row r="91" spans="1:22">
      <c r="A91" s="5"/>
      <c r="D91" s="19">
        <v>130837</v>
      </c>
      <c r="E91" s="19"/>
      <c r="F91" s="19"/>
      <c r="G91" s="19"/>
      <c r="H91" s="19">
        <v>62060.890920372694</v>
      </c>
      <c r="I91" s="1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5"/>
      <c r="B92" s="7" t="s">
        <v>18</v>
      </c>
      <c r="D92" s="19"/>
      <c r="E92" s="19" t="s">
        <v>9</v>
      </c>
      <c r="F92" s="19"/>
      <c r="G92" s="19"/>
      <c r="H92" s="19"/>
      <c r="I92" s="19"/>
      <c r="J92" s="3"/>
    </row>
    <row r="93" spans="1:22">
      <c r="A93" s="5">
        <f>A90+1</f>
        <v>68</v>
      </c>
      <c r="B93" t="s">
        <v>206</v>
      </c>
      <c r="D93" s="88">
        <v>3245</v>
      </c>
      <c r="E93" s="88">
        <f>F93-D93</f>
        <v>-3245</v>
      </c>
      <c r="F93" s="88">
        <v>0</v>
      </c>
      <c r="G93" s="88"/>
      <c r="H93" s="88"/>
      <c r="I93" s="19"/>
      <c r="J93" s="3"/>
      <c r="K93" s="25">
        <f>850000/12</f>
        <v>70833.333333333328</v>
      </c>
      <c r="L93" s="25">
        <f t="shared" ref="L93:V93" si="41">850000/12</f>
        <v>70833.333333333328</v>
      </c>
      <c r="M93" s="25">
        <f t="shared" si="41"/>
        <v>70833.333333333328</v>
      </c>
      <c r="N93" s="25">
        <f t="shared" si="41"/>
        <v>70833.333333333328</v>
      </c>
      <c r="O93" s="25">
        <f t="shared" si="41"/>
        <v>70833.333333333328</v>
      </c>
      <c r="P93" s="25">
        <f t="shared" si="41"/>
        <v>70833.333333333328</v>
      </c>
      <c r="Q93" s="25">
        <f t="shared" si="41"/>
        <v>70833.333333333328</v>
      </c>
      <c r="R93" s="25">
        <f t="shared" si="41"/>
        <v>70833.333333333328</v>
      </c>
      <c r="S93" s="25">
        <f t="shared" si="41"/>
        <v>70833.333333333328</v>
      </c>
      <c r="T93" s="25">
        <f t="shared" si="41"/>
        <v>70833.333333333328</v>
      </c>
      <c r="U93" s="25">
        <f t="shared" si="41"/>
        <v>70833.333333333328</v>
      </c>
      <c r="V93" s="25">
        <f t="shared" si="41"/>
        <v>70833.333333333328</v>
      </c>
    </row>
    <row r="94" spans="1:22">
      <c r="A94" s="5">
        <f>A93+1</f>
        <v>69</v>
      </c>
      <c r="B94" t="s">
        <v>222</v>
      </c>
      <c r="D94" s="88">
        <v>163</v>
      </c>
      <c r="E94" s="88">
        <f>F94-D94</f>
        <v>-163</v>
      </c>
      <c r="F94" s="88">
        <v>0</v>
      </c>
      <c r="G94" s="88"/>
      <c r="H94" s="88"/>
      <c r="I94" s="19"/>
      <c r="J94" s="3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>
      <c r="A95" s="5">
        <f t="shared" ref="A95:A96" si="42">A94+1</f>
        <v>70</v>
      </c>
      <c r="B95" s="17" t="s">
        <v>95</v>
      </c>
      <c r="C95" s="17"/>
      <c r="D95" s="88">
        <v>95212</v>
      </c>
      <c r="E95" s="39">
        <f>F95-D95</f>
        <v>-95212</v>
      </c>
      <c r="F95" s="19">
        <v>0</v>
      </c>
      <c r="G95" s="19"/>
      <c r="H95" s="19">
        <v>48</v>
      </c>
      <c r="I95" s="19"/>
      <c r="J95" s="3"/>
    </row>
    <row r="96" spans="1:22">
      <c r="A96" s="5">
        <f t="shared" si="42"/>
        <v>71</v>
      </c>
      <c r="B96" t="s">
        <v>19</v>
      </c>
      <c r="D96" s="104">
        <f>SUM(D93:D95)</f>
        <v>98620</v>
      </c>
      <c r="E96" s="19">
        <f>F96-D96</f>
        <v>-98620</v>
      </c>
      <c r="F96" s="21">
        <f>SUM(F93:F95)</f>
        <v>0</v>
      </c>
      <c r="G96" s="19"/>
      <c r="H96" s="19">
        <v>0</v>
      </c>
      <c r="I96" s="19"/>
      <c r="J96" s="3"/>
    </row>
    <row r="97" spans="1:22" ht="7.5" customHeight="1">
      <c r="A97" s="5" t="s">
        <v>9</v>
      </c>
      <c r="D97" s="19"/>
      <c r="E97" s="19"/>
      <c r="F97" s="19"/>
      <c r="G97" s="19"/>
      <c r="H97" s="39">
        <v>0</v>
      </c>
      <c r="I97" s="19"/>
      <c r="J97" s="3"/>
    </row>
    <row r="98" spans="1:22">
      <c r="A98" s="5"/>
      <c r="B98" s="44" t="s">
        <v>27</v>
      </c>
      <c r="D98" s="19"/>
      <c r="E98" s="19"/>
      <c r="F98" s="19" t="s">
        <v>9</v>
      </c>
      <c r="G98" s="19"/>
      <c r="H98" s="19">
        <v>48</v>
      </c>
      <c r="I98" s="19"/>
      <c r="J98" s="3"/>
    </row>
    <row r="99" spans="1:22">
      <c r="A99" s="5">
        <f>A96+1</f>
        <v>72</v>
      </c>
      <c r="B99" t="s">
        <v>25</v>
      </c>
      <c r="D99" s="88">
        <v>418</v>
      </c>
      <c r="E99" s="88">
        <f>F99-D99</f>
        <v>48</v>
      </c>
      <c r="F99" s="88">
        <v>466</v>
      </c>
      <c r="G99" s="88"/>
      <c r="H99" s="88"/>
      <c r="I99" s="19"/>
      <c r="J99" s="3">
        <f t="shared" ref="J99" si="43">SUM(K99:V99)/1000</f>
        <v>465.99999999999994</v>
      </c>
      <c r="K99" s="56">
        <f>$F99*1000/12</f>
        <v>38833.333333333336</v>
      </c>
      <c r="L99" s="56">
        <f t="shared" ref="L99:V99" si="44">$F99*1000/12</f>
        <v>38833.333333333336</v>
      </c>
      <c r="M99" s="56">
        <f t="shared" si="44"/>
        <v>38833.333333333336</v>
      </c>
      <c r="N99" s="56">
        <f t="shared" si="44"/>
        <v>38833.333333333336</v>
      </c>
      <c r="O99" s="56">
        <f t="shared" si="44"/>
        <v>38833.333333333336</v>
      </c>
      <c r="P99" s="56">
        <f t="shared" si="44"/>
        <v>38833.333333333336</v>
      </c>
      <c r="Q99" s="56">
        <f t="shared" si="44"/>
        <v>38833.333333333336</v>
      </c>
      <c r="R99" s="56">
        <f t="shared" si="44"/>
        <v>38833.333333333336</v>
      </c>
      <c r="S99" s="56">
        <f t="shared" si="44"/>
        <v>38833.333333333336</v>
      </c>
      <c r="T99" s="56">
        <f t="shared" si="44"/>
        <v>38833.333333333336</v>
      </c>
      <c r="U99" s="56">
        <f t="shared" si="44"/>
        <v>38833.333333333336</v>
      </c>
      <c r="V99" s="56">
        <f t="shared" si="44"/>
        <v>38833.333333333336</v>
      </c>
    </row>
    <row r="100" spans="1:22" ht="6.75" customHeight="1">
      <c r="A100" s="5"/>
      <c r="D100" s="88"/>
      <c r="E100" s="19"/>
      <c r="F100" s="88"/>
      <c r="G100" s="19"/>
      <c r="H100" s="19" t="s">
        <v>9</v>
      </c>
      <c r="I100" s="19"/>
      <c r="J100" s="3"/>
    </row>
    <row r="101" spans="1:22" ht="6" customHeight="1">
      <c r="A101" s="5"/>
      <c r="D101" s="19"/>
      <c r="E101" s="19"/>
      <c r="F101" s="19"/>
      <c r="G101" s="19"/>
      <c r="H101" s="19"/>
      <c r="I101" s="19"/>
      <c r="J101" s="3"/>
    </row>
    <row r="102" spans="1:22">
      <c r="A102" s="5">
        <f>A99+1</f>
        <v>73</v>
      </c>
      <c r="B102" s="41" t="s">
        <v>20</v>
      </c>
      <c r="C102" s="35"/>
      <c r="D102" s="42">
        <f>D90+D96+D99</f>
        <v>229875</v>
      </c>
      <c r="E102" s="42">
        <f>F102-D102</f>
        <v>-171905.41994838003</v>
      </c>
      <c r="F102" s="43">
        <f>F90+F96+F99</f>
        <v>57969.580051619967</v>
      </c>
      <c r="G102" s="19"/>
      <c r="H102" s="19">
        <v>24</v>
      </c>
      <c r="I102" s="19"/>
      <c r="J102" s="3"/>
    </row>
    <row r="103" spans="1:22" ht="7.5" customHeight="1">
      <c r="A103" s="5"/>
      <c r="D103" s="19"/>
      <c r="E103" s="19"/>
      <c r="F103" s="19"/>
      <c r="G103" s="19"/>
      <c r="H103" s="19"/>
      <c r="I103" s="19"/>
      <c r="J103" s="3"/>
    </row>
    <row r="104" spans="1:22">
      <c r="A104" s="5">
        <f>A102+1</f>
        <v>74</v>
      </c>
      <c r="B104" s="41" t="s">
        <v>140</v>
      </c>
      <c r="C104" s="35"/>
      <c r="D104" s="42">
        <f>D77-D102</f>
        <v>168065</v>
      </c>
      <c r="E104" s="42">
        <f>F104-D104</f>
        <v>8759.2262897925975</v>
      </c>
      <c r="F104" s="43">
        <f>F77-F102</f>
        <v>176824.2262897926</v>
      </c>
      <c r="G104" s="19"/>
      <c r="H104" s="42">
        <v>62497.890920372694</v>
      </c>
      <c r="I104" s="19"/>
      <c r="J104" s="3"/>
    </row>
    <row r="105" spans="1:22" ht="6" customHeight="1">
      <c r="A105" s="5"/>
      <c r="D105" s="19"/>
      <c r="E105" s="19"/>
      <c r="F105" s="19"/>
      <c r="G105" s="19"/>
      <c r="H105" s="19"/>
      <c r="I105" s="19"/>
      <c r="J105" s="3"/>
    </row>
    <row r="106" spans="1:22" ht="12.75" customHeight="1">
      <c r="A106" s="5"/>
      <c r="B106" s="2"/>
      <c r="D106" s="19"/>
      <c r="E106" s="143">
        <f>F104/D104-1</f>
        <v>5.2118086988918622E-2</v>
      </c>
      <c r="G106" s="19"/>
      <c r="H106" s="19"/>
      <c r="I106" s="19"/>
      <c r="J106" s="3"/>
    </row>
    <row r="107" spans="1:22" ht="9" customHeight="1">
      <c r="A107" s="5"/>
      <c r="B107" s="106"/>
      <c r="D107" s="19"/>
      <c r="F107"/>
      <c r="G107" s="19"/>
      <c r="H107" s="19"/>
      <c r="I107" s="19"/>
      <c r="J107" s="3"/>
    </row>
    <row r="108" spans="1:22" ht="12.75" customHeight="1">
      <c r="A108" s="5"/>
      <c r="B108" s="2"/>
      <c r="D108" s="3"/>
      <c r="J108" s="3"/>
    </row>
    <row r="109" spans="1:22">
      <c r="J109" s="3"/>
    </row>
    <row r="110" spans="1:22">
      <c r="I110" s="20" t="s">
        <v>228</v>
      </c>
      <c r="J110" s="25">
        <f>SUM(K110:V110)</f>
        <v>158087469.11223862</v>
      </c>
      <c r="K110" s="25">
        <f t="shared" ref="K110:V110" si="45">K28+K44+K58-K90</f>
        <v>18018168.274390496</v>
      </c>
      <c r="L110" s="25">
        <f t="shared" si="45"/>
        <v>16205896.307308218</v>
      </c>
      <c r="M110" s="25">
        <f t="shared" si="45"/>
        <v>14839060.742854984</v>
      </c>
      <c r="N110" s="25">
        <f t="shared" si="45"/>
        <v>9813483.9259471595</v>
      </c>
      <c r="O110" s="25">
        <f t="shared" si="45"/>
        <v>6232824.359545581</v>
      </c>
      <c r="P110" s="25">
        <f t="shared" si="45"/>
        <v>6867946.5727093499</v>
      </c>
      <c r="Q110" s="25">
        <f t="shared" si="45"/>
        <v>10165172.320314992</v>
      </c>
      <c r="R110" s="25">
        <f t="shared" si="45"/>
        <v>14423150.039056752</v>
      </c>
      <c r="S110" s="25">
        <f t="shared" si="45"/>
        <v>12540031.677407937</v>
      </c>
      <c r="T110" s="25">
        <f t="shared" si="45"/>
        <v>13924326.561223309</v>
      </c>
      <c r="U110" s="25">
        <f t="shared" si="45"/>
        <v>17251093.527289141</v>
      </c>
      <c r="V110" s="25">
        <f t="shared" si="45"/>
        <v>17806314.804190695</v>
      </c>
    </row>
    <row r="111" spans="1:22">
      <c r="J111" s="3"/>
    </row>
    <row r="112" spans="1:22">
      <c r="I112" s="20" t="s">
        <v>229</v>
      </c>
      <c r="J112" s="25">
        <f>SUM(K112:V112)</f>
        <v>176822977.3210806</v>
      </c>
      <c r="K112" s="25">
        <f t="shared" ref="K112:V112" si="46">K110+K37+K72+K75-K99</f>
        <v>19599353.806123834</v>
      </c>
      <c r="L112" s="25">
        <f t="shared" si="46"/>
        <v>17768224.145073552</v>
      </c>
      <c r="M112" s="25">
        <f t="shared" si="46"/>
        <v>16389145.583196316</v>
      </c>
      <c r="N112" s="25">
        <f t="shared" si="46"/>
        <v>11369759.223000491</v>
      </c>
      <c r="O112" s="25">
        <f t="shared" si="46"/>
        <v>7773470.402518915</v>
      </c>
      <c r="P112" s="25">
        <f t="shared" si="46"/>
        <v>8380382.868402685</v>
      </c>
      <c r="Q112" s="25">
        <f t="shared" si="46"/>
        <v>11726648.787288325</v>
      </c>
      <c r="R112" s="25">
        <f t="shared" si="46"/>
        <v>15979226.685990084</v>
      </c>
      <c r="S112" s="25">
        <f t="shared" si="46"/>
        <v>14077310.220301269</v>
      </c>
      <c r="T112" s="25">
        <f t="shared" si="46"/>
        <v>15494139.755518641</v>
      </c>
      <c r="U112" s="25">
        <f t="shared" si="46"/>
        <v>18827929.954436075</v>
      </c>
      <c r="V112" s="25">
        <f t="shared" si="46"/>
        <v>19437385.88923043</v>
      </c>
    </row>
    <row r="113" spans="6:10">
      <c r="J113" s="3"/>
    </row>
    <row r="114" spans="6:10">
      <c r="J114" s="3"/>
    </row>
    <row r="115" spans="6:10">
      <c r="J115" s="3"/>
    </row>
    <row r="116" spans="6:10">
      <c r="F116" s="20"/>
      <c r="J116" s="3"/>
    </row>
    <row r="117" spans="6:10">
      <c r="J117" s="3"/>
    </row>
    <row r="118" spans="6:10">
      <c r="F118" s="20"/>
      <c r="J118" s="3"/>
    </row>
    <row r="119" spans="6:10">
      <c r="J119" s="3"/>
    </row>
    <row r="120" spans="6:10">
      <c r="J120" s="3"/>
    </row>
    <row r="121" spans="6:10">
      <c r="J121" s="3"/>
    </row>
    <row r="122" spans="6:10">
      <c r="J122" s="3"/>
    </row>
    <row r="123" spans="6:10">
      <c r="J123" s="3"/>
    </row>
    <row r="124" spans="6:10">
      <c r="J124" s="3"/>
    </row>
    <row r="125" spans="6:10">
      <c r="J125" s="3"/>
    </row>
    <row r="126" spans="6:10">
      <c r="J126" s="3"/>
    </row>
    <row r="127" spans="6:10">
      <c r="J127" s="3"/>
    </row>
    <row r="128" spans="6:10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</sheetData>
  <phoneticPr fontId="6" type="noConversion"/>
  <pageMargins left="0.75" right="0.75" top="1" bottom="1" header="0.5" footer="0.5"/>
  <pageSetup scale="83" orientation="portrait" r:id="rId1"/>
  <headerFooter alignWithMargins="0">
    <oddHeader>&amp;R&amp;"Times New Roman,Regular"&amp;12Exhibit No.___(WGJ-2)</oddHeader>
  </headerFooter>
  <rowBreaks count="1" manualBreakCount="1">
    <brk id="6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6"/>
  <sheetViews>
    <sheetView zoomScaleNormal="100" workbookViewId="0">
      <selection activeCell="A4" sqref="A4"/>
    </sheetView>
  </sheetViews>
  <sheetFormatPr defaultColWidth="11.42578125" defaultRowHeight="12.75"/>
  <cols>
    <col min="1" max="1" width="46.140625" customWidth="1"/>
    <col min="2" max="2" width="2" hidden="1" customWidth="1"/>
    <col min="3" max="15" width="13.85546875" customWidth="1"/>
  </cols>
  <sheetData>
    <row r="1" spans="1:16" ht="18">
      <c r="A1" s="87" t="s">
        <v>31</v>
      </c>
    </row>
    <row r="2" spans="1:16" ht="18">
      <c r="A2" s="87" t="s">
        <v>117</v>
      </c>
    </row>
    <row r="3" spans="1:16" ht="18">
      <c r="A3" s="87" t="s">
        <v>242</v>
      </c>
      <c r="I3" s="14"/>
    </row>
    <row r="4" spans="1:16" ht="18">
      <c r="A4" s="87"/>
      <c r="B4" s="54"/>
      <c r="I4" s="14"/>
    </row>
    <row r="6" spans="1:16">
      <c r="C6" s="37"/>
      <c r="D6" s="37">
        <v>744</v>
      </c>
      <c r="E6" s="37">
        <v>672</v>
      </c>
      <c r="F6" s="37">
        <v>743</v>
      </c>
      <c r="G6" s="37">
        <v>720</v>
      </c>
      <c r="H6" s="37">
        <v>744</v>
      </c>
      <c r="I6" s="37">
        <v>720</v>
      </c>
      <c r="J6" s="37">
        <v>744</v>
      </c>
      <c r="K6" s="37">
        <v>744</v>
      </c>
      <c r="L6" s="37">
        <v>720</v>
      </c>
      <c r="M6" s="37">
        <v>744</v>
      </c>
      <c r="N6" s="37">
        <v>721</v>
      </c>
      <c r="O6" s="37">
        <v>744</v>
      </c>
    </row>
    <row r="7" spans="1:16">
      <c r="C7" s="23" t="s">
        <v>32</v>
      </c>
      <c r="D7" s="129">
        <v>41274</v>
      </c>
      <c r="E7" s="129">
        <v>41305</v>
      </c>
      <c r="F7" s="129">
        <v>41333</v>
      </c>
      <c r="G7" s="129">
        <v>41364</v>
      </c>
      <c r="H7" s="129">
        <v>41394</v>
      </c>
      <c r="I7" s="129">
        <v>41425</v>
      </c>
      <c r="J7" s="129">
        <v>41455</v>
      </c>
      <c r="K7" s="129">
        <v>41486</v>
      </c>
      <c r="L7" s="129">
        <v>41517</v>
      </c>
      <c r="M7" s="129">
        <v>41547</v>
      </c>
      <c r="N7" s="129">
        <v>41578</v>
      </c>
      <c r="O7" s="129">
        <v>41608</v>
      </c>
    </row>
    <row r="8" spans="1:16">
      <c r="C8" s="50"/>
    </row>
    <row r="9" spans="1:16">
      <c r="A9" t="s">
        <v>106</v>
      </c>
      <c r="B9" s="5" t="s">
        <v>50</v>
      </c>
      <c r="C9" s="38">
        <f>SUM(D9:O9)</f>
        <v>-39356478.197088413</v>
      </c>
      <c r="D9" s="25">
        <f>Aurora!B33*1000</f>
        <v>-3351427.6340484601</v>
      </c>
      <c r="E9" s="25">
        <f>Aurora!C33*1000</f>
        <v>-2457856.4855720801</v>
      </c>
      <c r="F9" s="25">
        <f>Aurora!D33*1000</f>
        <v>-3082852.1832466098</v>
      </c>
      <c r="G9" s="25">
        <f>Aurora!E33*1000</f>
        <v>-5214365.0466918899</v>
      </c>
      <c r="H9" s="25">
        <f>Aurora!F33*1000</f>
        <v>-4477871.6865539504</v>
      </c>
      <c r="I9" s="25">
        <f>Aurora!G33*1000</f>
        <v>-2412332.0132017103</v>
      </c>
      <c r="J9" s="25">
        <f>Aurora!H33*1000</f>
        <v>-3334983.9740753099</v>
      </c>
      <c r="K9" s="25">
        <f>Aurora!I33*1000</f>
        <v>-2256416.1582946698</v>
      </c>
      <c r="L9" s="25">
        <f>Aurora!J33*1000</f>
        <v>-2844487.78839111</v>
      </c>
      <c r="M9" s="25">
        <f>Aurora!K33*1000</f>
        <v>-1915938.96694183</v>
      </c>
      <c r="N9" s="25">
        <f>Aurora!L33*1000</f>
        <v>-3096587.5244140602</v>
      </c>
      <c r="O9" s="25">
        <f>Aurora!M33*1000</f>
        <v>-4911358.7356567299</v>
      </c>
      <c r="P9" s="25"/>
    </row>
    <row r="10" spans="1:16">
      <c r="A10" t="s">
        <v>107</v>
      </c>
      <c r="C10" s="26">
        <f>SUM(D10:O10)</f>
        <v>-1650336.0802056994</v>
      </c>
      <c r="D10" s="3">
        <f>Aurora!B29*1000</f>
        <v>-119677.377124023</v>
      </c>
      <c r="E10" s="3">
        <f>Aurora!C29*1000</f>
        <v>-93266.978057265194</v>
      </c>
      <c r="F10" s="3">
        <f>Aurora!D29*1000</f>
        <v>-124184.96118164</v>
      </c>
      <c r="G10" s="3">
        <f>Aurora!E29*1000</f>
        <v>-250658.61562500001</v>
      </c>
      <c r="H10" s="3">
        <f>Aurora!F29*1000</f>
        <v>-256440.11748046795</v>
      </c>
      <c r="I10" s="3">
        <f>Aurora!G29*1000</f>
        <v>-170882.09492187499</v>
      </c>
      <c r="J10" s="3">
        <f>Aurora!H29*1000</f>
        <v>-130457.57373046799</v>
      </c>
      <c r="K10" s="3">
        <f>Aurora!I29*1000</f>
        <v>-71685.591088867193</v>
      </c>
      <c r="L10" s="3">
        <f>Aurora!J29*1000</f>
        <v>-98623.202392578096</v>
      </c>
      <c r="M10" s="3">
        <f>Aurora!K29*1000</f>
        <v>-74273.213134765596</v>
      </c>
      <c r="N10" s="3">
        <f>Aurora!L29*1000</f>
        <v>-109328.89472656199</v>
      </c>
      <c r="O10" s="3">
        <f>Aurora!M29*1000</f>
        <v>-150857.46074218699</v>
      </c>
    </row>
    <row r="11" spans="1:16" hidden="1">
      <c r="A11" t="s">
        <v>51</v>
      </c>
      <c r="C11" s="28">
        <f>C9/C10</f>
        <v>23.847553640215505</v>
      </c>
      <c r="D11" s="29">
        <f>D9/D10</f>
        <v>28.003852646063077</v>
      </c>
      <c r="E11" s="29">
        <f t="shared" ref="E11:O11" si="0">E9/E10</f>
        <v>26.352912217901768</v>
      </c>
      <c r="F11" s="29">
        <f t="shared" si="0"/>
        <v>24.82468210250881</v>
      </c>
      <c r="G11" s="29">
        <f t="shared" si="0"/>
        <v>20.802656368663929</v>
      </c>
      <c r="H11" s="29">
        <f t="shared" si="0"/>
        <v>17.46166602382333</v>
      </c>
      <c r="I11" s="29">
        <f t="shared" si="0"/>
        <v>14.116938432341881</v>
      </c>
      <c r="J11" s="29">
        <f t="shared" si="0"/>
        <v>25.56374366555028</v>
      </c>
      <c r="K11" s="29">
        <f t="shared" si="0"/>
        <v>31.476564871975956</v>
      </c>
      <c r="L11" s="29">
        <f t="shared" si="0"/>
        <v>28.841973484782852</v>
      </c>
      <c r="M11" s="29">
        <f t="shared" si="0"/>
        <v>25.79582713710581</v>
      </c>
      <c r="N11" s="29">
        <f t="shared" si="0"/>
        <v>28.323596723069485</v>
      </c>
      <c r="O11" s="29">
        <f t="shared" si="0"/>
        <v>32.556286652936336</v>
      </c>
    </row>
    <row r="12" spans="1:16">
      <c r="A12" t="s">
        <v>105</v>
      </c>
      <c r="C12" s="51">
        <f>C9/C10</f>
        <v>23.847553640215505</v>
      </c>
      <c r="D12" s="49">
        <f>D9/D10</f>
        <v>28.003852646063077</v>
      </c>
      <c r="E12" s="49">
        <f t="shared" ref="E12:O12" si="1">E9/E10</f>
        <v>26.352912217901768</v>
      </c>
      <c r="F12" s="49">
        <f t="shared" si="1"/>
        <v>24.82468210250881</v>
      </c>
      <c r="G12" s="49">
        <f t="shared" si="1"/>
        <v>20.802656368663929</v>
      </c>
      <c r="H12" s="49">
        <f t="shared" si="1"/>
        <v>17.46166602382333</v>
      </c>
      <c r="I12" s="49">
        <f t="shared" si="1"/>
        <v>14.116938432341881</v>
      </c>
      <c r="J12" s="49">
        <f t="shared" si="1"/>
        <v>25.56374366555028</v>
      </c>
      <c r="K12" s="49">
        <f t="shared" si="1"/>
        <v>31.476564871975956</v>
      </c>
      <c r="L12" s="49">
        <f t="shared" si="1"/>
        <v>28.841973484782852</v>
      </c>
      <c r="M12" s="49">
        <f t="shared" si="1"/>
        <v>25.79582713710581</v>
      </c>
      <c r="N12" s="49">
        <f t="shared" si="1"/>
        <v>28.323596723069485</v>
      </c>
      <c r="O12" s="49">
        <f t="shared" si="1"/>
        <v>32.556286652936336</v>
      </c>
    </row>
    <row r="13" spans="1:16">
      <c r="A13" t="s">
        <v>108</v>
      </c>
      <c r="B13" s="5" t="s">
        <v>50</v>
      </c>
      <c r="C13" s="38">
        <f>SUM(D13:O13)</f>
        <v>6493584.5668410035</v>
      </c>
      <c r="D13" s="25">
        <f>Aurora!B32*1000</f>
        <v>278587.28761039599</v>
      </c>
      <c r="E13" s="25">
        <f>Aurora!C32*1000</f>
        <v>384582.43190646102</v>
      </c>
      <c r="F13" s="25">
        <f>Aurora!D32*1000</f>
        <v>332034.20101609</v>
      </c>
      <c r="G13" s="25">
        <f>Aurora!E32*1000</f>
        <v>51347.39433676</v>
      </c>
      <c r="H13" s="25">
        <f>Aurora!F32*1000</f>
        <v>14245.3725124709</v>
      </c>
      <c r="I13" s="25">
        <f>Aurora!G32*1000</f>
        <v>375181.923155486</v>
      </c>
      <c r="J13" s="25">
        <f>Aurora!H32*1000</f>
        <v>704803.26130390097</v>
      </c>
      <c r="K13" s="25">
        <f>Aurora!I32*1000</f>
        <v>1638561.01512908</v>
      </c>
      <c r="L13" s="25">
        <f>Aurora!J32*1000</f>
        <v>763024.433270865</v>
      </c>
      <c r="M13" s="25">
        <f>Aurora!K32*1000</f>
        <v>849668.47098618699</v>
      </c>
      <c r="N13" s="25">
        <f>Aurora!L32*1000</f>
        <v>675421.80030345905</v>
      </c>
      <c r="O13" s="25">
        <f>Aurora!M32*1000</f>
        <v>426126.97530984797</v>
      </c>
    </row>
    <row r="14" spans="1:16" s="3" customFormat="1">
      <c r="A14" s="3" t="s">
        <v>112</v>
      </c>
      <c r="C14" s="27">
        <f>SUM(D14:O14)</f>
        <v>261295.51596301899</v>
      </c>
      <c r="D14" s="3">
        <f>Aurora!B28*1000</f>
        <v>13413.681491959</v>
      </c>
      <c r="E14" s="3">
        <f>Aurora!C28*1000</f>
        <v>22107.443594646396</v>
      </c>
      <c r="F14" s="3">
        <f>Aurora!D28*1000</f>
        <v>19166.7219133377</v>
      </c>
      <c r="G14" s="3">
        <f>Aurora!E28*1000</f>
        <v>3135.4326173305499</v>
      </c>
      <c r="H14" s="3">
        <f>Aurora!F28*1000</f>
        <v>947.98612909913015</v>
      </c>
      <c r="I14" s="3">
        <f>Aurora!G28*1000</f>
        <v>16500.910222721101</v>
      </c>
      <c r="J14" s="3">
        <f>Aurora!H28*1000</f>
        <v>25333.1469154357</v>
      </c>
      <c r="K14" s="3">
        <f>Aurora!I28*1000</f>
        <v>59936.1343963623</v>
      </c>
      <c r="L14" s="3">
        <f>Aurora!J28*1000</f>
        <v>27292.485678215304</v>
      </c>
      <c r="M14" s="3">
        <f>Aurora!K28*1000</f>
        <v>32821.4868386745</v>
      </c>
      <c r="N14" s="3">
        <f>Aurora!L28*1000</f>
        <v>25348.121315002405</v>
      </c>
      <c r="O14" s="3">
        <f>Aurora!M28*1000</f>
        <v>15291.964850234899</v>
      </c>
    </row>
    <row r="15" spans="1:16" hidden="1">
      <c r="A15" s="3" t="s">
        <v>52</v>
      </c>
      <c r="C15" s="28">
        <f>C13/C14</f>
        <v>24.851496371487819</v>
      </c>
      <c r="D15" s="29">
        <f>D13/D14</f>
        <v>20.768890910179927</v>
      </c>
      <c r="E15" s="29">
        <f t="shared" ref="E15:O15" si="2">E13/E14</f>
        <v>17.396060754830678</v>
      </c>
      <c r="F15" s="29">
        <f t="shared" si="2"/>
        <v>17.32347359748746</v>
      </c>
      <c r="G15" s="29">
        <f t="shared" si="2"/>
        <v>16.376494284376054</v>
      </c>
      <c r="H15" s="29">
        <f t="shared" si="2"/>
        <v>15.026984124765894</v>
      </c>
      <c r="I15" s="29">
        <f t="shared" si="2"/>
        <v>22.737044083718203</v>
      </c>
      <c r="J15" s="29">
        <f t="shared" si="2"/>
        <v>27.821386093744966</v>
      </c>
      <c r="K15" s="29">
        <f t="shared" si="2"/>
        <v>27.338450029045067</v>
      </c>
      <c r="L15" s="29">
        <f t="shared" si="2"/>
        <v>27.957308186110232</v>
      </c>
      <c r="M15" s="29">
        <f t="shared" si="2"/>
        <v>25.887567957006695</v>
      </c>
      <c r="N15" s="29">
        <f t="shared" si="2"/>
        <v>26.645832719117827</v>
      </c>
      <c r="O15" s="29">
        <f t="shared" si="2"/>
        <v>27.866070807983988</v>
      </c>
    </row>
    <row r="16" spans="1:16">
      <c r="A16" s="3" t="s">
        <v>110</v>
      </c>
      <c r="C16" s="51">
        <f>C13/C14</f>
        <v>24.851496371487819</v>
      </c>
      <c r="D16" s="49">
        <f>D13/D14</f>
        <v>20.768890910179927</v>
      </c>
      <c r="E16" s="49">
        <f t="shared" ref="E16:O16" si="3">E13/E14</f>
        <v>17.396060754830678</v>
      </c>
      <c r="F16" s="49">
        <f t="shared" si="3"/>
        <v>17.32347359748746</v>
      </c>
      <c r="G16" s="49">
        <f t="shared" si="3"/>
        <v>16.376494284376054</v>
      </c>
      <c r="H16" s="49">
        <f t="shared" si="3"/>
        <v>15.026984124765894</v>
      </c>
      <c r="I16" s="49"/>
      <c r="J16" s="49">
        <f t="shared" si="3"/>
        <v>27.821386093744966</v>
      </c>
      <c r="K16" s="49">
        <f t="shared" si="3"/>
        <v>27.338450029045067</v>
      </c>
      <c r="L16" s="49">
        <f t="shared" si="3"/>
        <v>27.957308186110232</v>
      </c>
      <c r="M16" s="49">
        <f t="shared" si="3"/>
        <v>25.887567957006695</v>
      </c>
      <c r="N16" s="49">
        <f t="shared" si="3"/>
        <v>26.645832719117827</v>
      </c>
      <c r="O16" s="49">
        <f t="shared" si="3"/>
        <v>27.866070807983988</v>
      </c>
    </row>
    <row r="17" spans="1:17">
      <c r="A17" t="s">
        <v>109</v>
      </c>
      <c r="C17" s="27">
        <f>C14+C10</f>
        <v>-1389040.5642426806</v>
      </c>
      <c r="D17" s="19">
        <f>D14+D10</f>
        <v>-106263.695632064</v>
      </c>
      <c r="E17" s="19">
        <f>E14+E10</f>
        <v>-71159.534462618802</v>
      </c>
      <c r="F17" s="19">
        <f t="shared" ref="F17:O17" si="4">F14+F10</f>
        <v>-105018.23926830231</v>
      </c>
      <c r="G17" s="19">
        <f t="shared" si="4"/>
        <v>-247523.18300766946</v>
      </c>
      <c r="H17" s="19">
        <f t="shared" si="4"/>
        <v>-255492.13135136882</v>
      </c>
      <c r="I17" s="19">
        <f t="shared" si="4"/>
        <v>-154381.18469915388</v>
      </c>
      <c r="J17" s="19">
        <f t="shared" si="4"/>
        <v>-105124.42681503229</v>
      </c>
      <c r="K17" s="19">
        <f t="shared" si="4"/>
        <v>-11749.456692504893</v>
      </c>
      <c r="L17" s="19">
        <f t="shared" si="4"/>
        <v>-71330.716714362788</v>
      </c>
      <c r="M17" s="19">
        <f t="shared" si="4"/>
        <v>-41451.726296091096</v>
      </c>
      <c r="N17" s="19">
        <f t="shared" si="4"/>
        <v>-83980.773411559581</v>
      </c>
      <c r="O17" s="19">
        <f t="shared" si="4"/>
        <v>-135565.4958919521</v>
      </c>
    </row>
    <row r="18" spans="1:17">
      <c r="A18" t="s">
        <v>111</v>
      </c>
      <c r="C18" s="114">
        <f>C17/8760</f>
        <v>-158.566274456927</v>
      </c>
      <c r="D18" s="3">
        <f>D17/D6</f>
        <v>-142.82754789255915</v>
      </c>
      <c r="E18" s="3">
        <f t="shared" ref="E18:O18" si="5">E17/E6</f>
        <v>-105.89216437889702</v>
      </c>
      <c r="F18" s="3">
        <f t="shared" si="5"/>
        <v>-141.34352526016463</v>
      </c>
      <c r="G18" s="3">
        <f t="shared" si="5"/>
        <v>-343.78219862176314</v>
      </c>
      <c r="H18" s="3">
        <f t="shared" si="5"/>
        <v>-343.40340235399037</v>
      </c>
      <c r="I18" s="3">
        <f t="shared" si="5"/>
        <v>-214.41831208215817</v>
      </c>
      <c r="J18" s="3">
        <f t="shared" si="5"/>
        <v>-141.29627260084985</v>
      </c>
      <c r="K18" s="3">
        <f t="shared" si="5"/>
        <v>-15.79228050067862</v>
      </c>
      <c r="L18" s="3">
        <f t="shared" si="5"/>
        <v>-99.070439881059428</v>
      </c>
      <c r="M18" s="3">
        <f t="shared" si="5"/>
        <v>-55.714685881842868</v>
      </c>
      <c r="N18" s="3">
        <f t="shared" si="5"/>
        <v>-116.47818781076225</v>
      </c>
      <c r="O18" s="3">
        <f t="shared" si="5"/>
        <v>-182.21168802681734</v>
      </c>
    </row>
    <row r="19" spans="1:17">
      <c r="A19" t="s">
        <v>113</v>
      </c>
      <c r="C19" s="78">
        <f>(-C9+C13)/(-C10+C14)</f>
        <v>23.984779732570786</v>
      </c>
      <c r="D19" s="29">
        <f>(-D9+D13)/(-D10+D14)</f>
        <v>27.274671637655391</v>
      </c>
      <c r="E19" s="29">
        <f>(-E9+E13)/(-E10+E14)</f>
        <v>24.636647159578164</v>
      </c>
      <c r="F19" s="29">
        <f t="shared" ref="F19:O19" si="6">(-F9+F13)/(-F10+F14)</f>
        <v>23.821739030438629</v>
      </c>
      <c r="G19" s="29">
        <f t="shared" si="6"/>
        <v>20.74797449938929</v>
      </c>
      <c r="H19" s="29">
        <f t="shared" si="6"/>
        <v>17.452698846876505</v>
      </c>
      <c r="I19" s="29">
        <f t="shared" si="6"/>
        <v>14.876023224230936</v>
      </c>
      <c r="J19" s="29">
        <f t="shared" si="6"/>
        <v>25.930859159200065</v>
      </c>
      <c r="K19" s="29">
        <f t="shared" si="6"/>
        <v>29.592205686901149</v>
      </c>
      <c r="L19" s="29">
        <f t="shared" si="6"/>
        <v>28.650220452543838</v>
      </c>
      <c r="M19" s="29">
        <f t="shared" si="6"/>
        <v>25.82394309535298</v>
      </c>
      <c r="N19" s="29">
        <f t="shared" si="6"/>
        <v>28.007817782014051</v>
      </c>
      <c r="O19" s="29">
        <f t="shared" si="6"/>
        <v>32.124611276477516</v>
      </c>
    </row>
    <row r="20" spans="1:17">
      <c r="C20" s="2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7" s="3" customFormat="1">
      <c r="A21" s="3" t="s">
        <v>33</v>
      </c>
      <c r="C21" s="27">
        <f>SUM(D21:O21)</f>
        <v>1582193.7905029282</v>
      </c>
      <c r="D21" s="3">
        <f>Aurora!B6*1000</f>
        <v>144422.4904296874</v>
      </c>
      <c r="E21" s="3">
        <f>Aurora!C6*1000</f>
        <v>128677.9013916015</v>
      </c>
      <c r="F21" s="3">
        <f>Aurora!D6*1000</f>
        <v>141745.4063476561</v>
      </c>
      <c r="G21" s="3">
        <f>Aurora!E6*1000</f>
        <v>124715.76513671869</v>
      </c>
      <c r="H21" s="3">
        <f>Aurora!F6*1000</f>
        <v>103470.96489257799</v>
      </c>
      <c r="I21" s="3">
        <f>Aurora!G6*1000</f>
        <v>89721.693066406093</v>
      </c>
      <c r="J21" s="3">
        <f>Aurora!H6*1000</f>
        <v>134373.45195312501</v>
      </c>
      <c r="K21" s="3">
        <f>Aurora!I6*1000</f>
        <v>142975.93813476549</v>
      </c>
      <c r="L21" s="3">
        <f>Aurora!J6*1000</f>
        <v>141245.0988281249</v>
      </c>
      <c r="M21" s="3">
        <f>Aurora!K6*1000</f>
        <v>145063.31953124987</v>
      </c>
      <c r="N21" s="3">
        <f>Aurora!L6*1000</f>
        <v>140412.30888671859</v>
      </c>
      <c r="O21" s="3">
        <f>Aurora!M6*1000</f>
        <v>145369.45190429682</v>
      </c>
      <c r="P21" s="3">
        <f>C21/8784</f>
        <v>180.12224390971406</v>
      </c>
      <c r="Q21" s="113">
        <f>P21/230</f>
        <v>0.7831401909118002</v>
      </c>
    </row>
    <row r="22" spans="1:17">
      <c r="A22" s="3" t="s">
        <v>101</v>
      </c>
      <c r="C22" s="73">
        <f>C23/C21</f>
        <v>14.861367712648159</v>
      </c>
      <c r="D22" s="76">
        <f>D23/D21</f>
        <v>14.350064030039643</v>
      </c>
      <c r="E22" s="76">
        <f t="shared" ref="E22:O22" si="7">E23/E21</f>
        <v>14.980112450825688</v>
      </c>
      <c r="F22" s="76">
        <f t="shared" si="7"/>
        <v>14.470136917976696</v>
      </c>
      <c r="G22" s="76">
        <f t="shared" si="7"/>
        <v>15.197083761897835</v>
      </c>
      <c r="H22" s="76">
        <f t="shared" si="7"/>
        <v>16.463145273137528</v>
      </c>
      <c r="I22" s="76">
        <f t="shared" si="7"/>
        <v>17.614376720670961</v>
      </c>
      <c r="J22" s="76">
        <f t="shared" si="7"/>
        <v>14.791646724632923</v>
      </c>
      <c r="K22" s="76">
        <f t="shared" si="7"/>
        <v>14.407583033380636</v>
      </c>
      <c r="L22" s="76">
        <f t="shared" si="7"/>
        <v>14.455461347707347</v>
      </c>
      <c r="M22" s="76">
        <f t="shared" si="7"/>
        <v>14.325086927484653</v>
      </c>
      <c r="N22" s="76">
        <f t="shared" si="7"/>
        <v>14.492212488812701</v>
      </c>
      <c r="O22" s="76">
        <f t="shared" si="7"/>
        <v>14.315295250424011</v>
      </c>
    </row>
    <row r="23" spans="1:17">
      <c r="A23" t="s">
        <v>34</v>
      </c>
      <c r="C23" s="30">
        <f>SUM(D23:O23)</f>
        <v>23513563.713332623</v>
      </c>
      <c r="D23" s="31">
        <f>Aurora!B18*1000</f>
        <v>2072471.9850438018</v>
      </c>
      <c r="E23" s="31">
        <f>Aurora!C18*1000</f>
        <v>1927609.4327824498</v>
      </c>
      <c r="F23" s="31">
        <f>Aurora!D18*1000</f>
        <v>2051075.4373448268</v>
      </c>
      <c r="G23" s="31">
        <f>Aurora!E18*1000</f>
        <v>1895315.9292118917</v>
      </c>
      <c r="H23" s="31">
        <f>Aurora!F18*1000</f>
        <v>1703457.5265782245</v>
      </c>
      <c r="I23" s="31">
        <f>Aurora!G18*1000</f>
        <v>1580391.7016880887</v>
      </c>
      <c r="J23" s="31">
        <f>Aurora!H18*1000</f>
        <v>1987604.6304600609</v>
      </c>
      <c r="K23" s="31">
        <f>Aurora!I18*1000</f>
        <v>2059937.7004521266</v>
      </c>
      <c r="L23" s="31">
        <f>Aurora!J18*1000</f>
        <v>2041763.0666630638</v>
      </c>
      <c r="M23" s="31">
        <f>Aurora!K18*1000</f>
        <v>2078044.6622746368</v>
      </c>
      <c r="N23" s="31">
        <f>Aurora!L18*1000</f>
        <v>2034885.0164311298</v>
      </c>
      <c r="O23" s="31">
        <f>Aurora!M18*1000</f>
        <v>2081006.6244023219</v>
      </c>
    </row>
    <row r="24" spans="1:17">
      <c r="C24" s="28"/>
    </row>
    <row r="25" spans="1:17" s="3" customFormat="1">
      <c r="A25" s="3" t="s">
        <v>35</v>
      </c>
      <c r="C25" s="27">
        <f>SUM(D25:O25)</f>
        <v>290895.34135894704</v>
      </c>
      <c r="D25" s="3">
        <f>Aurora!B8*1000</f>
        <v>30175.968896484297</v>
      </c>
      <c r="E25" s="3">
        <f>Aurora!C8*1000</f>
        <v>25594.5598632812</v>
      </c>
      <c r="F25" s="3">
        <f>Aurora!D8*1000</f>
        <v>25204.305102539001</v>
      </c>
      <c r="G25" s="3">
        <f>Aurora!E8*1000</f>
        <v>20642.896582031201</v>
      </c>
      <c r="H25" s="3">
        <f>Aurora!F8*1000</f>
        <v>14826.854370117098</v>
      </c>
      <c r="I25" s="3">
        <f>Aurora!G8*1000</f>
        <v>810.277857971191</v>
      </c>
      <c r="J25" s="3">
        <f>Aurora!H8*1000</f>
        <v>22198.525463867099</v>
      </c>
      <c r="K25" s="3">
        <f>Aurora!I8*1000</f>
        <v>29704.573413085898</v>
      </c>
      <c r="L25" s="3">
        <f>Aurora!J8*1000</f>
        <v>30221.837646484299</v>
      </c>
      <c r="M25" s="3">
        <f>Aurora!K8*1000</f>
        <v>29819.654223632802</v>
      </c>
      <c r="N25" s="3">
        <f>Aurora!L8*1000</f>
        <v>29428.260717773399</v>
      </c>
      <c r="O25" s="3">
        <f>Aurora!M8*1000</f>
        <v>32267.627221679595</v>
      </c>
      <c r="P25" s="3">
        <f>C25/8760</f>
        <v>33.207230748738247</v>
      </c>
    </row>
    <row r="26" spans="1:17">
      <c r="A26" s="3" t="s">
        <v>100</v>
      </c>
      <c r="C26" s="73">
        <f t="shared" ref="C26:O26" si="8">C27/C25</f>
        <v>18.800317376968284</v>
      </c>
      <c r="D26" s="76">
        <f>D27/D25</f>
        <v>18.688537545934853</v>
      </c>
      <c r="E26" s="76">
        <f t="shared" si="8"/>
        <v>18.808570956885067</v>
      </c>
      <c r="F26" s="76">
        <f t="shared" si="8"/>
        <v>18.862775558347067</v>
      </c>
      <c r="G26" s="76">
        <f t="shared" si="8"/>
        <v>19.375182585265129</v>
      </c>
      <c r="H26" s="76">
        <f t="shared" si="8"/>
        <v>19.511404329455974</v>
      </c>
      <c r="I26" s="76"/>
      <c r="J26" s="76">
        <f t="shared" si="8"/>
        <v>18.853539434590424</v>
      </c>
      <c r="K26" s="76">
        <f t="shared" si="8"/>
        <v>18.660178296457634</v>
      </c>
      <c r="L26" s="76">
        <f t="shared" si="8"/>
        <v>18.64878698750946</v>
      </c>
      <c r="M26" s="76">
        <f t="shared" si="8"/>
        <v>18.701635596877946</v>
      </c>
      <c r="N26" s="76">
        <f t="shared" si="8"/>
        <v>18.656758404290471</v>
      </c>
      <c r="O26" s="76">
        <f t="shared" si="8"/>
        <v>18.598411495100578</v>
      </c>
    </row>
    <row r="27" spans="1:17">
      <c r="A27" t="s">
        <v>36</v>
      </c>
      <c r="C27" s="30">
        <f>SUM(D27:O27)</f>
        <v>5468924.7410297329</v>
      </c>
      <c r="D27" s="32">
        <f>Aurora!B20*1000</f>
        <v>563944.72770690906</v>
      </c>
      <c r="E27" s="32">
        <f>Aurora!C20*1000</f>
        <v>481397.09529876697</v>
      </c>
      <c r="F27" s="32">
        <f>Aurora!D20*1000</f>
        <v>475423.15025329497</v>
      </c>
      <c r="G27" s="32">
        <f>Aurora!E20*1000</f>
        <v>399959.8903656</v>
      </c>
      <c r="H27" s="32">
        <f>Aurora!F20*1000</f>
        <v>289292.750549316</v>
      </c>
      <c r="I27" s="32">
        <f>Aurora!G20*1000</f>
        <v>15654.236459731999</v>
      </c>
      <c r="J27" s="32">
        <f>Aurora!H20*1000</f>
        <v>418520.77522277803</v>
      </c>
      <c r="K27" s="32">
        <f>Aurora!I20*1000</f>
        <v>554292.63610839797</v>
      </c>
      <c r="L27" s="32">
        <f>Aurora!J20*1000</f>
        <v>563600.61264037993</v>
      </c>
      <c r="M27" s="32">
        <f>Aurora!K20*1000</f>
        <v>557676.30691528297</v>
      </c>
      <c r="N27" s="32">
        <f>Aurora!L20*1000</f>
        <v>549035.95046997</v>
      </c>
      <c r="O27" s="32">
        <f>Aurora!M20*1000</f>
        <v>600126.60903930606</v>
      </c>
    </row>
    <row r="28" spans="1:17">
      <c r="C28" s="78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7">
      <c r="A29" t="s">
        <v>89</v>
      </c>
      <c r="C29" s="27">
        <f>SUM(D29:O29)</f>
        <v>1797738.8041534377</v>
      </c>
      <c r="D29" s="3">
        <f>Aurora!B7*1000</f>
        <v>193997.49258422796</v>
      </c>
      <c r="E29" s="3">
        <f>Aurora!C7*1000</f>
        <v>156378.38282470699</v>
      </c>
      <c r="F29" s="3">
        <f>Aurora!D7*1000</f>
        <v>169431.57001953101</v>
      </c>
      <c r="G29" s="3">
        <f>Aurora!E7*1000</f>
        <v>130030.34741821201</v>
      </c>
      <c r="H29" s="3">
        <f>Aurora!F7*1000</f>
        <v>76367.618334960905</v>
      </c>
      <c r="I29" s="3">
        <f>Aurora!G7*1000</f>
        <v>47557.332583618103</v>
      </c>
      <c r="J29" s="3">
        <f>Aurora!H7*1000</f>
        <v>128006.82596435498</v>
      </c>
      <c r="K29" s="3">
        <f>Aurora!I7*1000</f>
        <v>172471.73422851501</v>
      </c>
      <c r="L29" s="3">
        <f>Aurora!J7*1000</f>
        <v>176544.29062499999</v>
      </c>
      <c r="M29" s="3">
        <f>Aurora!K7*1000</f>
        <v>172469.53457031201</v>
      </c>
      <c r="N29" s="3">
        <f>Aurora!L7*1000</f>
        <v>173062.64853515601</v>
      </c>
      <c r="O29" s="3">
        <f>Aurora!M7*1000</f>
        <v>201421.02646484296</v>
      </c>
      <c r="P29" s="3">
        <f>C29/8784</f>
        <v>204.66061067320558</v>
      </c>
    </row>
    <row r="30" spans="1:17">
      <c r="A30" t="s">
        <v>98</v>
      </c>
      <c r="C30" s="73">
        <f>C31/C29</f>
        <v>19.529775758895546</v>
      </c>
      <c r="D30" s="76">
        <f>D31/D29</f>
        <v>20.169096884297815</v>
      </c>
      <c r="E30" s="76">
        <f t="shared" ref="E30:O30" si="9">E31/E29</f>
        <v>20.153848374952439</v>
      </c>
      <c r="F30" s="76">
        <f t="shared" si="9"/>
        <v>19.766287909659574</v>
      </c>
      <c r="G30" s="76">
        <f t="shared" si="9"/>
        <v>17.863948557046015</v>
      </c>
      <c r="H30" s="76">
        <f t="shared" si="9"/>
        <v>17.961392756387763</v>
      </c>
      <c r="I30" s="76">
        <f t="shared" si="9"/>
        <v>18.228007699206682</v>
      </c>
      <c r="J30" s="76">
        <f t="shared" si="9"/>
        <v>18.959531645897265</v>
      </c>
      <c r="K30" s="76">
        <f t="shared" si="9"/>
        <v>19.102405763534435</v>
      </c>
      <c r="L30" s="76">
        <f t="shared" si="9"/>
        <v>19.058167984771153</v>
      </c>
      <c r="M30" s="76">
        <f t="shared" si="9"/>
        <v>19.087571018131051</v>
      </c>
      <c r="N30" s="76">
        <f t="shared" si="9"/>
        <v>20.09480802203878</v>
      </c>
      <c r="O30" s="76">
        <f t="shared" si="9"/>
        <v>21.242826819899758</v>
      </c>
    </row>
    <row r="31" spans="1:17">
      <c r="A31" t="s">
        <v>87</v>
      </c>
      <c r="C31" s="30">
        <f>SUM(D31:O31)</f>
        <v>35109435.718181677</v>
      </c>
      <c r="D31" s="25">
        <f>Aurora!B19*1000</f>
        <v>3912754.2232421404</v>
      </c>
      <c r="E31" s="25">
        <f>Aurora!C19*1000</f>
        <v>3151626.2165694116</v>
      </c>
      <c r="F31" s="25">
        <f>Aurora!D19*1000</f>
        <v>3349033.1939916951</v>
      </c>
      <c r="G31" s="25">
        <f>Aurora!E19*1000</f>
        <v>2322855.4371337607</v>
      </c>
      <c r="H31" s="25">
        <f>Aurora!F19*1000</f>
        <v>1371668.786784152</v>
      </c>
      <c r="I31" s="25">
        <f>Aurora!G19*1000</f>
        <v>866875.4244879235</v>
      </c>
      <c r="J31" s="25">
        <f>Aurora!H19*1000</f>
        <v>2426949.4677620521</v>
      </c>
      <c r="K31" s="25">
        <f>Aurora!I19*1000</f>
        <v>3294625.0499735642</v>
      </c>
      <c r="L31" s="25">
        <f>Aurora!J19*1000</f>
        <v>3364610.7474835087</v>
      </c>
      <c r="M31" s="25">
        <f>Aurora!K19*1000</f>
        <v>3292024.4895748389</v>
      </c>
      <c r="N31" s="25">
        <f>Aurora!L19*1000</f>
        <v>3477660.6980995308</v>
      </c>
      <c r="O31" s="25">
        <f>Aurora!M19*1000</f>
        <v>4278751.9830791047</v>
      </c>
    </row>
    <row r="32" spans="1:17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7">
      <c r="A33" t="s">
        <v>166</v>
      </c>
      <c r="C33" s="27">
        <f>SUM(D33:O33)</f>
        <v>1606061.8811935389</v>
      </c>
      <c r="D33" s="3">
        <f>Aurora!B10*1000</f>
        <v>178501.70388183501</v>
      </c>
      <c r="E33" s="3">
        <f>Aurora!C10*1000</f>
        <v>142230.638500976</v>
      </c>
      <c r="F33" s="3">
        <f>Aurora!D10*1000</f>
        <v>154667.871166992</v>
      </c>
      <c r="G33" s="3">
        <f>Aurora!E10*1000</f>
        <v>120321.33868103</v>
      </c>
      <c r="H33" s="3">
        <f>Aurora!F10*1000</f>
        <v>67535.729605102504</v>
      </c>
      <c r="I33" s="3">
        <f>Aurora!G10*1000</f>
        <v>46823.644462585398</v>
      </c>
      <c r="J33" s="3">
        <f>Aurora!H10*1000</f>
        <v>107238.696594238</v>
      </c>
      <c r="K33" s="3">
        <f>Aurora!I10*1000</f>
        <v>141585.125585937</v>
      </c>
      <c r="L33" s="3">
        <f>Aurora!J10*1000</f>
        <v>148395.82402343699</v>
      </c>
      <c r="M33" s="3">
        <f>Aurora!K10*1000</f>
        <v>158308.19062499999</v>
      </c>
      <c r="N33" s="3">
        <f>Aurora!L10*1000</f>
        <v>158498.13046874999</v>
      </c>
      <c r="O33" s="3">
        <f>Aurora!M10*1000</f>
        <v>181954.987597656</v>
      </c>
      <c r="P33" s="3">
        <f>C33/8784</f>
        <v>182.83946734899123</v>
      </c>
    </row>
    <row r="34" spans="1:17">
      <c r="A34" t="s">
        <v>167</v>
      </c>
      <c r="C34" s="73">
        <f>C35/C33</f>
        <v>20.180379536632049</v>
      </c>
      <c r="D34" s="76">
        <f>D35/D33</f>
        <v>20.681030242802464</v>
      </c>
      <c r="E34" s="76">
        <f t="shared" ref="E34:O34" si="10">E35/E33</f>
        <v>20.677348334314647</v>
      </c>
      <c r="F34" s="76">
        <f t="shared" si="10"/>
        <v>20.356035481103859</v>
      </c>
      <c r="G34" s="76">
        <f t="shared" si="10"/>
        <v>18.472950816329419</v>
      </c>
      <c r="H34" s="76">
        <f t="shared" si="10"/>
        <v>18.724018724771064</v>
      </c>
      <c r="I34" s="76">
        <f t="shared" si="10"/>
        <v>19.148627637178539</v>
      </c>
      <c r="J34" s="76">
        <f t="shared" si="10"/>
        <v>19.776084091221321</v>
      </c>
      <c r="K34" s="76">
        <f t="shared" si="10"/>
        <v>19.911340741001084</v>
      </c>
      <c r="L34" s="76">
        <f t="shared" si="10"/>
        <v>19.791020615654642</v>
      </c>
      <c r="M34" s="76">
        <f t="shared" si="10"/>
        <v>19.723882374025564</v>
      </c>
      <c r="N34" s="76">
        <f t="shared" si="10"/>
        <v>20.680494474006064</v>
      </c>
      <c r="O34" s="76">
        <f t="shared" si="10"/>
        <v>21.813280982745784</v>
      </c>
    </row>
    <row r="35" spans="1:17">
      <c r="A35" t="s">
        <v>168</v>
      </c>
      <c r="C35" s="30">
        <f>SUM(D35:O35)</f>
        <v>32410938.321802866</v>
      </c>
      <c r="D35" s="25">
        <f>Aurora!B22*1000</f>
        <v>3691599.136372</v>
      </c>
      <c r="E35" s="25">
        <f>Aurora!C22*1000</f>
        <v>2940952.456096665</v>
      </c>
      <c r="F35" s="25">
        <f>Aurora!D22*1000</f>
        <v>3148424.67326209</v>
      </c>
      <c r="G35" s="25">
        <f>Aurora!E22*1000</f>
        <v>2222690.1716095814</v>
      </c>
      <c r="H35" s="25">
        <f>Aurora!F22*1000</f>
        <v>1264540.2657170147</v>
      </c>
      <c r="I35" s="25">
        <f>Aurora!G22*1000</f>
        <v>896608.53242968465</v>
      </c>
      <c r="J35" s="25">
        <f>Aurora!H22*1000</f>
        <v>2120761.4816806205</v>
      </c>
      <c r="K35" s="25">
        <f>Aurora!I22*1000</f>
        <v>2819149.6793990224</v>
      </c>
      <c r="L35" s="25">
        <f>Aurora!J22*1000</f>
        <v>2936904.8125248998</v>
      </c>
      <c r="M35" s="25">
        <f>Aurora!K22*1000</f>
        <v>3122452.1307323161</v>
      </c>
      <c r="N35" s="25">
        <f>Aurora!L22*1000</f>
        <v>3277819.7112992764</v>
      </c>
      <c r="O35" s="25">
        <f>Aurora!M22*1000</f>
        <v>3969035.2706796946</v>
      </c>
    </row>
    <row r="36" spans="1:17">
      <c r="C36" s="2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7">
      <c r="A37" t="s">
        <v>54</v>
      </c>
      <c r="C37" s="27">
        <f>SUM(D37:O37)</f>
        <v>30602.527949571559</v>
      </c>
      <c r="D37" s="3">
        <f>Aurora!B5*1000</f>
        <v>2837.9030563354399</v>
      </c>
      <c r="E37" s="3">
        <f>Aurora!C5*1000</f>
        <v>1630.5695512771599</v>
      </c>
      <c r="F37" s="3">
        <f>Aurora!D5*1000</f>
        <v>1240.92872533798</v>
      </c>
      <c r="G37" s="3">
        <f>Aurora!E5*1000</f>
        <v>747.31080260276701</v>
      </c>
      <c r="H37" s="3">
        <f>Aurora!F5*1000</f>
        <v>458.70669221878001</v>
      </c>
      <c r="I37" s="3">
        <f>Aurora!G5*1000</f>
        <v>932.09001588821388</v>
      </c>
      <c r="J37" s="3">
        <f>Aurora!H5*1000</f>
        <v>4274.9795913696198</v>
      </c>
      <c r="K37" s="3">
        <f>Aurora!I5*1000</f>
        <v>5790.1986694335901</v>
      </c>
      <c r="L37" s="3">
        <f>Aurora!J5*1000</f>
        <v>3546.2369098663298</v>
      </c>
      <c r="M37" s="3">
        <f>Aurora!K5*1000</f>
        <v>1545.36170578002</v>
      </c>
      <c r="N37" s="3">
        <f>Aurora!L5*1000</f>
        <v>3041.5967521667399</v>
      </c>
      <c r="O37" s="3">
        <f>Aurora!M5*1000</f>
        <v>4556.6454772949201</v>
      </c>
      <c r="P37" s="3">
        <f>C37/8760</f>
        <v>3.4934392636497211</v>
      </c>
      <c r="Q37" s="85">
        <f>SUM(P37:P49)</f>
        <v>11.76533710706993</v>
      </c>
    </row>
    <row r="38" spans="1:17">
      <c r="A38" t="s">
        <v>99</v>
      </c>
      <c r="C38" s="73">
        <f>C39/C37</f>
        <v>26.176869265060713</v>
      </c>
      <c r="D38" s="76">
        <f>IF(D37&gt;0,D39/D37,"")</f>
        <v>27.148757650360562</v>
      </c>
      <c r="E38" s="76">
        <f t="shared" ref="E38:O38" si="11">IF(E37&gt;0,E39/E37,"")</f>
        <v>27.145287212442383</v>
      </c>
      <c r="F38" s="76">
        <f t="shared" si="11"/>
        <v>26.452490268741091</v>
      </c>
      <c r="G38" s="76">
        <f t="shared" si="11"/>
        <v>23.901856377680126</v>
      </c>
      <c r="H38" s="76">
        <f t="shared" si="11"/>
        <v>23.857486798514721</v>
      </c>
      <c r="I38" s="76">
        <f t="shared" si="11"/>
        <v>24.271633285185978</v>
      </c>
      <c r="J38" s="76">
        <f t="shared" si="11"/>
        <v>25.100860675659593</v>
      </c>
      <c r="K38" s="76">
        <f t="shared" si="11"/>
        <v>25.384151869443162</v>
      </c>
      <c r="L38" s="76">
        <f t="shared" si="11"/>
        <v>25.374669441815531</v>
      </c>
      <c r="M38" s="76">
        <f t="shared" si="11"/>
        <v>25.546896193652159</v>
      </c>
      <c r="N38" s="76">
        <f t="shared" si="11"/>
        <v>26.861547243568637</v>
      </c>
      <c r="O38" s="76">
        <f t="shared" si="11"/>
        <v>28.544050151250506</v>
      </c>
    </row>
    <row r="39" spans="1:17">
      <c r="A39" t="s">
        <v>53</v>
      </c>
      <c r="C39" s="30">
        <f>SUM(D39:O39)</f>
        <v>801078.37331630115</v>
      </c>
      <c r="D39" s="25">
        <f>Aurora!B17*1000</f>
        <v>77045.542311668396</v>
      </c>
      <c r="E39" s="25">
        <f>Aurora!C17*1000</f>
        <v>44262.278789281801</v>
      </c>
      <c r="F39" s="25">
        <f>Aurora!D17*1000</f>
        <v>32825.655031204202</v>
      </c>
      <c r="G39" s="25">
        <f>Aurora!E17*1000</f>
        <v>17862.1154733002</v>
      </c>
      <c r="H39" s="25">
        <f>Aurora!F17*1000</f>
        <v>10943.5888539999</v>
      </c>
      <c r="I39" s="25">
        <f>Aurora!G17*1000</f>
        <v>22623.347054421898</v>
      </c>
      <c r="J39" s="25">
        <f>Aurora!H17*1000</f>
        <v>107305.66711425701</v>
      </c>
      <c r="K39" s="25">
        <f>Aurora!I17*1000</f>
        <v>146979.28237914998</v>
      </c>
      <c r="L39" s="25">
        <f>Aurora!J17*1000</f>
        <v>89984.589350223498</v>
      </c>
      <c r="M39" s="25">
        <f>Aurora!K17*1000</f>
        <v>39479.195079207399</v>
      </c>
      <c r="N39" s="25">
        <f>Aurora!L17*1000</f>
        <v>81701.994854211807</v>
      </c>
      <c r="O39" s="25">
        <f>Aurora!M17*1000</f>
        <v>130065.117025375</v>
      </c>
    </row>
    <row r="40" spans="1:17"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7">
      <c r="A41" t="s">
        <v>56</v>
      </c>
      <c r="C41" s="27">
        <f>SUM(D41:O41)</f>
        <v>9664.6996257304963</v>
      </c>
      <c r="D41" s="3">
        <f>Aurora!B9*1000</f>
        <v>571.45806379318196</v>
      </c>
      <c r="E41" s="3">
        <f>Aurora!C9*1000</f>
        <v>380.26459510326305</v>
      </c>
      <c r="F41" s="3">
        <f>Aurora!D9*1000</f>
        <v>118.287282776832</v>
      </c>
      <c r="G41" s="3">
        <f>Aurora!E9*1000</f>
        <v>63.877560520172096</v>
      </c>
      <c r="H41" s="3">
        <f>Aurora!F9*1000</f>
        <v>67.298728823661804</v>
      </c>
      <c r="I41" s="3">
        <f>Aurora!G9*1000</f>
        <v>344.23261044025401</v>
      </c>
      <c r="J41" s="3">
        <f>Aurora!H9*1000</f>
        <v>1452.98700537681</v>
      </c>
      <c r="K41" s="3">
        <f>Aurora!I9*1000</f>
        <v>2496.3669277191102</v>
      </c>
      <c r="L41" s="3">
        <f>Aurora!J9*1000</f>
        <v>1394.02878437042</v>
      </c>
      <c r="M41" s="3">
        <f>Aurora!K9*1000</f>
        <v>470.33542900085399</v>
      </c>
      <c r="N41" s="3">
        <f>Aurora!L9*1000</f>
        <v>781.89575352668714</v>
      </c>
      <c r="O41" s="3">
        <f>Aurora!M9*1000</f>
        <v>1523.6668842792501</v>
      </c>
      <c r="P41" s="3">
        <f>C41/8760</f>
        <v>1.1032762129829334</v>
      </c>
    </row>
    <row r="42" spans="1:17">
      <c r="A42" t="s">
        <v>102</v>
      </c>
      <c r="C42" s="73">
        <f>C43/C41</f>
        <v>25.286666385597101</v>
      </c>
      <c r="D42" s="76">
        <f t="shared" ref="D42:O42" si="12">IF(D41&gt;0,D43/D41,"")</f>
        <v>26.268868933060634</v>
      </c>
      <c r="E42" s="76">
        <f t="shared" si="12"/>
        <v>26.352231986180012</v>
      </c>
      <c r="F42" s="76">
        <f t="shared" si="12"/>
        <v>25.44107343406445</v>
      </c>
      <c r="G42" s="76">
        <f t="shared" si="12"/>
        <v>23.143020826640317</v>
      </c>
      <c r="H42" s="76">
        <f t="shared" si="12"/>
        <v>23.22150604921957</v>
      </c>
      <c r="I42" s="76">
        <f t="shared" si="12"/>
        <v>23.513723174620843</v>
      </c>
      <c r="J42" s="76">
        <f t="shared" si="12"/>
        <v>24.318529149932509</v>
      </c>
      <c r="K42" s="76">
        <f t="shared" si="12"/>
        <v>24.605746512195385</v>
      </c>
      <c r="L42" s="76">
        <f t="shared" si="12"/>
        <v>24.593017948876334</v>
      </c>
      <c r="M42" s="76">
        <f t="shared" si="12"/>
        <v>24.718946448611661</v>
      </c>
      <c r="N42" s="76">
        <f t="shared" si="12"/>
        <v>26.03576861788261</v>
      </c>
      <c r="O42" s="76">
        <f t="shared" si="12"/>
        <v>27.686305769949122</v>
      </c>
    </row>
    <row r="43" spans="1:17">
      <c r="A43" t="s">
        <v>55</v>
      </c>
      <c r="C43" s="30">
        <f>SUM(D43:O43)</f>
        <v>244388.03515285222</v>
      </c>
      <c r="D43" s="25">
        <f>Aurora!B21*1000</f>
        <v>15011.5569785237</v>
      </c>
      <c r="E43" s="25">
        <f>Aurora!C21*1000</f>
        <v>10020.820826292</v>
      </c>
      <c r="F43" s="25">
        <f>Aurora!D21*1000</f>
        <v>3009.3554474413299</v>
      </c>
      <c r="G43" s="25">
        <f>Aurora!E21*1000</f>
        <v>1478.31971347332</v>
      </c>
      <c r="H43" s="25">
        <f>Aurora!F21*1000</f>
        <v>1562.7778384834501</v>
      </c>
      <c r="I43" s="25">
        <f>Aurora!G21*1000</f>
        <v>8094.1903095692296</v>
      </c>
      <c r="J43" s="25">
        <f>Aurora!H21*1000</f>
        <v>35334.506844729098</v>
      </c>
      <c r="K43" s="25">
        <f>Aurora!I21*1000</f>
        <v>61424.9718248844</v>
      </c>
      <c r="L43" s="25">
        <f>Aurora!J21*1000</f>
        <v>34283.374915271997</v>
      </c>
      <c r="M43" s="25">
        <f>Aurora!K21*1000</f>
        <v>11626.196282356901</v>
      </c>
      <c r="N43" s="25">
        <f>Aurora!L21*1000</f>
        <v>20357.256922125798</v>
      </c>
      <c r="O43" s="25">
        <f>Aurora!M21*1000</f>
        <v>42184.707249701001</v>
      </c>
    </row>
    <row r="44" spans="1:17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1:17">
      <c r="A45" t="s">
        <v>37</v>
      </c>
      <c r="C45" s="27">
        <f>SUM(D45:O45)</f>
        <v>59287.392018890183</v>
      </c>
      <c r="D45" s="3">
        <f>Aurora!B12*1000</f>
        <v>3469.44060688018</v>
      </c>
      <c r="E45" s="3">
        <f>Aurora!C12*1000</f>
        <v>2337.8694698333702</v>
      </c>
      <c r="F45" s="3">
        <f>Aurora!D12*1000</f>
        <v>172.81938037872311</v>
      </c>
      <c r="G45" s="3">
        <f>Aurora!E12*1000</f>
        <v>115.12944717407211</v>
      </c>
      <c r="H45" s="3">
        <f>Aurora!F12*1000</f>
        <v>74.626722335815302</v>
      </c>
      <c r="I45" s="3">
        <f>Aurora!G12*1000</f>
        <v>1664.316903114317</v>
      </c>
      <c r="J45" s="3">
        <f>Aurora!H12*1000</f>
        <v>9419.55414381027</v>
      </c>
      <c r="K45" s="3">
        <f>Aurora!I12*1000</f>
        <v>21016.874869537198</v>
      </c>
      <c r="L45" s="3">
        <f>Aurora!J12*1000</f>
        <v>7390.3343630790596</v>
      </c>
      <c r="M45" s="3">
        <f>Aurora!K12*1000</f>
        <v>1271.1080947875971</v>
      </c>
      <c r="N45" s="3">
        <f>Aurora!L12*1000</f>
        <v>2952.5146976470901</v>
      </c>
      <c r="O45" s="3">
        <f>Aurora!M12*1000</f>
        <v>9402.8033203124905</v>
      </c>
      <c r="P45" s="3">
        <f>C45/8760</f>
        <v>6.767967125444085</v>
      </c>
    </row>
    <row r="46" spans="1:17">
      <c r="A46" t="s">
        <v>96</v>
      </c>
      <c r="C46" s="73">
        <f>C47/C45</f>
        <v>34.19717987499866</v>
      </c>
      <c r="D46" s="76">
        <f t="shared" ref="D46:O46" si="13">IF(D45&gt;0,D47/D45,"")</f>
        <v>34.288837801425331</v>
      </c>
      <c r="E46" s="76">
        <f t="shared" si="13"/>
        <v>34.26924912264365</v>
      </c>
      <c r="F46" s="76">
        <f t="shared" si="13"/>
        <v>34.757750135623084</v>
      </c>
      <c r="G46" s="76">
        <f t="shared" si="13"/>
        <v>31.829503424161924</v>
      </c>
      <c r="H46" s="76">
        <f t="shared" si="13"/>
        <v>31.410740718518998</v>
      </c>
      <c r="I46" s="76">
        <f t="shared" si="13"/>
        <v>31.655998601654225</v>
      </c>
      <c r="J46" s="76">
        <f t="shared" si="13"/>
        <v>33.139213308432815</v>
      </c>
      <c r="K46" s="76">
        <f t="shared" si="13"/>
        <v>33.36583896480758</v>
      </c>
      <c r="L46" s="76">
        <f t="shared" si="13"/>
        <v>33.733617515090671</v>
      </c>
      <c r="M46" s="76">
        <f t="shared" si="13"/>
        <v>35.477547949766254</v>
      </c>
      <c r="N46" s="76">
        <f t="shared" si="13"/>
        <v>36.350192353485383</v>
      </c>
      <c r="O46" s="76">
        <f t="shared" si="13"/>
        <v>37.069286135733506</v>
      </c>
    </row>
    <row r="47" spans="1:17">
      <c r="A47" t="s">
        <v>38</v>
      </c>
      <c r="C47" s="30">
        <f>SUM(D47:O47)</f>
        <v>2027461.6091895476</v>
      </c>
      <c r="D47" s="25">
        <f>Aurora!B24*1000</f>
        <v>118963.08623099315</v>
      </c>
      <c r="E47" s="25">
        <f>Aurora!C24*1000</f>
        <v>80117.031277942602</v>
      </c>
      <c r="F47" s="25">
        <f>Aurora!D24*1000</f>
        <v>6006.8128417968601</v>
      </c>
      <c r="G47" s="25">
        <f>Aurora!E24*1000</f>
        <v>3664.5131330489976</v>
      </c>
      <c r="H47" s="25">
        <f>Aurora!F24*1000</f>
        <v>2344.080625963205</v>
      </c>
      <c r="I47" s="25">
        <f>Aurora!G24*1000</f>
        <v>52685.613557696313</v>
      </c>
      <c r="J47" s="25">
        <f>Aurora!H24*1000</f>
        <v>312156.6140420608</v>
      </c>
      <c r="K47" s="25">
        <f>Aurora!I24*1000</f>
        <v>701245.6624404894</v>
      </c>
      <c r="L47" s="25">
        <f>Aurora!J24*1000</f>
        <v>249302.71271274021</v>
      </c>
      <c r="M47" s="25">
        <f>Aurora!K24*1000</f>
        <v>45095.798382163004</v>
      </c>
      <c r="N47" s="25">
        <f>Aurora!L24*1000</f>
        <v>107324.47718596447</v>
      </c>
      <c r="O47" s="25">
        <f>Aurora!M24*1000</f>
        <v>348555.20675868879</v>
      </c>
    </row>
    <row r="48" spans="1:17"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>
      <c r="A49" t="s">
        <v>42</v>
      </c>
      <c r="C49" s="27">
        <f>SUM(D49:O49)</f>
        <v>3509.7334637403451</v>
      </c>
      <c r="D49" s="3">
        <f>Aurora!B11*1000</f>
        <v>152.3475583076476</v>
      </c>
      <c r="E49" s="3">
        <f>Aurora!C11*1000</f>
        <v>94.921124267577994</v>
      </c>
      <c r="F49" s="3">
        <f>Aurora!D11*1000</f>
        <v>0</v>
      </c>
      <c r="G49" s="3">
        <f>Aurora!E11*1000</f>
        <v>0</v>
      </c>
      <c r="H49" s="3">
        <f>Aurora!F11*1000</f>
        <v>0</v>
      </c>
      <c r="I49" s="3">
        <f>Aurora!G11*1000</f>
        <v>134.8574443817138</v>
      </c>
      <c r="J49" s="3">
        <f>Aurora!H11*1000</f>
        <v>451.87960052490098</v>
      </c>
      <c r="K49" s="3">
        <f>Aurora!I11*1000</f>
        <v>1935.685438108444</v>
      </c>
      <c r="L49" s="3">
        <f>Aurora!J11*1000</f>
        <v>277.897857046127</v>
      </c>
      <c r="M49" s="3">
        <f>Aurora!K11*1000</f>
        <v>22.466506648063501</v>
      </c>
      <c r="N49" s="3">
        <f>Aurora!L11*1000</f>
        <v>41.072986125945903</v>
      </c>
      <c r="O49" s="3">
        <f>Aurora!M11*1000</f>
        <v>398.60494832992401</v>
      </c>
      <c r="P49" s="3">
        <f>C49/8760</f>
        <v>0.40065450499319005</v>
      </c>
    </row>
    <row r="50" spans="1:16">
      <c r="A50" t="s">
        <v>97</v>
      </c>
      <c r="C50" s="73">
        <f>C51/C49</f>
        <v>37.087341316517993</v>
      </c>
      <c r="D50" s="76">
        <f t="shared" ref="D50:O50" si="14">IF(D49&gt;0,D51/D49,"")</f>
        <v>38.873007415267487</v>
      </c>
      <c r="E50" s="76">
        <f t="shared" si="14"/>
        <v>38.9511805391721</v>
      </c>
      <c r="F50" s="76" t="str">
        <f t="shared" si="14"/>
        <v/>
      </c>
      <c r="G50" s="76" t="str">
        <f t="shared" si="14"/>
        <v/>
      </c>
      <c r="H50" s="76" t="str">
        <f t="shared" si="14"/>
        <v/>
      </c>
      <c r="I50" s="76">
        <f t="shared" si="14"/>
        <v>34.848378319426203</v>
      </c>
      <c r="J50" s="76">
        <f t="shared" si="14"/>
        <v>36.023603838233647</v>
      </c>
      <c r="K50" s="76">
        <f t="shared" si="14"/>
        <v>36.462477248466733</v>
      </c>
      <c r="L50" s="76">
        <f t="shared" si="14"/>
        <v>36.389073740044104</v>
      </c>
      <c r="M50" s="76">
        <f t="shared" si="14"/>
        <v>36.713574714963968</v>
      </c>
      <c r="N50" s="76">
        <f t="shared" si="14"/>
        <v>38.703294514234798</v>
      </c>
      <c r="O50" s="76">
        <f t="shared" si="14"/>
        <v>41.300221924531918</v>
      </c>
    </row>
    <row r="51" spans="1:16">
      <c r="A51" t="s">
        <v>43</v>
      </c>
      <c r="C51" s="30">
        <f>SUM(D51:O51)</f>
        <v>130166.68289974311</v>
      </c>
      <c r="D51" s="25">
        <f>Aurora!B23*1000</f>
        <v>5922.2077637910807</v>
      </c>
      <c r="E51" s="25">
        <f>Aurora!C23*1000</f>
        <v>3697.2898483276203</v>
      </c>
      <c r="F51" s="25">
        <f>Aurora!D23*1000</f>
        <v>0</v>
      </c>
      <c r="G51" s="25">
        <f>Aurora!E23*1000</f>
        <v>0</v>
      </c>
      <c r="H51" s="25">
        <f>Aurora!F23*1000</f>
        <v>0</v>
      </c>
      <c r="I51" s="25">
        <f>Aurora!G23*1000</f>
        <v>4699.5632410049402</v>
      </c>
      <c r="J51" s="25">
        <f>Aurora!H23*1000</f>
        <v>16278.33171188831</v>
      </c>
      <c r="K51" s="25">
        <f>Aurora!I23*1000</f>
        <v>70579.886247217495</v>
      </c>
      <c r="L51" s="25">
        <f>Aurora!J23*1000</f>
        <v>10112.445612251751</v>
      </c>
      <c r="M51" s="25">
        <f>Aurora!K23*1000</f>
        <v>824.82577040791409</v>
      </c>
      <c r="N51" s="25">
        <f>Aurora!L23*1000</f>
        <v>1589.6598786115642</v>
      </c>
      <c r="O51" s="25">
        <f>Aurora!M23*1000</f>
        <v>16462.47282624244</v>
      </c>
    </row>
    <row r="52" spans="1:16"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1:16">
      <c r="A53" t="s">
        <v>39</v>
      </c>
      <c r="C53" s="52">
        <f>SUM(D53:O53)</f>
        <v>99705957.194905341</v>
      </c>
      <c r="D53" s="32">
        <f t="shared" ref="D53:J53" si="15">D23+D27+D31+D35+D39+D43+D47+D51</f>
        <v>10457712.465649828</v>
      </c>
      <c r="E53" s="32">
        <f t="shared" si="15"/>
        <v>8639682.6214891374</v>
      </c>
      <c r="F53" s="32">
        <f t="shared" si="15"/>
        <v>9065798.2781723496</v>
      </c>
      <c r="G53" s="32">
        <f t="shared" si="15"/>
        <v>6863826.376640656</v>
      </c>
      <c r="H53" s="32">
        <f t="shared" si="15"/>
        <v>4643809.7769471537</v>
      </c>
      <c r="I53" s="32">
        <f t="shared" si="15"/>
        <v>3447632.6092281211</v>
      </c>
      <c r="J53" s="32">
        <f t="shared" si="15"/>
        <v>7424911.4748384459</v>
      </c>
      <c r="K53" s="32">
        <f>K23+K27+K31+K35+K39+K43+K47+K51</f>
        <v>9708234.8688248545</v>
      </c>
      <c r="L53" s="32">
        <f>L23+L27+L31+L35+L39+L43+L47+L51</f>
        <v>9290562.3619023394</v>
      </c>
      <c r="M53" s="32">
        <f>M23+M27+M31+M35+M39+M43+M47+M51</f>
        <v>9147223.6050112098</v>
      </c>
      <c r="N53" s="32">
        <f>N23+N27+N31+N35+N39+N43+N47+N51</f>
        <v>9550374.7651408203</v>
      </c>
      <c r="O53" s="32">
        <f>O23+O27+O31+O35+O39+O43+O47+O51</f>
        <v>11466187.991060436</v>
      </c>
    </row>
    <row r="54" spans="1:16">
      <c r="C54" s="25"/>
      <c r="D54" s="25"/>
      <c r="E54" s="25"/>
      <c r="F54" s="25"/>
      <c r="G54" s="25"/>
      <c r="H54" s="25"/>
      <c r="I54" s="25"/>
    </row>
    <row r="55" spans="1:16" s="12" customFormat="1">
      <c r="A55" s="34" t="s">
        <v>88</v>
      </c>
      <c r="B55" s="35"/>
      <c r="C55" s="71">
        <f>C53+C13+C9</f>
        <v>66843063.564657934</v>
      </c>
    </row>
    <row r="56" spans="1:16" s="12" customFormat="1">
      <c r="A56" s="9"/>
      <c r="C56" s="36"/>
      <c r="D56" s="36"/>
      <c r="E56" s="36"/>
      <c r="F56" s="36"/>
      <c r="G56" s="36"/>
      <c r="H56" s="36"/>
      <c r="I56" s="36"/>
    </row>
  </sheetData>
  <phoneticPr fontId="6" type="noConversion"/>
  <pageMargins left="0.75" right="0.75" top="1" bottom="1" header="0.5" footer="0.5"/>
  <pageSetup scale="53" orientation="landscape" r:id="rId1"/>
  <headerFooter alignWithMargins="0">
    <oddHeader>&amp;R&amp;"Times New Roman,Regular"&amp;12Exhibit No.__(WGJ-4)</oddHeader>
    <oddFooter>&amp;R&amp;"Times New Roman,Regular"&amp;12Page &amp;P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tabSelected="1" zoomScaleNormal="100" workbookViewId="0">
      <selection activeCell="B30" sqref="B30"/>
    </sheetView>
  </sheetViews>
  <sheetFormatPr defaultColWidth="9.140625" defaultRowHeight="12.75"/>
  <cols>
    <col min="1" max="1" width="32.5703125" style="115" customWidth="1"/>
    <col min="2" max="2" width="13.140625" style="115" customWidth="1"/>
    <col min="3" max="14" width="11.85546875" style="115" customWidth="1"/>
    <col min="15" max="16384" width="9.140625" style="115"/>
  </cols>
  <sheetData>
    <row r="1" spans="1:19" ht="15.75">
      <c r="A1" s="134" t="s">
        <v>155</v>
      </c>
      <c r="S1" s="145">
        <v>0.64710000000000001</v>
      </c>
    </row>
    <row r="2" spans="1:19" ht="15.75">
      <c r="A2" s="134" t="s">
        <v>240</v>
      </c>
    </row>
    <row r="3" spans="1:19" ht="15.75">
      <c r="A3" s="134" t="s">
        <v>173</v>
      </c>
    </row>
    <row r="4" spans="1:19" s="135" customFormat="1" ht="15.75">
      <c r="A4" s="134" t="s">
        <v>241</v>
      </c>
    </row>
    <row r="5" spans="1:19" ht="15.75">
      <c r="A5" s="134"/>
    </row>
    <row r="6" spans="1:19">
      <c r="A6" s="116" t="s">
        <v>185</v>
      </c>
    </row>
    <row r="7" spans="1:19">
      <c r="A7" s="116"/>
    </row>
    <row r="8" spans="1:19">
      <c r="B8" s="136" t="s">
        <v>32</v>
      </c>
      <c r="C8" s="137" t="s">
        <v>191</v>
      </c>
      <c r="D8" s="137" t="s">
        <v>192</v>
      </c>
      <c r="E8" s="137" t="s">
        <v>193</v>
      </c>
      <c r="F8" s="137" t="s">
        <v>194</v>
      </c>
      <c r="G8" s="137" t="s">
        <v>79</v>
      </c>
      <c r="H8" s="137" t="s">
        <v>195</v>
      </c>
      <c r="I8" s="137" t="s">
        <v>196</v>
      </c>
      <c r="J8" s="137" t="s">
        <v>197</v>
      </c>
      <c r="K8" s="137" t="s">
        <v>198</v>
      </c>
      <c r="L8" s="137" t="s">
        <v>199</v>
      </c>
      <c r="M8" s="137" t="s">
        <v>200</v>
      </c>
      <c r="N8" s="137" t="s">
        <v>201</v>
      </c>
    </row>
    <row r="10" spans="1:19">
      <c r="A10" s="115" t="s">
        <v>144</v>
      </c>
      <c r="B10" s="138">
        <f>SUM(C10:N10)</f>
        <v>109782159.33128344</v>
      </c>
      <c r="C10" s="138">
        <f>'WGJ-2'!K28</f>
        <v>11890190.669120457</v>
      </c>
      <c r="D10" s="138">
        <f>'WGJ-2'!L28</f>
        <v>10851123.754225841</v>
      </c>
      <c r="E10" s="138">
        <f>'WGJ-2'!M28</f>
        <v>9803534.4717581868</v>
      </c>
      <c r="F10" s="138">
        <f>'WGJ-2'!N28</f>
        <v>9102886.4839497004</v>
      </c>
      <c r="G10" s="138">
        <f>'WGJ-2'!O28</f>
        <v>7119396.4264687859</v>
      </c>
      <c r="H10" s="138">
        <f>'WGJ-2'!P28</f>
        <v>6902217.874237285</v>
      </c>
      <c r="I10" s="138">
        <f>'WGJ-2'!Q28</f>
        <v>7232147.4187853467</v>
      </c>
      <c r="J10" s="138">
        <f>'WGJ-2'!R28</f>
        <v>8097018.9090962764</v>
      </c>
      <c r="K10" s="138">
        <f>'WGJ-2'!S28</f>
        <v>7065608.7858648337</v>
      </c>
      <c r="L10" s="138">
        <f>'WGJ-2'!T28</f>
        <v>7653799.8267874662</v>
      </c>
      <c r="M10" s="138">
        <f>'WGJ-2'!U28</f>
        <v>11766874.668108283</v>
      </c>
      <c r="N10" s="138">
        <f>'WGJ-2'!V28</f>
        <v>12297360.042880978</v>
      </c>
    </row>
    <row r="11" spans="1:19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  <row r="12" spans="1:19">
      <c r="A12" s="115" t="s">
        <v>143</v>
      </c>
      <c r="B12" s="138">
        <f>SUM(C12:N12)</f>
        <v>29225488.454362359</v>
      </c>
      <c r="C12" s="138">
        <f>'WGJ-2'!K44</f>
        <v>2656666.712750711</v>
      </c>
      <c r="D12" s="138">
        <f>'WGJ-2'!L44</f>
        <v>2429256.5280812168</v>
      </c>
      <c r="E12" s="138">
        <f>'WGJ-2'!M44</f>
        <v>2546748.5875981217</v>
      </c>
      <c r="F12" s="138">
        <f>'WGJ-2'!N44</f>
        <v>2315525.8195774918</v>
      </c>
      <c r="G12" s="138">
        <f>'WGJ-2'!O44</f>
        <v>2013000.2771275404</v>
      </c>
      <c r="H12" s="138">
        <f>'WGJ-2'!P44</f>
        <v>1616295.9381478205</v>
      </c>
      <c r="I12" s="138">
        <f>'WGJ-2'!Q44</f>
        <v>2426375.405682839</v>
      </c>
      <c r="J12" s="138">
        <f>'WGJ-2'!R44</f>
        <v>2634480.3365605245</v>
      </c>
      <c r="K12" s="138">
        <f>'WGJ-2'!S44</f>
        <v>2625613.679303444</v>
      </c>
      <c r="L12" s="138">
        <f>'WGJ-2'!T44</f>
        <v>2655970.96918992</v>
      </c>
      <c r="M12" s="138">
        <f>'WGJ-2'!U44</f>
        <v>2604170.9669010998</v>
      </c>
      <c r="N12" s="138">
        <f>'WGJ-2'!V44</f>
        <v>2701383.2334416281</v>
      </c>
    </row>
    <row r="13" spans="1:19"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19">
      <c r="A14" s="115" t="s">
        <v>184</v>
      </c>
      <c r="B14" s="138">
        <f>SUM(C14:N14)</f>
        <v>76583520.740542993</v>
      </c>
      <c r="C14" s="138">
        <f>'WGJ-2'!K58</f>
        <v>8309633.4195657829</v>
      </c>
      <c r="D14" s="138">
        <f>'WGJ-2'!L58</f>
        <v>6719013.7600745875</v>
      </c>
      <c r="E14" s="138">
        <f>'WGJ-2'!M58</f>
        <v>7027637.3572408957</v>
      </c>
      <c r="F14" s="138">
        <f>'WGJ-2'!N58</f>
        <v>5056888.2237298321</v>
      </c>
      <c r="G14" s="138">
        <f>'WGJ-2'!O58</f>
        <v>3139397.1664862796</v>
      </c>
      <c r="H14" s="138">
        <f>'WGJ-2'!P58</f>
        <v>2339924.3377469671</v>
      </c>
      <c r="I14" s="138">
        <f>'WGJ-2'!Q58</f>
        <v>5507123.7358222753</v>
      </c>
      <c r="J14" s="138">
        <f>'WGJ-2'!R58</f>
        <v>7582342.1989309955</v>
      </c>
      <c r="K14" s="138">
        <f>'WGJ-2'!S58</f>
        <v>7173536.3492655633</v>
      </c>
      <c r="L14" s="138">
        <f>'WGJ-2'!T58</f>
        <v>6999840.3024879573</v>
      </c>
      <c r="M14" s="138">
        <f>'WGJ-2'!U58</f>
        <v>7454791.464906388</v>
      </c>
      <c r="N14" s="138">
        <f>'WGJ-2'!V58</f>
        <v>9273392.4242854733</v>
      </c>
    </row>
    <row r="15" spans="1:19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</row>
    <row r="16" spans="1:19">
      <c r="A16" s="139" t="s">
        <v>142</v>
      </c>
      <c r="B16" s="140">
        <f>SUM(C16:N16)</f>
        <v>57503699.41395019</v>
      </c>
      <c r="C16" s="140">
        <f>'WGJ-2'!K90</f>
        <v>4838322.5270464523</v>
      </c>
      <c r="D16" s="140">
        <f>'WGJ-2'!L90</f>
        <v>3793497.7350734272</v>
      </c>
      <c r="E16" s="140">
        <f>'WGJ-2'!M90</f>
        <v>4538859.6737422217</v>
      </c>
      <c r="F16" s="140">
        <f>'WGJ-2'!N90</f>
        <v>6661816.6013098639</v>
      </c>
      <c r="G16" s="140">
        <f>'WGJ-2'!O90</f>
        <v>6038969.5105370246</v>
      </c>
      <c r="H16" s="140">
        <f>'WGJ-2'!P90</f>
        <v>3990491.5774227218</v>
      </c>
      <c r="I16" s="140">
        <f>'WGJ-2'!Q90</f>
        <v>5000474.2399754692</v>
      </c>
      <c r="J16" s="140">
        <f>'WGJ-2'!R90</f>
        <v>3890691.4055310455</v>
      </c>
      <c r="K16" s="140">
        <f>'WGJ-2'!S90</f>
        <v>4324727.1370259058</v>
      </c>
      <c r="L16" s="140">
        <f>'WGJ-2'!T90</f>
        <v>3385284.5372420321</v>
      </c>
      <c r="M16" s="140">
        <f>'WGJ-2'!U90</f>
        <v>4574743.572626628</v>
      </c>
      <c r="N16" s="140">
        <f>'WGJ-2'!V90</f>
        <v>6465820.8964173887</v>
      </c>
    </row>
    <row r="17" spans="1:14" ht="12.75" customHeight="1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1:14">
      <c r="A18" s="133" t="s">
        <v>139</v>
      </c>
      <c r="B18" s="138">
        <f>SUM(C18:N18)</f>
        <v>158087469.11223862</v>
      </c>
      <c r="C18" s="138">
        <f>SUM(C10:C14)-C16</f>
        <v>18018168.274390496</v>
      </c>
      <c r="D18" s="138">
        <f t="shared" ref="D18:N18" si="0">SUM(D10:D14)-D16</f>
        <v>16205896.307308218</v>
      </c>
      <c r="E18" s="138">
        <f t="shared" si="0"/>
        <v>14839060.742854984</v>
      </c>
      <c r="F18" s="138">
        <f t="shared" si="0"/>
        <v>9813483.9259471595</v>
      </c>
      <c r="G18" s="138">
        <f t="shared" si="0"/>
        <v>6232824.359545581</v>
      </c>
      <c r="H18" s="138">
        <f t="shared" si="0"/>
        <v>6867946.5727093499</v>
      </c>
      <c r="I18" s="138">
        <f t="shared" si="0"/>
        <v>10165172.320314992</v>
      </c>
      <c r="J18" s="138">
        <f t="shared" si="0"/>
        <v>14423150.039056752</v>
      </c>
      <c r="K18" s="138">
        <f t="shared" si="0"/>
        <v>12540031.677407937</v>
      </c>
      <c r="L18" s="138">
        <f t="shared" si="0"/>
        <v>13924326.561223309</v>
      </c>
      <c r="M18" s="138">
        <f t="shared" si="0"/>
        <v>17251093.527289141</v>
      </c>
      <c r="N18" s="138">
        <f t="shared" si="0"/>
        <v>17806314.804190695</v>
      </c>
    </row>
    <row r="19" spans="1:14" ht="12.75" customHeight="1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ht="12.75" customHeight="1">
      <c r="A20" s="133" t="s">
        <v>174</v>
      </c>
      <c r="B20" s="138">
        <f>SUM(C20:N20)</f>
        <v>17765508.208842002</v>
      </c>
      <c r="C20" s="138">
        <f>'WGJ-2'!K72</f>
        <v>1500352.1984000001</v>
      </c>
      <c r="D20" s="138">
        <f>'WGJ-2'!L72</f>
        <v>1481494.504432</v>
      </c>
      <c r="E20" s="138">
        <f>'WGJ-2'!M72</f>
        <v>1469251.507008</v>
      </c>
      <c r="F20" s="138">
        <f>'WGJ-2'!N72</f>
        <v>1475441.9637200001</v>
      </c>
      <c r="G20" s="138">
        <f>'WGJ-2'!O72</f>
        <v>1459812.70964</v>
      </c>
      <c r="H20" s="138">
        <f>'WGJ-2'!P72</f>
        <v>1431602.96236</v>
      </c>
      <c r="I20" s="138">
        <f>'WGJ-2'!Q72</f>
        <v>1480643.1336399999</v>
      </c>
      <c r="J20" s="138">
        <f>'WGJ-2'!R72</f>
        <v>1475243.3136</v>
      </c>
      <c r="K20" s="138">
        <f>'WGJ-2'!S72</f>
        <v>1456445.2095600001</v>
      </c>
      <c r="L20" s="138">
        <f>'WGJ-2'!T72</f>
        <v>1488979.860962</v>
      </c>
      <c r="M20" s="138">
        <f>'WGJ-2'!U72</f>
        <v>1496003.0938136</v>
      </c>
      <c r="N20" s="138">
        <f>'WGJ-2'!V72</f>
        <v>1550237.7517064</v>
      </c>
    </row>
    <row r="21" spans="1:14" ht="12.75" customHeight="1">
      <c r="A21" s="133"/>
    </row>
    <row r="22" spans="1:14" ht="12.75" customHeight="1">
      <c r="A22" s="133" t="s">
        <v>218</v>
      </c>
      <c r="B22" s="119">
        <f>SUM(C22:N22)</f>
        <v>16378147.519698666</v>
      </c>
      <c r="C22" s="119">
        <v>1195990.1908000002</v>
      </c>
      <c r="D22" s="119">
        <v>1283463.5011333334</v>
      </c>
      <c r="E22" s="119">
        <v>1324633.2965999998</v>
      </c>
      <c r="F22" s="119">
        <v>1270009.4722</v>
      </c>
      <c r="G22" s="119">
        <v>1400258.2214666668</v>
      </c>
      <c r="H22" s="119">
        <v>1553513.7276000001</v>
      </c>
      <c r="I22" s="119">
        <v>1531793.3478320001</v>
      </c>
      <c r="J22" s="119">
        <v>1456835.1385333331</v>
      </c>
      <c r="K22" s="119">
        <v>1411027.3790666668</v>
      </c>
      <c r="L22" s="119">
        <v>1361807.8338666665</v>
      </c>
      <c r="M22" s="119">
        <v>1358631.8406666666</v>
      </c>
      <c r="N22" s="119">
        <v>1230183.5699333332</v>
      </c>
    </row>
    <row r="23" spans="1:14" ht="12.75" customHeight="1">
      <c r="A23" s="133"/>
      <c r="B23" s="119"/>
    </row>
    <row r="24" spans="1:14" ht="12.75" customHeight="1">
      <c r="A24" s="133" t="s">
        <v>181</v>
      </c>
      <c r="B24" s="119">
        <f>SUM(C24:N24)</f>
        <v>407000.00000000006</v>
      </c>
      <c r="C24" s="138">
        <f>'WGJ-2'!K31</f>
        <v>33916.666666666664</v>
      </c>
      <c r="D24" s="138">
        <f>'WGJ-2'!L31</f>
        <v>33916.666666666664</v>
      </c>
      <c r="E24" s="138">
        <f>'WGJ-2'!M31</f>
        <v>33916.666666666664</v>
      </c>
      <c r="F24" s="138">
        <f>'WGJ-2'!N31</f>
        <v>33916.666666666664</v>
      </c>
      <c r="G24" s="138">
        <f>'WGJ-2'!O31</f>
        <v>33916.666666666664</v>
      </c>
      <c r="H24" s="138">
        <f>'WGJ-2'!P31</f>
        <v>33916.666666666664</v>
      </c>
      <c r="I24" s="138">
        <f>'WGJ-2'!Q31</f>
        <v>33916.666666666664</v>
      </c>
      <c r="J24" s="138">
        <f>'WGJ-2'!R31</f>
        <v>33916.666666666664</v>
      </c>
      <c r="K24" s="138">
        <f>'WGJ-2'!S31</f>
        <v>33916.666666666664</v>
      </c>
      <c r="L24" s="138">
        <f>'WGJ-2'!T31</f>
        <v>33916.666666666664</v>
      </c>
      <c r="M24" s="138">
        <f>'WGJ-2'!U31</f>
        <v>33916.666666666664</v>
      </c>
      <c r="N24" s="138">
        <f>'WGJ-2'!V31</f>
        <v>33916.666666666664</v>
      </c>
    </row>
    <row r="25" spans="1:14" ht="12.75" customHeight="1">
      <c r="A25" s="133"/>
    </row>
    <row r="26" spans="1:14" ht="12.75" customHeight="1">
      <c r="A26" s="133" t="s">
        <v>237</v>
      </c>
      <c r="B26" s="119">
        <f>SUM(C26:N26)</f>
        <v>159881829.80138195</v>
      </c>
      <c r="C26" s="138">
        <f t="shared" ref="C26:N26" si="1">C18+C20-C22+C24</f>
        <v>18356446.948657162</v>
      </c>
      <c r="D26" s="138">
        <f t="shared" si="1"/>
        <v>16437843.977273548</v>
      </c>
      <c r="E26" s="138">
        <f t="shared" si="1"/>
        <v>15017595.619929651</v>
      </c>
      <c r="F26" s="138">
        <f t="shared" si="1"/>
        <v>10052833.084133824</v>
      </c>
      <c r="G26" s="138">
        <f t="shared" si="1"/>
        <v>6326295.514385581</v>
      </c>
      <c r="H26" s="138">
        <f t="shared" si="1"/>
        <v>6779952.4741360173</v>
      </c>
      <c r="I26" s="138">
        <f t="shared" si="1"/>
        <v>10147938.772789659</v>
      </c>
      <c r="J26" s="138">
        <f t="shared" si="1"/>
        <v>14475474.880790085</v>
      </c>
      <c r="K26" s="138">
        <f t="shared" si="1"/>
        <v>12619366.174567936</v>
      </c>
      <c r="L26" s="138">
        <f t="shared" si="1"/>
        <v>14085415.254985308</v>
      </c>
      <c r="M26" s="138">
        <f t="shared" si="1"/>
        <v>17422381.447102744</v>
      </c>
      <c r="N26" s="138">
        <f t="shared" si="1"/>
        <v>18160285.65263043</v>
      </c>
    </row>
    <row r="27" spans="1:14" ht="12.75" customHeight="1">
      <c r="A27" s="133"/>
      <c r="B27" s="138"/>
    </row>
    <row r="28" spans="1:14" ht="12.75" customHeight="1">
      <c r="A28" s="133" t="s">
        <v>238</v>
      </c>
      <c r="B28" s="119">
        <f>SUM(C28:N28)</f>
        <v>103459532.06447425</v>
      </c>
      <c r="C28" s="138">
        <f>C26*$S$1</f>
        <v>11878456.82047605</v>
      </c>
      <c r="D28" s="138">
        <f t="shared" ref="D28:N28" si="2">D26*$S$1</f>
        <v>10636928.837693714</v>
      </c>
      <c r="E28" s="138">
        <f t="shared" si="2"/>
        <v>9717886.1256564762</v>
      </c>
      <c r="F28" s="138">
        <f t="shared" si="2"/>
        <v>6505188.2887429977</v>
      </c>
      <c r="G28" s="138">
        <f t="shared" si="2"/>
        <v>4093745.8273589094</v>
      </c>
      <c r="H28" s="138">
        <f t="shared" si="2"/>
        <v>4387307.2460134169</v>
      </c>
      <c r="I28" s="138">
        <f t="shared" si="2"/>
        <v>6566731.1798721887</v>
      </c>
      <c r="J28" s="138">
        <f t="shared" si="2"/>
        <v>9367079.7953592632</v>
      </c>
      <c r="K28" s="138">
        <f t="shared" si="2"/>
        <v>8165991.8515629116</v>
      </c>
      <c r="L28" s="138">
        <f t="shared" si="2"/>
        <v>9114672.211500993</v>
      </c>
      <c r="M28" s="138">
        <f t="shared" si="2"/>
        <v>11274023.034420187</v>
      </c>
      <c r="N28" s="138">
        <f t="shared" si="2"/>
        <v>11751520.845817151</v>
      </c>
    </row>
    <row r="29" spans="1:14" ht="12.75" customHeight="1">
      <c r="A29" s="133"/>
      <c r="B29" s="138"/>
    </row>
    <row r="30" spans="1:14" ht="12.75" customHeight="1">
      <c r="A30" s="133"/>
      <c r="B30" s="138"/>
    </row>
    <row r="32" spans="1:14">
      <c r="A32" s="116" t="s">
        <v>214</v>
      </c>
    </row>
    <row r="34" spans="1:14">
      <c r="B34" s="136" t="s">
        <v>32</v>
      </c>
      <c r="C34" s="137" t="str">
        <f>C8</f>
        <v>January</v>
      </c>
      <c r="D34" s="137" t="str">
        <f t="shared" ref="D34:N34" si="3">D8</f>
        <v>February</v>
      </c>
      <c r="E34" s="137" t="str">
        <f t="shared" si="3"/>
        <v>March</v>
      </c>
      <c r="F34" s="137" t="str">
        <f t="shared" si="3"/>
        <v>April</v>
      </c>
      <c r="G34" s="137" t="str">
        <f t="shared" si="3"/>
        <v>May</v>
      </c>
      <c r="H34" s="137" t="str">
        <f t="shared" si="3"/>
        <v>June</v>
      </c>
      <c r="I34" s="137" t="str">
        <f t="shared" si="3"/>
        <v>July</v>
      </c>
      <c r="J34" s="137" t="str">
        <f t="shared" si="3"/>
        <v>August</v>
      </c>
      <c r="K34" s="137" t="str">
        <f t="shared" si="3"/>
        <v>September</v>
      </c>
      <c r="L34" s="137" t="str">
        <f t="shared" si="3"/>
        <v>October</v>
      </c>
      <c r="M34" s="137" t="str">
        <f t="shared" si="3"/>
        <v>November</v>
      </c>
      <c r="N34" s="137" t="str">
        <f t="shared" si="3"/>
        <v>December</v>
      </c>
    </row>
    <row r="36" spans="1:14">
      <c r="A36" s="133" t="s">
        <v>219</v>
      </c>
      <c r="B36" s="132">
        <f>SUM(C36:N36)</f>
        <v>5687562.6260000002</v>
      </c>
      <c r="C36" s="132">
        <v>539781.76899999997</v>
      </c>
      <c r="D36" s="132">
        <v>480360.23100000003</v>
      </c>
      <c r="E36" s="132">
        <v>488540.853</v>
      </c>
      <c r="F36" s="132">
        <v>438785.73200000002</v>
      </c>
      <c r="G36" s="132">
        <v>426014.61</v>
      </c>
      <c r="H36" s="132">
        <v>431765.58799999999</v>
      </c>
      <c r="I36" s="132">
        <v>489661.777</v>
      </c>
      <c r="J36" s="132">
        <v>477851.777</v>
      </c>
      <c r="K36" s="132">
        <v>422173.81900000002</v>
      </c>
      <c r="L36" s="132">
        <v>452820.05200000003</v>
      </c>
      <c r="M36" s="132">
        <v>489500.18599999999</v>
      </c>
      <c r="N36" s="132">
        <v>550306.23199999996</v>
      </c>
    </row>
    <row r="38" spans="1:14">
      <c r="A38" s="133" t="s">
        <v>243</v>
      </c>
      <c r="B38" s="147">
        <f>B28/B36</f>
        <v>18.190486657944057</v>
      </c>
      <c r="C38" s="141" t="s">
        <v>182</v>
      </c>
    </row>
    <row r="43" spans="1:14">
      <c r="A43" s="146" t="str">
        <f>"(1)  Multiply system numbers by "&amp;TEXT(S1,"00.00%")&amp;" to determine Washington share."</f>
        <v>(1)  Multiply system numbers by 64.71% to determine Washington share.</v>
      </c>
    </row>
    <row r="44" spans="1:14">
      <c r="A44" s="115" t="s">
        <v>239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Header>&amp;R&amp;"Times New Roman,Regular"&amp;12Exhibit No.__(WGJ-5)</oddHeader>
    <oddFooter>&amp;R&amp;"Times New Roman,Regular"&amp;12Page 1 of 2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O58"/>
  <sheetViews>
    <sheetView topLeftCell="A28" workbookViewId="0">
      <selection activeCell="D35" sqref="D35"/>
    </sheetView>
  </sheetViews>
  <sheetFormatPr defaultRowHeight="12.75"/>
  <cols>
    <col min="1" max="1" width="6.85546875" customWidth="1"/>
    <col min="2" max="2" width="36.85546875" customWidth="1"/>
    <col min="3" max="3" width="13.85546875" customWidth="1"/>
    <col min="4" max="10" width="10.85546875" customWidth="1"/>
    <col min="11" max="11" width="11.85546875" customWidth="1"/>
    <col min="12" max="15" width="10.85546875" customWidth="1"/>
  </cols>
  <sheetData>
    <row r="3" spans="1:15">
      <c r="D3" s="2" t="s">
        <v>210</v>
      </c>
    </row>
    <row r="6" spans="1:15">
      <c r="C6" s="37">
        <f>SUM(D6:O6)</f>
        <v>8760</v>
      </c>
      <c r="D6" s="46">
        <f>'WGJ-4'!D6</f>
        <v>744</v>
      </c>
      <c r="E6" s="46">
        <v>672</v>
      </c>
      <c r="F6" s="46">
        <v>743</v>
      </c>
      <c r="G6" s="46">
        <v>720</v>
      </c>
      <c r="H6" s="46">
        <f>'WGJ-4'!H6</f>
        <v>744</v>
      </c>
      <c r="I6" s="46">
        <f>'WGJ-4'!I6</f>
        <v>720</v>
      </c>
      <c r="J6" s="46">
        <f>'WGJ-4'!J6</f>
        <v>744</v>
      </c>
      <c r="K6" s="46">
        <f>'WGJ-4'!K6</f>
        <v>744</v>
      </c>
      <c r="L6" s="46">
        <f>'WGJ-4'!L6</f>
        <v>720</v>
      </c>
      <c r="M6" s="46">
        <v>744</v>
      </c>
      <c r="N6" s="46">
        <v>721</v>
      </c>
      <c r="O6" s="46">
        <f>'WGJ-4'!O6</f>
        <v>744</v>
      </c>
    </row>
    <row r="7" spans="1:15">
      <c r="C7" s="86" t="s">
        <v>32</v>
      </c>
      <c r="D7" s="47">
        <v>41274</v>
      </c>
      <c r="E7" s="47">
        <v>41305</v>
      </c>
      <c r="F7" s="47">
        <v>41333</v>
      </c>
      <c r="G7" s="47">
        <v>41364</v>
      </c>
      <c r="H7" s="47">
        <v>41394</v>
      </c>
      <c r="I7" s="47">
        <v>41425</v>
      </c>
      <c r="J7" s="47">
        <v>41455</v>
      </c>
      <c r="K7" s="47">
        <v>41486</v>
      </c>
      <c r="L7" s="47">
        <v>41517</v>
      </c>
      <c r="M7" s="47">
        <v>41547</v>
      </c>
      <c r="N7" s="47">
        <v>41578</v>
      </c>
      <c r="O7" s="47">
        <v>41608</v>
      </c>
    </row>
    <row r="8" spans="1:15">
      <c r="C8" s="12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>
      <c r="A9" s="2" t="s">
        <v>211</v>
      </c>
      <c r="C9" s="123">
        <f>AVERAGE(D9:O9)</f>
        <v>27.263046896457649</v>
      </c>
      <c r="D9" s="97">
        <v>28.711086297035187</v>
      </c>
      <c r="E9" s="97">
        <v>26.464070570468881</v>
      </c>
      <c r="F9" s="97">
        <v>24.985817688703509</v>
      </c>
      <c r="G9" s="97">
        <v>21.527304130792594</v>
      </c>
      <c r="H9" s="97">
        <v>20.87425732612607</v>
      </c>
      <c r="I9" s="97">
        <v>21.093090987205471</v>
      </c>
      <c r="J9" s="97">
        <v>30.080394601821876</v>
      </c>
      <c r="K9" s="97">
        <v>33.634082198142991</v>
      </c>
      <c r="L9" s="97">
        <v>29.996613121032691</v>
      </c>
      <c r="M9" s="97">
        <v>26.505273783206917</v>
      </c>
      <c r="N9" s="97">
        <v>29.62859535217283</v>
      </c>
      <c r="O9" s="97">
        <v>33.655976700782759</v>
      </c>
    </row>
    <row r="10" spans="1:15">
      <c r="A10" s="2" t="s">
        <v>212</v>
      </c>
      <c r="C10" s="123">
        <f>AVERAGE(D10:O10)</f>
        <v>20.671533562196394</v>
      </c>
      <c r="D10" s="97">
        <v>24.649756520986536</v>
      </c>
      <c r="E10" s="97">
        <v>22.693053884804222</v>
      </c>
      <c r="F10" s="97">
        <v>21.620197418332079</v>
      </c>
      <c r="G10" s="97">
        <v>16.881057935953113</v>
      </c>
      <c r="H10" s="97">
        <v>12.182536230981322</v>
      </c>
      <c r="I10" s="97">
        <v>10.366980483569183</v>
      </c>
      <c r="J10" s="97">
        <v>18.570965594053238</v>
      </c>
      <c r="K10" s="97">
        <v>23.366109442710854</v>
      </c>
      <c r="L10" s="97">
        <v>24.05587847232816</v>
      </c>
      <c r="M10" s="97">
        <v>23.0788350343704</v>
      </c>
      <c r="N10" s="97">
        <v>23.723137617111181</v>
      </c>
      <c r="O10" s="97">
        <v>26.869894111156441</v>
      </c>
    </row>
    <row r="11" spans="1:15">
      <c r="A11" s="2" t="s">
        <v>224</v>
      </c>
      <c r="C11" s="123">
        <f>AVERAGE(D11:O11)</f>
        <v>24.434652961790533</v>
      </c>
      <c r="D11" s="97">
        <v>26.920607650279969</v>
      </c>
      <c r="E11" s="97">
        <v>24.847920811176273</v>
      </c>
      <c r="F11" s="97">
        <v>23.574428361654256</v>
      </c>
      <c r="G11" s="97">
        <v>19.462305819988217</v>
      </c>
      <c r="H11" s="97">
        <v>17.229341900348622</v>
      </c>
      <c r="I11" s="97">
        <v>16.564288711547825</v>
      </c>
      <c r="J11" s="97">
        <v>25.006345272064188</v>
      </c>
      <c r="K11" s="97">
        <v>29.328158116340614</v>
      </c>
      <c r="L11" s="97">
        <v>27.488302850723244</v>
      </c>
      <c r="M11" s="97">
        <v>24.994693279266325</v>
      </c>
      <c r="N11" s="97">
        <v>27.135179877281168</v>
      </c>
      <c r="O11" s="97">
        <v>30.664262890815717</v>
      </c>
    </row>
    <row r="12" spans="1:15">
      <c r="C12" s="12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pans="1:15">
      <c r="A13" s="2" t="s">
        <v>41</v>
      </c>
      <c r="C13" s="12"/>
      <c r="D13">
        <v>-5.766</v>
      </c>
      <c r="E13">
        <v>-5.2080000000000002</v>
      </c>
      <c r="F13">
        <v>-5.766</v>
      </c>
      <c r="G13">
        <v>-5.58</v>
      </c>
      <c r="H13">
        <v>-5.766</v>
      </c>
      <c r="I13">
        <v>-5.58</v>
      </c>
      <c r="J13">
        <v>-5.766</v>
      </c>
      <c r="K13">
        <v>-5.766</v>
      </c>
      <c r="L13">
        <v>-5.58</v>
      </c>
      <c r="M13">
        <v>-5.766</v>
      </c>
      <c r="N13">
        <v>-5.58</v>
      </c>
      <c r="O13">
        <v>-5.766</v>
      </c>
    </row>
    <row r="14" spans="1:15">
      <c r="B14" t="s">
        <v>40</v>
      </c>
      <c r="C14" s="12"/>
    </row>
    <row r="15" spans="1:15">
      <c r="B15" t="s">
        <v>92</v>
      </c>
      <c r="C15" s="121">
        <f>SUM(D15:O15)</f>
        <v>59130</v>
      </c>
      <c r="D15" s="3">
        <f>-D13*1000-D6</f>
        <v>5022</v>
      </c>
      <c r="E15" s="3">
        <f t="shared" ref="E15:O15" si="0">-E13*1000-E6</f>
        <v>4536</v>
      </c>
      <c r="F15" s="3">
        <f t="shared" si="0"/>
        <v>5023</v>
      </c>
      <c r="G15" s="3">
        <f t="shared" si="0"/>
        <v>4860</v>
      </c>
      <c r="H15" s="3">
        <f t="shared" si="0"/>
        <v>5022</v>
      </c>
      <c r="I15" s="3">
        <f t="shared" si="0"/>
        <v>4860</v>
      </c>
      <c r="J15" s="3">
        <f t="shared" si="0"/>
        <v>5022</v>
      </c>
      <c r="K15" s="3">
        <f t="shared" si="0"/>
        <v>5022</v>
      </c>
      <c r="L15" s="3">
        <f t="shared" si="0"/>
        <v>4860</v>
      </c>
      <c r="M15" s="3">
        <f t="shared" si="0"/>
        <v>5022</v>
      </c>
      <c r="N15" s="3">
        <f t="shared" si="0"/>
        <v>4859</v>
      </c>
      <c r="O15" s="3">
        <f t="shared" si="0"/>
        <v>5022</v>
      </c>
    </row>
    <row r="16" spans="1:15">
      <c r="B16" t="s">
        <v>104</v>
      </c>
      <c r="C16" s="101">
        <f>SUM(D16:O16)</f>
        <v>1317705.3800199404</v>
      </c>
      <c r="D16" s="25">
        <f>((D9*0.57+D10*0.43)-2.16)*D15</f>
        <v>124569.27618552468</v>
      </c>
      <c r="E16" s="25">
        <f t="shared" ref="E16:O16" si="1">((E9*0.57+E10*0.43)-2.16)*E15</f>
        <v>102887.97148259163</v>
      </c>
      <c r="F16" s="25">
        <f t="shared" si="1"/>
        <v>107384.71268458519</v>
      </c>
      <c r="G16" s="25">
        <f t="shared" si="1"/>
        <v>84415.372777676443</v>
      </c>
      <c r="H16" s="25">
        <f t="shared" si="1"/>
        <v>75213.576255683845</v>
      </c>
      <c r="I16" s="25">
        <f t="shared" si="1"/>
        <v>69599.396467319471</v>
      </c>
      <c r="J16" s="25">
        <f t="shared" si="1"/>
        <v>115362.0701252334</v>
      </c>
      <c r="K16" s="25">
        <f t="shared" si="1"/>
        <v>135889.5643526286</v>
      </c>
      <c r="L16" s="25">
        <f t="shared" si="1"/>
        <v>122870.99249935614</v>
      </c>
      <c r="M16" s="25">
        <f t="shared" si="1"/>
        <v>114862.70751870262</v>
      </c>
      <c r="N16" s="25">
        <f t="shared" si="1"/>
        <v>121131.21858830201</v>
      </c>
      <c r="O16" s="25">
        <f t="shared" si="1"/>
        <v>143518.52108233658</v>
      </c>
    </row>
    <row r="17" spans="1:15">
      <c r="C17" s="12"/>
    </row>
    <row r="18" spans="1:15">
      <c r="B18" t="s">
        <v>226</v>
      </c>
      <c r="C18" s="12"/>
      <c r="D18">
        <v>-37.200000000000003</v>
      </c>
      <c r="E18">
        <v>-33.6</v>
      </c>
      <c r="F18">
        <v>-37.200000000000003</v>
      </c>
      <c r="G18">
        <v>-36</v>
      </c>
      <c r="H18">
        <v>-37.200000000000003</v>
      </c>
      <c r="I18">
        <v>-36</v>
      </c>
      <c r="J18">
        <v>-37.200000000000003</v>
      </c>
      <c r="K18">
        <v>-37.200000000000003</v>
      </c>
      <c r="L18">
        <v>-36</v>
      </c>
      <c r="M18">
        <v>-37.200000000000003</v>
      </c>
      <c r="N18">
        <v>-36</v>
      </c>
      <c r="O18">
        <v>-37.200000000000003</v>
      </c>
    </row>
    <row r="19" spans="1:15">
      <c r="B19" t="s">
        <v>92</v>
      </c>
      <c r="C19" s="121">
        <f>SUM(D19:O19)</f>
        <v>438000</v>
      </c>
      <c r="D19" s="144">
        <f>-D18*1000</f>
        <v>37200</v>
      </c>
      <c r="E19" s="144">
        <f t="shared" ref="E19:O19" si="2">-E18*1000</f>
        <v>33600</v>
      </c>
      <c r="F19" s="144">
        <f t="shared" si="2"/>
        <v>37200</v>
      </c>
      <c r="G19" s="144">
        <f t="shared" si="2"/>
        <v>36000</v>
      </c>
      <c r="H19" s="144">
        <f t="shared" si="2"/>
        <v>37200</v>
      </c>
      <c r="I19" s="144">
        <f t="shared" si="2"/>
        <v>36000</v>
      </c>
      <c r="J19" s="144">
        <f t="shared" si="2"/>
        <v>37200</v>
      </c>
      <c r="K19" s="144">
        <f t="shared" si="2"/>
        <v>37200</v>
      </c>
      <c r="L19" s="144">
        <f t="shared" si="2"/>
        <v>36000</v>
      </c>
      <c r="M19" s="144">
        <f t="shared" si="2"/>
        <v>37200</v>
      </c>
      <c r="N19" s="144">
        <f t="shared" si="2"/>
        <v>36000</v>
      </c>
      <c r="O19" s="144">
        <f t="shared" si="2"/>
        <v>37200</v>
      </c>
    </row>
    <row r="20" spans="1:15">
      <c r="B20" t="s">
        <v>225</v>
      </c>
      <c r="D20" s="29">
        <f>D11+3</f>
        <v>29.920607650279969</v>
      </c>
      <c r="E20" s="29">
        <f t="shared" ref="E20:O20" si="3">E11+3</f>
        <v>27.847920811176273</v>
      </c>
      <c r="F20" s="29">
        <f t="shared" si="3"/>
        <v>26.574428361654256</v>
      </c>
      <c r="G20" s="29">
        <f t="shared" si="3"/>
        <v>22.462305819988217</v>
      </c>
      <c r="H20" s="29">
        <f t="shared" si="3"/>
        <v>20.229341900348622</v>
      </c>
      <c r="I20" s="29">
        <f t="shared" si="3"/>
        <v>19.564288711547825</v>
      </c>
      <c r="J20" s="29">
        <f t="shared" si="3"/>
        <v>28.006345272064188</v>
      </c>
      <c r="K20" s="29">
        <f t="shared" si="3"/>
        <v>32.328158116340617</v>
      </c>
      <c r="L20" s="29">
        <f t="shared" si="3"/>
        <v>30.488302850723244</v>
      </c>
      <c r="M20" s="29">
        <f t="shared" si="3"/>
        <v>27.994693279266325</v>
      </c>
      <c r="N20" s="29">
        <f t="shared" si="3"/>
        <v>30.135179877281168</v>
      </c>
      <c r="O20" s="29">
        <f t="shared" si="3"/>
        <v>33.664262890815721</v>
      </c>
    </row>
    <row r="21" spans="1:15">
      <c r="B21" t="s">
        <v>104</v>
      </c>
      <c r="C21" s="101">
        <f>SUM(D21:O21)</f>
        <v>12023396.474511612</v>
      </c>
      <c r="D21" s="25">
        <f>D19*D20</f>
        <v>1113046.6045904148</v>
      </c>
      <c r="E21" s="25">
        <f t="shared" ref="E21:O21" si="4">E19*E20</f>
        <v>935690.13925552275</v>
      </c>
      <c r="F21" s="25">
        <f t="shared" si="4"/>
        <v>988568.73505353834</v>
      </c>
      <c r="G21" s="25">
        <f t="shared" si="4"/>
        <v>808643.00951957575</v>
      </c>
      <c r="H21" s="25">
        <f t="shared" si="4"/>
        <v>752531.51869296876</v>
      </c>
      <c r="I21" s="25">
        <f t="shared" si="4"/>
        <v>704314.39361572172</v>
      </c>
      <c r="J21" s="25">
        <f t="shared" si="4"/>
        <v>1041836.0441207878</v>
      </c>
      <c r="K21" s="25">
        <f t="shared" si="4"/>
        <v>1202607.481927871</v>
      </c>
      <c r="L21" s="25">
        <f t="shared" si="4"/>
        <v>1097578.9026260367</v>
      </c>
      <c r="M21" s="25">
        <f t="shared" si="4"/>
        <v>1041402.5899887073</v>
      </c>
      <c r="N21" s="25">
        <f t="shared" si="4"/>
        <v>1084866.4755821221</v>
      </c>
      <c r="O21" s="25">
        <f t="shared" si="4"/>
        <v>1252310.5795383449</v>
      </c>
    </row>
    <row r="22" spans="1:15">
      <c r="C22" s="107"/>
      <c r="K22" s="29"/>
      <c r="L22" s="29"/>
      <c r="M22" s="25"/>
    </row>
    <row r="23" spans="1:15">
      <c r="A23" s="2" t="s">
        <v>148</v>
      </c>
      <c r="C23" s="107"/>
      <c r="K23" s="29"/>
      <c r="L23" s="29"/>
      <c r="M23" s="25"/>
    </row>
    <row r="24" spans="1:15">
      <c r="C24" s="122" t="s">
        <v>32</v>
      </c>
      <c r="D24" s="111">
        <f>D7</f>
        <v>41274</v>
      </c>
      <c r="E24" s="111">
        <f t="shared" ref="E24:O24" si="5">E7</f>
        <v>41305</v>
      </c>
      <c r="F24" s="111">
        <f t="shared" si="5"/>
        <v>41333</v>
      </c>
      <c r="G24" s="111">
        <f t="shared" si="5"/>
        <v>41364</v>
      </c>
      <c r="H24" s="111">
        <f t="shared" si="5"/>
        <v>41394</v>
      </c>
      <c r="I24" s="111">
        <f t="shared" si="5"/>
        <v>41425</v>
      </c>
      <c r="J24" s="111">
        <f t="shared" si="5"/>
        <v>41455</v>
      </c>
      <c r="K24" s="111">
        <f t="shared" si="5"/>
        <v>41486</v>
      </c>
      <c r="L24" s="111">
        <f t="shared" si="5"/>
        <v>41517</v>
      </c>
      <c r="M24" s="111">
        <f t="shared" si="5"/>
        <v>41547</v>
      </c>
      <c r="N24" s="111">
        <f t="shared" si="5"/>
        <v>41578</v>
      </c>
      <c r="O24" s="111">
        <f t="shared" si="5"/>
        <v>41608</v>
      </c>
    </row>
    <row r="25" spans="1:15">
      <c r="A25" s="2"/>
      <c r="C25" s="107"/>
      <c r="K25" s="29"/>
      <c r="L25" s="29"/>
      <c r="M25" s="25"/>
    </row>
    <row r="26" spans="1:15">
      <c r="B26" t="s">
        <v>213</v>
      </c>
      <c r="C26" s="107"/>
      <c r="D26" s="97">
        <f>0.65*D9+0.35*D10+5</f>
        <v>32.289620875418159</v>
      </c>
      <c r="E26" s="97">
        <f t="shared" ref="E26:O26" si="6">0.65*E9+0.35*E10+5</f>
        <v>30.144214730486247</v>
      </c>
      <c r="F26" s="97">
        <f t="shared" si="6"/>
        <v>28.807850594073507</v>
      </c>
      <c r="G26" s="97">
        <f t="shared" si="6"/>
        <v>24.901117962598775</v>
      </c>
      <c r="H26" s="97">
        <f t="shared" si="6"/>
        <v>22.832154942825408</v>
      </c>
      <c r="I26" s="97">
        <f t="shared" si="6"/>
        <v>22.338952310932772</v>
      </c>
      <c r="J26" s="97">
        <f t="shared" si="6"/>
        <v>31.052094449102853</v>
      </c>
      <c r="K26" s="97">
        <f t="shared" si="6"/>
        <v>35.040291733741739</v>
      </c>
      <c r="L26" s="97">
        <f t="shared" si="6"/>
        <v>32.917355993986106</v>
      </c>
      <c r="M26" s="97">
        <f t="shared" si="6"/>
        <v>30.306020221114135</v>
      </c>
      <c r="N26" s="97">
        <f t="shared" si="6"/>
        <v>32.561685144901254</v>
      </c>
      <c r="O26" s="97">
        <f t="shared" si="6"/>
        <v>36.280847794413546</v>
      </c>
    </row>
    <row r="27" spans="1:15">
      <c r="C27" s="11"/>
      <c r="K27" s="29"/>
      <c r="L27" s="29"/>
      <c r="M27" s="25"/>
    </row>
    <row r="28" spans="1:15">
      <c r="B28" t="s">
        <v>160</v>
      </c>
      <c r="C28" s="121">
        <f>SUM(D28:O28)</f>
        <v>170920.48250122069</v>
      </c>
      <c r="D28" s="127">
        <v>16082.035986328097</v>
      </c>
      <c r="E28" s="127">
        <v>13675.3127502441</v>
      </c>
      <c r="F28" s="127">
        <v>13712.052185058601</v>
      </c>
      <c r="G28" s="127">
        <v>14590.818084716801</v>
      </c>
      <c r="H28" s="127">
        <v>17601.611364746099</v>
      </c>
      <c r="I28" s="127">
        <v>16754.994854736298</v>
      </c>
      <c r="J28" s="127">
        <v>15677.038232421901</v>
      </c>
      <c r="K28" s="127">
        <v>13024.965344238301</v>
      </c>
      <c r="L28" s="127">
        <v>10412.902880859399</v>
      </c>
      <c r="M28" s="127">
        <v>10606.779675293001</v>
      </c>
      <c r="N28" s="127">
        <v>13477.5066040039</v>
      </c>
      <c r="O28" s="127">
        <v>15304.464538574201</v>
      </c>
    </row>
    <row r="29" spans="1:15">
      <c r="B29" t="s">
        <v>161</v>
      </c>
      <c r="C29" s="121">
        <f>SUM(D29:O29)</f>
        <v>162340.86307373052</v>
      </c>
      <c r="D29" s="127">
        <v>15001.8740661621</v>
      </c>
      <c r="E29" s="127">
        <v>12583.879370117198</v>
      </c>
      <c r="F29" s="127">
        <v>12650.914453125</v>
      </c>
      <c r="G29" s="127">
        <v>14341.7871520996</v>
      </c>
      <c r="H29" s="127">
        <v>17510.654772949201</v>
      </c>
      <c r="I29" s="127">
        <v>16850.928302002001</v>
      </c>
      <c r="J29" s="127">
        <v>15723.584777831999</v>
      </c>
      <c r="K29" s="127">
        <v>13607.529205322302</v>
      </c>
      <c r="L29" s="127">
        <v>8998.70536499023</v>
      </c>
      <c r="M29" s="127">
        <v>8996.8272583007802</v>
      </c>
      <c r="N29" s="127">
        <v>12098.888397216801</v>
      </c>
      <c r="O29" s="127">
        <v>13975.289953613299</v>
      </c>
    </row>
    <row r="30" spans="1:15">
      <c r="B30" t="s">
        <v>134</v>
      </c>
      <c r="C30" s="100"/>
      <c r="D30" s="100">
        <v>3.3000000000000002E-2</v>
      </c>
      <c r="E30" s="100">
        <v>3.3000000000000002E-2</v>
      </c>
      <c r="F30" s="100">
        <v>3.3000000000000002E-2</v>
      </c>
      <c r="G30" s="100">
        <v>3.3000000000000002E-2</v>
      </c>
      <c r="H30" s="100">
        <v>3.3000000000000002E-2</v>
      </c>
      <c r="I30" s="100">
        <v>3.3000000000000002E-2</v>
      </c>
      <c r="J30" s="100">
        <v>3.3000000000000002E-2</v>
      </c>
      <c r="K30" s="100">
        <v>3.3000000000000002E-2</v>
      </c>
      <c r="L30" s="100">
        <v>3.3000000000000002E-2</v>
      </c>
      <c r="M30" s="100">
        <v>3.3000000000000002E-2</v>
      </c>
      <c r="N30" s="100">
        <v>3.3000000000000002E-2</v>
      </c>
      <c r="O30" s="100">
        <v>3.3000000000000002E-2</v>
      </c>
    </row>
    <row r="31" spans="1:15">
      <c r="B31" t="s">
        <v>159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</row>
    <row r="32" spans="1:15">
      <c r="B32" t="s">
        <v>135</v>
      </c>
      <c r="C32" s="100"/>
      <c r="D32" s="100">
        <v>4.8999999999999998E-3</v>
      </c>
      <c r="E32" s="100">
        <v>4.8999999999999998E-3</v>
      </c>
      <c r="F32" s="100">
        <v>4.8999999999999998E-3</v>
      </c>
      <c r="G32" s="100">
        <v>4.8999999999999998E-3</v>
      </c>
      <c r="H32" s="100">
        <v>4.8999999999999998E-3</v>
      </c>
      <c r="I32" s="100">
        <v>4.8999999999999998E-3</v>
      </c>
      <c r="J32" s="100">
        <v>4.8999999999999998E-3</v>
      </c>
      <c r="K32" s="100">
        <v>4.8999999999999998E-3</v>
      </c>
      <c r="L32" s="100">
        <v>4.8999999999999998E-3</v>
      </c>
      <c r="M32" s="100">
        <v>4.8999999999999998E-3</v>
      </c>
      <c r="N32" s="100">
        <v>4.8999999999999998E-3</v>
      </c>
      <c r="O32" s="100">
        <v>4.8999999999999998E-3</v>
      </c>
    </row>
    <row r="33" spans="2:15">
      <c r="B33" t="s">
        <v>138</v>
      </c>
      <c r="C33" s="100"/>
      <c r="D33" s="100">
        <f>D30+D31+D32</f>
        <v>3.7900000000000003E-2</v>
      </c>
      <c r="E33" s="100">
        <f t="shared" ref="E33:O33" si="7">E30+E31+E32</f>
        <v>3.7900000000000003E-2</v>
      </c>
      <c r="F33" s="100">
        <f t="shared" si="7"/>
        <v>3.7900000000000003E-2</v>
      </c>
      <c r="G33" s="100">
        <f t="shared" si="7"/>
        <v>3.7900000000000003E-2</v>
      </c>
      <c r="H33" s="100">
        <f t="shared" si="7"/>
        <v>3.7900000000000003E-2</v>
      </c>
      <c r="I33" s="100">
        <f t="shared" si="7"/>
        <v>3.7900000000000003E-2</v>
      </c>
      <c r="J33" s="100">
        <f t="shared" si="7"/>
        <v>3.7900000000000003E-2</v>
      </c>
      <c r="K33" s="100">
        <f t="shared" si="7"/>
        <v>3.7900000000000003E-2</v>
      </c>
      <c r="L33" s="100">
        <f t="shared" si="7"/>
        <v>3.7900000000000003E-2</v>
      </c>
      <c r="M33" s="100">
        <f t="shared" si="7"/>
        <v>3.7900000000000003E-2</v>
      </c>
      <c r="N33" s="100">
        <f t="shared" si="7"/>
        <v>3.7900000000000003E-2</v>
      </c>
      <c r="O33" s="100">
        <f t="shared" si="7"/>
        <v>3.7900000000000003E-2</v>
      </c>
    </row>
    <row r="34" spans="2:15">
      <c r="B34" t="s">
        <v>146</v>
      </c>
      <c r="C34" s="100"/>
      <c r="D34" s="108">
        <f>150/((C56/8760)*0.3)</f>
        <v>0.49811357423888758</v>
      </c>
      <c r="E34" s="108">
        <f>D34</f>
        <v>0.49811357423888758</v>
      </c>
      <c r="F34" s="108">
        <f t="shared" ref="F34:O34" si="8">E34</f>
        <v>0.49811357423888758</v>
      </c>
      <c r="G34" s="108">
        <f t="shared" si="8"/>
        <v>0.49811357423888758</v>
      </c>
      <c r="H34" s="108">
        <f t="shared" si="8"/>
        <v>0.49811357423888758</v>
      </c>
      <c r="I34" s="108">
        <f t="shared" si="8"/>
        <v>0.49811357423888758</v>
      </c>
      <c r="J34" s="108">
        <f t="shared" si="8"/>
        <v>0.49811357423888758</v>
      </c>
      <c r="K34" s="108">
        <f t="shared" si="8"/>
        <v>0.49811357423888758</v>
      </c>
      <c r="L34" s="108">
        <f t="shared" si="8"/>
        <v>0.49811357423888758</v>
      </c>
      <c r="M34" s="108">
        <f t="shared" si="8"/>
        <v>0.49811357423888758</v>
      </c>
      <c r="N34" s="108">
        <f t="shared" si="8"/>
        <v>0.49811357423888758</v>
      </c>
      <c r="O34" s="108">
        <f t="shared" si="8"/>
        <v>0.49811357423888758</v>
      </c>
    </row>
    <row r="35" spans="2:15">
      <c r="C35" s="99"/>
    </row>
    <row r="36" spans="2:15">
      <c r="B36" t="s">
        <v>128</v>
      </c>
      <c r="C36" s="99">
        <f>SUM(D36:O36)</f>
        <v>290174.78638452216</v>
      </c>
      <c r="D36" s="3">
        <f>(D28+D29)*(D30/D33)</f>
        <v>27065.145955994099</v>
      </c>
      <c r="E36" s="3">
        <f t="shared" ref="E36:O36" si="9">(E28+E29)*(E30/E33)</f>
        <v>22864.204220895059</v>
      </c>
      <c r="F36" s="3">
        <f t="shared" si="9"/>
        <v>22954.561980476483</v>
      </c>
      <c r="G36" s="3">
        <f t="shared" si="9"/>
        <v>25191.978174536707</v>
      </c>
      <c r="H36" s="3">
        <f t="shared" si="9"/>
        <v>30572.685555249209</v>
      </c>
      <c r="I36" s="3">
        <f t="shared" si="9"/>
        <v>29261.094041487169</v>
      </c>
      <c r="J36" s="3">
        <f t="shared" si="9"/>
        <v>27340.911855893894</v>
      </c>
      <c r="K36" s="3">
        <f t="shared" si="9"/>
        <v>23189.243275343</v>
      </c>
      <c r="L36" s="3">
        <f t="shared" si="9"/>
        <v>16901.928024090706</v>
      </c>
      <c r="M36" s="3">
        <f t="shared" si="9"/>
        <v>17069.103662495902</v>
      </c>
      <c r="N36" s="3">
        <f t="shared" si="9"/>
        <v>22269.684301854431</v>
      </c>
      <c r="O36" s="3">
        <f t="shared" si="9"/>
        <v>25494.245336205477</v>
      </c>
    </row>
    <row r="37" spans="2:15">
      <c r="B37" t="s">
        <v>129</v>
      </c>
      <c r="C37" s="98">
        <f>SUM(D37:O37)</f>
        <v>8588734.3661506083</v>
      </c>
      <c r="D37" s="25">
        <f>D36*D26</f>
        <v>873923.30185690639</v>
      </c>
      <c r="E37" s="25">
        <f t="shared" ref="E37:O37" si="10">E36*E26</f>
        <v>689223.4816763507</v>
      </c>
      <c r="F37" s="25">
        <f t="shared" si="10"/>
        <v>661271.59198596654</v>
      </c>
      <c r="G37" s="25">
        <f t="shared" si="10"/>
        <v>627308.42023535236</v>
      </c>
      <c r="H37" s="25">
        <f t="shared" si="10"/>
        <v>698040.29361573013</v>
      </c>
      <c r="I37" s="25">
        <f t="shared" si="10"/>
        <v>653662.18435850099</v>
      </c>
      <c r="J37" s="25">
        <f t="shared" si="10"/>
        <v>848992.57727381319</v>
      </c>
      <c r="K37" s="25">
        <f t="shared" si="10"/>
        <v>812557.84945272759</v>
      </c>
      <c r="L37" s="25">
        <f t="shared" si="10"/>
        <v>556366.78175372398</v>
      </c>
      <c r="M37" s="25">
        <f t="shared" si="10"/>
        <v>517296.60075189412</v>
      </c>
      <c r="N37" s="25">
        <f t="shared" si="10"/>
        <v>725138.44851333415</v>
      </c>
      <c r="O37" s="25">
        <f t="shared" si="10"/>
        <v>924952.83467630832</v>
      </c>
    </row>
    <row r="38" spans="2:15">
      <c r="D38" s="25"/>
    </row>
    <row r="39" spans="2:15">
      <c r="B39" t="s">
        <v>130</v>
      </c>
      <c r="C39" s="98">
        <f>SUM(D39:O39)</f>
        <v>1323844.4313513797</v>
      </c>
      <c r="D39" s="25">
        <f>((D36*10.66/11.03)*(D26-$C58))*(1-D34)</f>
        <v>158806.58267126305</v>
      </c>
      <c r="E39" s="25">
        <f t="shared" ref="E39:O39" si="11">((E36*10.66/11.03)*(E26-$C58))*(1-E34)</f>
        <v>110364.0772472789</v>
      </c>
      <c r="F39" s="25">
        <f t="shared" si="11"/>
        <v>95920.981106324383</v>
      </c>
      <c r="G39" s="25">
        <f t="shared" si="11"/>
        <v>57532.668301802107</v>
      </c>
      <c r="H39" s="25">
        <f t="shared" si="11"/>
        <v>39139.684057068873</v>
      </c>
      <c r="I39" s="25">
        <f t="shared" si="11"/>
        <v>30460.48042365583</v>
      </c>
      <c r="J39" s="25">
        <f t="shared" si="11"/>
        <v>144012.91818994316</v>
      </c>
      <c r="K39" s="25">
        <f t="shared" si="11"/>
        <v>167003.89298250584</v>
      </c>
      <c r="L39" s="25">
        <f t="shared" si="11"/>
        <v>104319.56686617259</v>
      </c>
      <c r="M39" s="25">
        <f t="shared" si="11"/>
        <v>83731.140222639704</v>
      </c>
      <c r="N39" s="25">
        <f t="shared" si="11"/>
        <v>133607.7037553096</v>
      </c>
      <c r="O39" s="25">
        <f t="shared" si="11"/>
        <v>198944.7355274155</v>
      </c>
    </row>
    <row r="41" spans="2:15">
      <c r="B41" t="s">
        <v>131</v>
      </c>
      <c r="C41" s="124">
        <f>SUM(D41:O41)</f>
        <v>7264889.9347992297</v>
      </c>
      <c r="D41" s="25">
        <f>D37-D39</f>
        <v>715116.71918564336</v>
      </c>
      <c r="E41" s="25">
        <f t="shared" ref="E41:O41" si="12">E37-E39</f>
        <v>578859.40442907182</v>
      </c>
      <c r="F41" s="25">
        <f t="shared" si="12"/>
        <v>565350.61087964219</v>
      </c>
      <c r="G41" s="25">
        <f t="shared" si="12"/>
        <v>569775.75193355023</v>
      </c>
      <c r="H41" s="25">
        <f t="shared" si="12"/>
        <v>658900.60955866124</v>
      </c>
      <c r="I41" s="25">
        <f t="shared" si="12"/>
        <v>623201.70393484517</v>
      </c>
      <c r="J41" s="25">
        <f t="shared" si="12"/>
        <v>704979.65908387001</v>
      </c>
      <c r="K41" s="25">
        <f t="shared" si="12"/>
        <v>645553.95647022175</v>
      </c>
      <c r="L41" s="25">
        <f t="shared" si="12"/>
        <v>452047.21488755138</v>
      </c>
      <c r="M41" s="25">
        <f t="shared" si="12"/>
        <v>433565.4605292544</v>
      </c>
      <c r="N41" s="25">
        <f t="shared" si="12"/>
        <v>591530.74475802458</v>
      </c>
      <c r="O41" s="25">
        <f t="shared" si="12"/>
        <v>726008.0991488928</v>
      </c>
    </row>
    <row r="42" spans="2:15">
      <c r="B42" t="s">
        <v>132</v>
      </c>
      <c r="C42" s="112">
        <f t="shared" ref="C42:O42" si="13">C41/C36</f>
        <v>25.03625495969948</v>
      </c>
      <c r="D42" s="29">
        <f t="shared" si="13"/>
        <v>26.42205293658381</v>
      </c>
      <c r="E42" s="29">
        <f t="shared" si="13"/>
        <v>25.317277559131746</v>
      </c>
      <c r="F42" s="29">
        <f t="shared" si="13"/>
        <v>24.629117791944328</v>
      </c>
      <c r="G42" s="29">
        <f t="shared" si="13"/>
        <v>22.617348585569289</v>
      </c>
      <c r="H42" s="29">
        <f t="shared" si="13"/>
        <v>21.551937541369526</v>
      </c>
      <c r="I42" s="29">
        <f t="shared" si="13"/>
        <v>21.297963194788718</v>
      </c>
      <c r="J42" s="29">
        <f t="shared" si="13"/>
        <v>25.784789578329196</v>
      </c>
      <c r="K42" s="29">
        <f t="shared" si="13"/>
        <v>27.838508950252631</v>
      </c>
      <c r="L42" s="29">
        <f t="shared" si="13"/>
        <v>26.745304692058689</v>
      </c>
      <c r="M42" s="29">
        <f t="shared" si="13"/>
        <v>25.400599182128172</v>
      </c>
      <c r="N42" s="29">
        <f t="shared" si="13"/>
        <v>26.562152239794745</v>
      </c>
      <c r="O42" s="29">
        <f t="shared" si="13"/>
        <v>28.477332416577063</v>
      </c>
    </row>
    <row r="44" spans="2:15">
      <c r="B44" t="s">
        <v>162</v>
      </c>
      <c r="C44" s="99">
        <f>SUM(D44:O44)</f>
        <v>0</v>
      </c>
      <c r="D44" s="3">
        <f>(D28+D29)*(D31/D33)</f>
        <v>0</v>
      </c>
      <c r="E44" s="3">
        <f t="shared" ref="E44:O44" si="14">(E28+E29)*(E31/E33)</f>
        <v>0</v>
      </c>
      <c r="F44" s="3">
        <f t="shared" si="14"/>
        <v>0</v>
      </c>
      <c r="G44" s="3">
        <f t="shared" si="14"/>
        <v>0</v>
      </c>
      <c r="H44" s="3">
        <f t="shared" si="14"/>
        <v>0</v>
      </c>
      <c r="I44" s="3">
        <f t="shared" si="14"/>
        <v>0</v>
      </c>
      <c r="J44" s="3">
        <f t="shared" si="14"/>
        <v>0</v>
      </c>
      <c r="K44" s="3">
        <f t="shared" si="14"/>
        <v>0</v>
      </c>
      <c r="L44" s="3">
        <f t="shared" si="14"/>
        <v>0</v>
      </c>
      <c r="M44" s="3">
        <f t="shared" si="14"/>
        <v>0</v>
      </c>
      <c r="N44" s="3">
        <f t="shared" si="14"/>
        <v>0</v>
      </c>
      <c r="O44" s="3">
        <f t="shared" si="14"/>
        <v>0</v>
      </c>
    </row>
    <row r="45" spans="2:15">
      <c r="B45" t="s">
        <v>147</v>
      </c>
      <c r="D45" s="110">
        <f>$C58</f>
        <v>20.192807380016191</v>
      </c>
      <c r="E45" s="110">
        <f t="shared" ref="E45:O45" si="15">$C58</f>
        <v>20.192807380016191</v>
      </c>
      <c r="F45" s="110">
        <f t="shared" si="15"/>
        <v>20.192807380016191</v>
      </c>
      <c r="G45" s="110">
        <f t="shared" si="15"/>
        <v>20.192807380016191</v>
      </c>
      <c r="H45" s="110">
        <f t="shared" si="15"/>
        <v>20.192807380016191</v>
      </c>
      <c r="I45" s="110">
        <f t="shared" si="15"/>
        <v>20.192807380016191</v>
      </c>
      <c r="J45" s="110">
        <f t="shared" si="15"/>
        <v>20.192807380016191</v>
      </c>
      <c r="K45" s="110">
        <f t="shared" si="15"/>
        <v>20.192807380016191</v>
      </c>
      <c r="L45" s="110">
        <f t="shared" si="15"/>
        <v>20.192807380016191</v>
      </c>
      <c r="M45" s="110">
        <f t="shared" si="15"/>
        <v>20.192807380016191</v>
      </c>
      <c r="N45" s="110">
        <f t="shared" si="15"/>
        <v>20.192807380016191</v>
      </c>
      <c r="O45" s="110">
        <f t="shared" si="15"/>
        <v>20.192807380016191</v>
      </c>
    </row>
    <row r="46" spans="2:15">
      <c r="B46" t="s">
        <v>163</v>
      </c>
      <c r="C46" s="125">
        <f>SUM(D46:O46)</f>
        <v>0</v>
      </c>
      <c r="D46" s="25">
        <f>D44*D45</f>
        <v>0</v>
      </c>
      <c r="E46" s="25">
        <f t="shared" ref="E46:O46" si="16">E44*E45</f>
        <v>0</v>
      </c>
      <c r="F46" s="25">
        <f t="shared" si="16"/>
        <v>0</v>
      </c>
      <c r="G46" s="25">
        <f t="shared" si="16"/>
        <v>0</v>
      </c>
      <c r="H46" s="25">
        <f t="shared" si="16"/>
        <v>0</v>
      </c>
      <c r="I46" s="25">
        <f t="shared" si="16"/>
        <v>0</v>
      </c>
      <c r="J46" s="25">
        <f t="shared" si="16"/>
        <v>0</v>
      </c>
      <c r="K46" s="25">
        <f t="shared" si="16"/>
        <v>0</v>
      </c>
      <c r="L46" s="25">
        <f t="shared" si="16"/>
        <v>0</v>
      </c>
      <c r="M46" s="25">
        <f t="shared" si="16"/>
        <v>0</v>
      </c>
      <c r="N46" s="25">
        <f t="shared" si="16"/>
        <v>0</v>
      </c>
      <c r="O46" s="25">
        <f t="shared" si="16"/>
        <v>0</v>
      </c>
    </row>
    <row r="47" spans="2:15">
      <c r="C47" s="112"/>
      <c r="D47" s="25"/>
    </row>
    <row r="48" spans="2:15">
      <c r="B48" t="s">
        <v>137</v>
      </c>
      <c r="C48" s="99">
        <f>SUM(D48:O48)</f>
        <v>43086.559190429049</v>
      </c>
      <c r="D48" s="3">
        <f>(D28+D29)*(D32/D33)</f>
        <v>4018.7640964960938</v>
      </c>
      <c r="E48" s="3">
        <f t="shared" ref="E48:O48" si="17">(E28+E29)*(E32/E33)</f>
        <v>3394.9878994662363</v>
      </c>
      <c r="F48" s="3">
        <f t="shared" si="17"/>
        <v>3408.4046577071144</v>
      </c>
      <c r="G48" s="3">
        <f t="shared" si="17"/>
        <v>3740.6270622796928</v>
      </c>
      <c r="H48" s="3">
        <f t="shared" si="17"/>
        <v>4539.580582446094</v>
      </c>
      <c r="I48" s="3">
        <f t="shared" si="17"/>
        <v>4344.8291152511247</v>
      </c>
      <c r="J48" s="3">
        <f t="shared" si="17"/>
        <v>4059.7111543600022</v>
      </c>
      <c r="K48" s="3">
        <f t="shared" si="17"/>
        <v>3443.2512742175973</v>
      </c>
      <c r="L48" s="3">
        <f t="shared" si="17"/>
        <v>2509.6802217589229</v>
      </c>
      <c r="M48" s="3">
        <f t="shared" si="17"/>
        <v>2534.5032710978762</v>
      </c>
      <c r="N48" s="3">
        <f t="shared" si="17"/>
        <v>3306.7106993662642</v>
      </c>
      <c r="O48" s="3">
        <f t="shared" si="17"/>
        <v>3785.5091559820248</v>
      </c>
    </row>
    <row r="49" spans="2:15">
      <c r="B49" t="s">
        <v>147</v>
      </c>
      <c r="D49" s="110">
        <f>$C58</f>
        <v>20.192807380016191</v>
      </c>
      <c r="E49" s="110">
        <f t="shared" ref="E49:O49" si="18">$C58</f>
        <v>20.192807380016191</v>
      </c>
      <c r="F49" s="110">
        <f t="shared" si="18"/>
        <v>20.192807380016191</v>
      </c>
      <c r="G49" s="110">
        <f t="shared" si="18"/>
        <v>20.192807380016191</v>
      </c>
      <c r="H49" s="110">
        <f t="shared" si="18"/>
        <v>20.192807380016191</v>
      </c>
      <c r="I49" s="110">
        <f t="shared" si="18"/>
        <v>20.192807380016191</v>
      </c>
      <c r="J49" s="110">
        <f t="shared" si="18"/>
        <v>20.192807380016191</v>
      </c>
      <c r="K49" s="110">
        <f t="shared" si="18"/>
        <v>20.192807380016191</v>
      </c>
      <c r="L49" s="110">
        <f t="shared" si="18"/>
        <v>20.192807380016191</v>
      </c>
      <c r="M49" s="110">
        <f t="shared" si="18"/>
        <v>20.192807380016191</v>
      </c>
      <c r="N49" s="110">
        <f t="shared" si="18"/>
        <v>20.192807380016191</v>
      </c>
      <c r="O49" s="110">
        <f t="shared" si="18"/>
        <v>20.192807380016191</v>
      </c>
    </row>
    <row r="50" spans="2:15">
      <c r="B50" t="s">
        <v>136</v>
      </c>
      <c r="C50" s="125">
        <f>SUM(D50:O50)</f>
        <v>870038.5904000001</v>
      </c>
      <c r="D50" s="25">
        <f>D48*D49</f>
        <v>81150.129306270421</v>
      </c>
      <c r="E50" s="25">
        <f t="shared" ref="E50:O50" si="19">E48*E49</f>
        <v>68554.336711407479</v>
      </c>
      <c r="F50" s="25">
        <f t="shared" si="19"/>
        <v>68825.258726229775</v>
      </c>
      <c r="G50" s="25">
        <f t="shared" si="19"/>
        <v>75533.761749089666</v>
      </c>
      <c r="H50" s="25">
        <f t="shared" si="19"/>
        <v>91666.876287395688</v>
      </c>
      <c r="I50" s="25">
        <f t="shared" si="19"/>
        <v>87734.297423352124</v>
      </c>
      <c r="J50" s="25">
        <f t="shared" si="19"/>
        <v>81976.965358494708</v>
      </c>
      <c r="K50" s="25">
        <f t="shared" si="19"/>
        <v>69528.909741271258</v>
      </c>
      <c r="L50" s="25">
        <f t="shared" si="19"/>
        <v>50677.489303414251</v>
      </c>
      <c r="M50" s="25">
        <f t="shared" si="19"/>
        <v>51178.736357300375</v>
      </c>
      <c r="N50" s="25">
        <f t="shared" si="19"/>
        <v>66771.772213741599</v>
      </c>
      <c r="O50" s="25">
        <f t="shared" si="19"/>
        <v>76440.057222032687</v>
      </c>
    </row>
    <row r="51" spans="2:15">
      <c r="B51" t="s">
        <v>149</v>
      </c>
      <c r="C51" s="112">
        <f>C50/C48</f>
        <v>20.192807380016191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>
      <c r="B53" t="s">
        <v>150</v>
      </c>
      <c r="C53" s="125">
        <f>SUM(D53:O53)</f>
        <v>8134928.5251992289</v>
      </c>
      <c r="D53" s="25">
        <f>D41+D46+D50</f>
        <v>796266.84849191376</v>
      </c>
      <c r="E53" s="25">
        <f t="shared" ref="E53:O53" si="20">E41+E46+E50</f>
        <v>647413.74114047934</v>
      </c>
      <c r="F53" s="25">
        <f t="shared" si="20"/>
        <v>634175.86960587197</v>
      </c>
      <c r="G53" s="25">
        <f t="shared" si="20"/>
        <v>645309.51368263992</v>
      </c>
      <c r="H53" s="25">
        <f t="shared" si="20"/>
        <v>750567.48584605695</v>
      </c>
      <c r="I53" s="25">
        <f t="shared" si="20"/>
        <v>710936.0013581973</v>
      </c>
      <c r="J53" s="25">
        <f t="shared" si="20"/>
        <v>786956.62444236467</v>
      </c>
      <c r="K53" s="25">
        <f t="shared" si="20"/>
        <v>715082.86621149303</v>
      </c>
      <c r="L53" s="25">
        <f t="shared" si="20"/>
        <v>502724.70419096563</v>
      </c>
      <c r="M53" s="25">
        <f t="shared" si="20"/>
        <v>484744.19688655477</v>
      </c>
      <c r="N53" s="25">
        <f t="shared" si="20"/>
        <v>658302.51697176613</v>
      </c>
      <c r="O53" s="25">
        <f t="shared" si="20"/>
        <v>802448.15637092548</v>
      </c>
    </row>
    <row r="54" spans="2:15">
      <c r="B54" t="s">
        <v>151</v>
      </c>
      <c r="C54" s="112">
        <f>C53/(C28+C29)</f>
        <v>24.410057251508235</v>
      </c>
    </row>
    <row r="56" spans="2:15">
      <c r="B56" t="s">
        <v>187</v>
      </c>
      <c r="C56" s="107">
        <f>SUM(D56:O56)</f>
        <v>8793175.3449855186</v>
      </c>
      <c r="D56" s="56">
        <f>(D28+D29)/D33</f>
        <v>820155.9380604272</v>
      </c>
      <c r="E56" s="56">
        <f>(E28+E29)/E33</f>
        <v>692854.67336045636</v>
      </c>
      <c r="F56" s="56">
        <f t="shared" ref="F56:O56" si="21">(F28+F29)/F33</f>
        <v>695592.78728716611</v>
      </c>
      <c r="G56" s="56">
        <f t="shared" si="21"/>
        <v>763393.27801626385</v>
      </c>
      <c r="H56" s="56">
        <f t="shared" si="21"/>
        <v>926445.01682573359</v>
      </c>
      <c r="I56" s="56">
        <f t="shared" si="21"/>
        <v>886699.81943900511</v>
      </c>
      <c r="J56" s="56">
        <f t="shared" si="21"/>
        <v>828512.4804816331</v>
      </c>
      <c r="K56" s="56">
        <f t="shared" si="21"/>
        <v>702704.3416770607</v>
      </c>
      <c r="L56" s="56">
        <f t="shared" si="21"/>
        <v>512179.63709365774</v>
      </c>
      <c r="M56" s="56">
        <f t="shared" si="21"/>
        <v>517245.56553017884</v>
      </c>
      <c r="N56" s="56">
        <f t="shared" si="21"/>
        <v>674838.91823801305</v>
      </c>
      <c r="O56" s="56">
        <f t="shared" si="21"/>
        <v>772552.88897592342</v>
      </c>
    </row>
    <row r="57" spans="2:15">
      <c r="B57" t="s">
        <v>150</v>
      </c>
      <c r="C57" s="109">
        <v>177558896</v>
      </c>
    </row>
    <row r="58" spans="2:15">
      <c r="B58" t="s">
        <v>189</v>
      </c>
      <c r="C58" s="29">
        <f>C57/C56</f>
        <v>20.192807380016191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36"/>
  <sheetViews>
    <sheetView workbookViewId="0">
      <pane xSplit="4485" ySplit="825" topLeftCell="A14" activePane="bottomRight"/>
      <selection activeCell="B2" sqref="B2"/>
      <selection pane="topRight" activeCell="K1" sqref="K1"/>
      <selection pane="bottomLeft" activeCell="A26" sqref="A26:XFD26"/>
      <selection pane="bottomRight" activeCell="B28" sqref="B28:M29"/>
    </sheetView>
  </sheetViews>
  <sheetFormatPr defaultColWidth="9.140625" defaultRowHeight="12.75"/>
  <cols>
    <col min="1" max="1" width="20.140625" style="60" customWidth="1"/>
    <col min="2" max="13" width="9.140625" style="60"/>
    <col min="14" max="14" width="10.140625" style="62" customWidth="1"/>
    <col min="15" max="15" width="9.140625" style="60" customWidth="1"/>
    <col min="16" max="16384" width="9.140625" style="60"/>
  </cols>
  <sheetData>
    <row r="1" spans="1:16" ht="16.5" thickBot="1">
      <c r="A1" s="57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58"/>
    </row>
    <row r="2" spans="1:16">
      <c r="A2" s="61"/>
      <c r="B2" s="70" t="s">
        <v>75</v>
      </c>
      <c r="C2" s="70" t="s">
        <v>76</v>
      </c>
      <c r="D2" s="70" t="s">
        <v>77</v>
      </c>
      <c r="E2" s="70" t="s">
        <v>78</v>
      </c>
      <c r="F2" s="70" t="s">
        <v>79</v>
      </c>
      <c r="G2" s="70" t="s">
        <v>80</v>
      </c>
      <c r="H2" s="70" t="s">
        <v>81</v>
      </c>
      <c r="I2" s="70" t="s">
        <v>82</v>
      </c>
      <c r="J2" s="70" t="s">
        <v>83</v>
      </c>
      <c r="K2" s="70" t="s">
        <v>84</v>
      </c>
      <c r="L2" s="70" t="s">
        <v>85</v>
      </c>
      <c r="M2" s="70" t="s">
        <v>86</v>
      </c>
    </row>
    <row r="3" spans="1:16">
      <c r="B3" s="63">
        <v>1</v>
      </c>
      <c r="C3" s="63">
        <v>2</v>
      </c>
      <c r="D3" s="63">
        <v>3</v>
      </c>
      <c r="E3" s="63">
        <v>4</v>
      </c>
      <c r="F3" s="63">
        <v>5</v>
      </c>
      <c r="G3" s="63">
        <v>6</v>
      </c>
      <c r="H3" s="63">
        <v>7</v>
      </c>
      <c r="I3" s="63">
        <v>8</v>
      </c>
      <c r="J3" s="63">
        <v>9</v>
      </c>
      <c r="K3" s="63">
        <v>10</v>
      </c>
      <c r="L3" s="63">
        <v>11</v>
      </c>
      <c r="M3" s="63">
        <v>12</v>
      </c>
      <c r="N3" s="64" t="s">
        <v>63</v>
      </c>
    </row>
    <row r="4" spans="1:16">
      <c r="A4" s="74" t="s">
        <v>64</v>
      </c>
      <c r="N4" s="75" t="s">
        <v>90</v>
      </c>
    </row>
    <row r="5" spans="1:16">
      <c r="A5" s="65" t="s">
        <v>65</v>
      </c>
      <c r="B5" s="66">
        <v>2.8379030563354402</v>
      </c>
      <c r="C5" s="66">
        <v>1.6305695512771599</v>
      </c>
      <c r="D5" s="66">
        <v>1.2409287253379799</v>
      </c>
      <c r="E5" s="66">
        <v>0.74731080260276705</v>
      </c>
      <c r="F5" s="66">
        <v>0.45870669221878002</v>
      </c>
      <c r="G5" s="66">
        <v>0.93209001588821383</v>
      </c>
      <c r="H5" s="66">
        <v>4.27497959136962</v>
      </c>
      <c r="I5" s="66">
        <v>5.7901986694335905</v>
      </c>
      <c r="J5" s="66">
        <v>3.5462369098663298</v>
      </c>
      <c r="K5" s="66">
        <v>1.54536170578002</v>
      </c>
      <c r="L5" s="66">
        <v>3.0415967521667397</v>
      </c>
      <c r="M5" s="66">
        <v>4.5566454772949196</v>
      </c>
      <c r="N5" s="62">
        <f>SUM(B5:M5)</f>
        <v>30.602527949571559</v>
      </c>
      <c r="O5" s="60">
        <f>N5/8760*1000</f>
        <v>3.4934392636497216</v>
      </c>
    </row>
    <row r="6" spans="1:16">
      <c r="A6" s="65" t="s">
        <v>23</v>
      </c>
      <c r="B6" s="66">
        <v>144.4224904296874</v>
      </c>
      <c r="C6" s="66">
        <v>128.67790139160149</v>
      </c>
      <c r="D6" s="66">
        <v>141.74540634765609</v>
      </c>
      <c r="E6" s="66">
        <v>124.71576513671869</v>
      </c>
      <c r="F6" s="66">
        <v>103.470964892578</v>
      </c>
      <c r="G6" s="66">
        <v>89.72169306640609</v>
      </c>
      <c r="H6" s="66">
        <v>134.373451953125</v>
      </c>
      <c r="I6" s="66">
        <v>142.9759381347655</v>
      </c>
      <c r="J6" s="66">
        <v>141.2450988281249</v>
      </c>
      <c r="K6" s="66">
        <v>145.06331953124987</v>
      </c>
      <c r="L6" s="66">
        <v>140.41230888671859</v>
      </c>
      <c r="M6" s="66">
        <v>145.36945190429682</v>
      </c>
      <c r="N6" s="62">
        <f t="shared" ref="N6:N12" si="0">SUM(B6:M6)</f>
        <v>1582.1937905029281</v>
      </c>
      <c r="O6" s="60">
        <f t="shared" ref="O6:O13" si="1">N6/8760*1000</f>
        <v>180.61572950946666</v>
      </c>
    </row>
    <row r="7" spans="1:16">
      <c r="A7" s="65" t="s">
        <v>66</v>
      </c>
      <c r="B7" s="66">
        <v>193.99749258422796</v>
      </c>
      <c r="C7" s="66">
        <v>156.37838282470699</v>
      </c>
      <c r="D7" s="66">
        <v>169.43157001953099</v>
      </c>
      <c r="E7" s="66">
        <v>130.03034741821202</v>
      </c>
      <c r="F7" s="66">
        <v>76.367618334960909</v>
      </c>
      <c r="G7" s="66">
        <v>47.557332583618106</v>
      </c>
      <c r="H7" s="66">
        <v>128.00682596435499</v>
      </c>
      <c r="I7" s="66">
        <v>172.471734228515</v>
      </c>
      <c r="J7" s="66">
        <v>176.544290625</v>
      </c>
      <c r="K7" s="66">
        <v>172.46953457031202</v>
      </c>
      <c r="L7" s="66">
        <v>173.062648535156</v>
      </c>
      <c r="M7" s="66">
        <v>201.42102646484295</v>
      </c>
      <c r="N7" s="62">
        <f t="shared" si="0"/>
        <v>1797.7388041534382</v>
      </c>
      <c r="O7" s="60">
        <f t="shared" si="1"/>
        <v>205.22132467505003</v>
      </c>
      <c r="P7" s="60">
        <f>SUM(B7:M7)</f>
        <v>1797.7388041534382</v>
      </c>
    </row>
    <row r="8" spans="1:16">
      <c r="A8" s="65" t="s">
        <v>21</v>
      </c>
      <c r="B8" s="66">
        <v>30.175968896484296</v>
      </c>
      <c r="C8" s="66">
        <v>25.594559863281201</v>
      </c>
      <c r="D8" s="66">
        <v>25.204305102539003</v>
      </c>
      <c r="E8" s="66">
        <v>20.642896582031202</v>
      </c>
      <c r="F8" s="66">
        <v>14.826854370117099</v>
      </c>
      <c r="G8" s="66">
        <v>0.81027785797119101</v>
      </c>
      <c r="H8" s="66">
        <v>22.198525463867099</v>
      </c>
      <c r="I8" s="66">
        <v>29.7045734130859</v>
      </c>
      <c r="J8" s="66">
        <v>30.2218376464843</v>
      </c>
      <c r="K8" s="66">
        <v>29.819654223632803</v>
      </c>
      <c r="L8" s="66">
        <v>29.428260717773398</v>
      </c>
      <c r="M8" s="66">
        <v>32.267627221679597</v>
      </c>
      <c r="N8" s="62">
        <f t="shared" si="0"/>
        <v>290.89534135894712</v>
      </c>
      <c r="O8" s="60">
        <f t="shared" si="1"/>
        <v>33.207230748738255</v>
      </c>
    </row>
    <row r="9" spans="1:16">
      <c r="A9" s="65" t="s">
        <v>67</v>
      </c>
      <c r="B9" s="66">
        <v>0.57145806379318198</v>
      </c>
      <c r="C9" s="66">
        <v>0.38026459510326305</v>
      </c>
      <c r="D9" s="66">
        <v>0.118287282776832</v>
      </c>
      <c r="E9" s="66">
        <v>6.38775605201721E-2</v>
      </c>
      <c r="F9" s="66">
        <v>6.7298728823661808E-2</v>
      </c>
      <c r="G9" s="66">
        <v>0.34423261044025399</v>
      </c>
      <c r="H9" s="66">
        <v>1.4529870053768099</v>
      </c>
      <c r="I9" s="66">
        <v>2.4963669277191101</v>
      </c>
      <c r="J9" s="66">
        <v>1.39402878437042</v>
      </c>
      <c r="K9" s="66">
        <v>0.47033542900085401</v>
      </c>
      <c r="L9" s="66">
        <v>0.78189575352668717</v>
      </c>
      <c r="M9" s="66">
        <v>1.52366688427925</v>
      </c>
      <c r="N9" s="62">
        <f t="shared" si="0"/>
        <v>9.6646996257304956</v>
      </c>
      <c r="O9" s="60">
        <f t="shared" si="1"/>
        <v>1.1032762129829332</v>
      </c>
    </row>
    <row r="10" spans="1:16">
      <c r="A10" s="65" t="s">
        <v>165</v>
      </c>
      <c r="B10" s="66">
        <v>178.501703881835</v>
      </c>
      <c r="C10" s="66">
        <v>142.230638500976</v>
      </c>
      <c r="D10" s="66">
        <v>154.667871166992</v>
      </c>
      <c r="E10" s="66">
        <v>120.32133868103</v>
      </c>
      <c r="F10" s="66">
        <v>67.535729605102503</v>
      </c>
      <c r="G10" s="66">
        <v>46.823644462585399</v>
      </c>
      <c r="H10" s="66">
        <v>107.23869659423801</v>
      </c>
      <c r="I10" s="66">
        <v>141.58512558593699</v>
      </c>
      <c r="J10" s="66">
        <v>148.395824023437</v>
      </c>
      <c r="K10" s="66">
        <v>158.30819062499998</v>
      </c>
      <c r="L10" s="66">
        <v>158.49813046874999</v>
      </c>
      <c r="M10" s="66">
        <v>181.95498759765599</v>
      </c>
    </row>
    <row r="11" spans="1:16">
      <c r="A11" s="65" t="s">
        <v>68</v>
      </c>
      <c r="B11" s="66">
        <v>0.1523475583076476</v>
      </c>
      <c r="C11" s="66">
        <v>9.4921124267577997E-2</v>
      </c>
      <c r="D11" s="66">
        <v>0</v>
      </c>
      <c r="E11" s="66">
        <v>0</v>
      </c>
      <c r="F11" s="66">
        <v>0</v>
      </c>
      <c r="G11" s="66">
        <v>0.13485744438171379</v>
      </c>
      <c r="H11" s="66">
        <v>0.451879600524901</v>
      </c>
      <c r="I11" s="66">
        <v>1.9356854381084441</v>
      </c>
      <c r="J11" s="66">
        <v>0.27789785704612702</v>
      </c>
      <c r="K11" s="66">
        <v>2.2466506648063499E-2</v>
      </c>
      <c r="L11" s="66">
        <v>4.1072986125945905E-2</v>
      </c>
      <c r="M11" s="66">
        <v>0.39860494832992399</v>
      </c>
      <c r="N11" s="62">
        <f t="shared" si="0"/>
        <v>3.509733463740345</v>
      </c>
      <c r="O11" s="60">
        <f t="shared" si="1"/>
        <v>0.40065450499319005</v>
      </c>
    </row>
    <row r="12" spans="1:16">
      <c r="A12" s="65" t="s">
        <v>69</v>
      </c>
      <c r="B12" s="66">
        <v>3.46944060688018</v>
      </c>
      <c r="C12" s="66">
        <v>2.3378694698333704</v>
      </c>
      <c r="D12" s="66">
        <v>0.1728193803787231</v>
      </c>
      <c r="E12" s="66">
        <v>0.11512944717407211</v>
      </c>
      <c r="F12" s="66">
        <v>7.4626722335815299E-2</v>
      </c>
      <c r="G12" s="66">
        <v>1.664316903114317</v>
      </c>
      <c r="H12" s="66">
        <v>9.4195541438102701</v>
      </c>
      <c r="I12" s="66">
        <v>21.016874869537197</v>
      </c>
      <c r="J12" s="66">
        <v>7.3903343630790594</v>
      </c>
      <c r="K12" s="66">
        <v>1.271108094787597</v>
      </c>
      <c r="L12" s="66">
        <v>2.9525146976470902</v>
      </c>
      <c r="M12" s="66">
        <v>9.4028033203124899</v>
      </c>
      <c r="N12" s="62">
        <f t="shared" si="0"/>
        <v>59.287392018890188</v>
      </c>
      <c r="O12" s="60">
        <f t="shared" si="1"/>
        <v>6.7679671254440859</v>
      </c>
    </row>
    <row r="13" spans="1:16">
      <c r="A13" s="65" t="s">
        <v>223</v>
      </c>
      <c r="B13" s="67">
        <v>-1.9340625E-2</v>
      </c>
      <c r="C13" s="67">
        <v>-1.9293749999999998E-2</v>
      </c>
      <c r="D13" s="67">
        <v>-2.1434374999999999E-2</v>
      </c>
      <c r="E13" s="67">
        <v>-2.1628125000000002E-2</v>
      </c>
      <c r="F13" s="67">
        <v>-1.9846875E-2</v>
      </c>
      <c r="G13" s="67">
        <v>-1.6562500000000001E-2</v>
      </c>
      <c r="H13" s="67">
        <v>-1.9324999999999998E-2</v>
      </c>
      <c r="I13" s="67">
        <v>-2.2096875000000002E-2</v>
      </c>
      <c r="J13" s="67">
        <v>-2.1825000000000001E-2</v>
      </c>
      <c r="K13" s="67">
        <v>-2.2421875000000001E-2</v>
      </c>
      <c r="L13" s="67">
        <v>-2.1618749999999999E-2</v>
      </c>
      <c r="M13" s="67">
        <v>-2.2762499999999998E-2</v>
      </c>
      <c r="N13" s="68">
        <f>SUM(N5:N12)</f>
        <v>3773.892289073246</v>
      </c>
      <c r="O13" s="60">
        <f t="shared" si="1"/>
        <v>430.80962204032494</v>
      </c>
    </row>
    <row r="14" spans="1:16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8"/>
    </row>
    <row r="15" spans="1:16">
      <c r="A15" s="65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 t="e">
        <f>SUM(#REF!)</f>
        <v>#REF!</v>
      </c>
    </row>
    <row r="16" spans="1:16">
      <c r="A16" s="74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5">
      <c r="A17" s="65" t="s">
        <v>65</v>
      </c>
      <c r="B17" s="66">
        <v>77.045542311668399</v>
      </c>
      <c r="C17" s="66">
        <v>44.262278789281801</v>
      </c>
      <c r="D17" s="66">
        <v>32.825655031204199</v>
      </c>
      <c r="E17" s="66">
        <v>17.8621154733002</v>
      </c>
      <c r="F17" s="66">
        <v>10.9435888539999</v>
      </c>
      <c r="G17" s="66">
        <v>22.623347054421899</v>
      </c>
      <c r="H17" s="66">
        <v>107.30566711425701</v>
      </c>
      <c r="I17" s="66">
        <v>146.97928237914999</v>
      </c>
      <c r="J17" s="66">
        <v>89.984589350223501</v>
      </c>
      <c r="K17" s="66">
        <v>39.4791950792074</v>
      </c>
      <c r="L17" s="66">
        <v>81.701994854211804</v>
      </c>
      <c r="M17" s="66">
        <v>130.065117025375</v>
      </c>
      <c r="N17" s="67">
        <f>SUM(B17:M17)</f>
        <v>801.07837331630117</v>
      </c>
    </row>
    <row r="18" spans="1:15">
      <c r="A18" s="65" t="s">
        <v>23</v>
      </c>
      <c r="B18" s="66">
        <v>2072.4719850438019</v>
      </c>
      <c r="C18" s="66">
        <v>1927.6094327824499</v>
      </c>
      <c r="D18" s="66">
        <v>2051.0754373448267</v>
      </c>
      <c r="E18" s="66">
        <v>1895.3159292118917</v>
      </c>
      <c r="F18" s="66">
        <v>1703.4575265782246</v>
      </c>
      <c r="G18" s="66">
        <v>1580.3917016880887</v>
      </c>
      <c r="H18" s="66">
        <v>1987.6046304600609</v>
      </c>
      <c r="I18" s="66">
        <v>2059.9377004521266</v>
      </c>
      <c r="J18" s="66">
        <v>2041.7630666630639</v>
      </c>
      <c r="K18" s="66">
        <v>2078.0446622746367</v>
      </c>
      <c r="L18" s="66">
        <v>2034.8850164311298</v>
      </c>
      <c r="M18" s="66">
        <v>2081.0066244023219</v>
      </c>
      <c r="N18" s="67">
        <f t="shared" ref="N18:N24" si="2">SUM(B18:M18)</f>
        <v>23513.563713332627</v>
      </c>
    </row>
    <row r="19" spans="1:15">
      <c r="A19" s="65" t="s">
        <v>66</v>
      </c>
      <c r="B19" s="66">
        <v>3912.7542232421401</v>
      </c>
      <c r="C19" s="66">
        <v>3151.6262165694116</v>
      </c>
      <c r="D19" s="66">
        <v>3349.033193991695</v>
      </c>
      <c r="E19" s="66">
        <v>2322.8554371337605</v>
      </c>
      <c r="F19" s="66">
        <v>1371.668786784152</v>
      </c>
      <c r="G19" s="66">
        <v>866.87542448792351</v>
      </c>
      <c r="H19" s="66">
        <v>2426.9494677620519</v>
      </c>
      <c r="I19" s="66">
        <v>3294.6250499735643</v>
      </c>
      <c r="J19" s="66">
        <v>3364.6107474835085</v>
      </c>
      <c r="K19" s="66">
        <v>3292.0244895748388</v>
      </c>
      <c r="L19" s="66">
        <v>3477.6606980995307</v>
      </c>
      <c r="M19" s="66">
        <v>4278.7519830791043</v>
      </c>
      <c r="N19" s="67">
        <f t="shared" si="2"/>
        <v>35109.435718181681</v>
      </c>
      <c r="O19" s="60">
        <f>N19/8760*1000</f>
        <v>4007.9264518472241</v>
      </c>
    </row>
    <row r="20" spans="1:15">
      <c r="A20" s="65" t="s">
        <v>21</v>
      </c>
      <c r="B20" s="66">
        <v>563.94472770690902</v>
      </c>
      <c r="C20" s="66">
        <v>481.397095298767</v>
      </c>
      <c r="D20" s="66">
        <v>475.42315025329498</v>
      </c>
      <c r="E20" s="66">
        <v>399.95989036560002</v>
      </c>
      <c r="F20" s="66">
        <v>289.292750549316</v>
      </c>
      <c r="G20" s="66">
        <v>15.654236459731999</v>
      </c>
      <c r="H20" s="66">
        <v>418.52077522277801</v>
      </c>
      <c r="I20" s="66">
        <v>554.29263610839803</v>
      </c>
      <c r="J20" s="66">
        <v>563.60061264037995</v>
      </c>
      <c r="K20" s="66">
        <v>557.67630691528302</v>
      </c>
      <c r="L20" s="66">
        <v>549.03595046996998</v>
      </c>
      <c r="M20" s="66">
        <v>600.126609039306</v>
      </c>
      <c r="N20" s="67">
        <f t="shared" si="2"/>
        <v>5468.9247410297339</v>
      </c>
      <c r="O20" s="60">
        <f>N20/8760*1000</f>
        <v>624.30647728649933</v>
      </c>
    </row>
    <row r="21" spans="1:15">
      <c r="A21" s="65" t="s">
        <v>67</v>
      </c>
      <c r="B21" s="66">
        <v>15.0115569785237</v>
      </c>
      <c r="C21" s="66">
        <v>10.020820826292001</v>
      </c>
      <c r="D21" s="66">
        <v>3.00935544744133</v>
      </c>
      <c r="E21" s="66">
        <v>1.4783197134733199</v>
      </c>
      <c r="F21" s="66">
        <v>1.5627778384834501</v>
      </c>
      <c r="G21" s="66">
        <v>8.09419030956923</v>
      </c>
      <c r="H21" s="66">
        <v>35.334506844729098</v>
      </c>
      <c r="I21" s="66">
        <v>61.424971824884402</v>
      </c>
      <c r="J21" s="66">
        <v>34.283374915271999</v>
      </c>
      <c r="K21" s="66">
        <v>11.626196282356901</v>
      </c>
      <c r="L21" s="66">
        <v>20.357256922125799</v>
      </c>
      <c r="M21" s="66">
        <v>42.184707249700999</v>
      </c>
      <c r="N21" s="67">
        <f t="shared" si="2"/>
        <v>244.38803515285224</v>
      </c>
      <c r="O21" s="60">
        <f>N21/8760*1000</f>
        <v>27.898177528864409</v>
      </c>
    </row>
    <row r="22" spans="1:15">
      <c r="A22" s="65" t="s">
        <v>165</v>
      </c>
      <c r="B22" s="66">
        <v>3691.599136372</v>
      </c>
      <c r="C22" s="66">
        <v>2940.9524560966652</v>
      </c>
      <c r="D22" s="66">
        <v>3148.42467326209</v>
      </c>
      <c r="E22" s="66">
        <v>2222.6901716095813</v>
      </c>
      <c r="F22" s="66">
        <v>1264.5402657170146</v>
      </c>
      <c r="G22" s="66">
        <v>896.6085324296846</v>
      </c>
      <c r="H22" s="66">
        <v>2120.7614816806204</v>
      </c>
      <c r="I22" s="66">
        <v>2819.1496793990223</v>
      </c>
      <c r="J22" s="66">
        <v>2936.9048125248996</v>
      </c>
      <c r="K22" s="66">
        <v>3122.4521307323162</v>
      </c>
      <c r="L22" s="66">
        <v>3277.8197112992766</v>
      </c>
      <c r="M22" s="66">
        <v>3969.0352706796948</v>
      </c>
      <c r="N22" s="67"/>
    </row>
    <row r="23" spans="1:15">
      <c r="A23" s="65" t="s">
        <v>68</v>
      </c>
      <c r="B23" s="66">
        <v>5.9222077637910804</v>
      </c>
      <c r="C23" s="66">
        <v>3.6972898483276202</v>
      </c>
      <c r="D23" s="66">
        <v>0</v>
      </c>
      <c r="E23" s="66">
        <v>0</v>
      </c>
      <c r="F23" s="66">
        <v>0</v>
      </c>
      <c r="G23" s="66">
        <v>4.6995632410049399</v>
      </c>
      <c r="H23" s="66">
        <v>16.27833171188831</v>
      </c>
      <c r="I23" s="66">
        <v>70.579886247217502</v>
      </c>
      <c r="J23" s="66">
        <v>10.112445612251751</v>
      </c>
      <c r="K23" s="66">
        <v>0.82482577040791405</v>
      </c>
      <c r="L23" s="66">
        <v>1.5896598786115641</v>
      </c>
      <c r="M23" s="66">
        <v>16.46247282624244</v>
      </c>
      <c r="N23" s="67">
        <f t="shared" si="2"/>
        <v>130.16668289974311</v>
      </c>
    </row>
    <row r="24" spans="1:15">
      <c r="A24" s="65" t="s">
        <v>69</v>
      </c>
      <c r="B24" s="66">
        <v>118.96308623099316</v>
      </c>
      <c r="C24" s="66">
        <v>80.117031277942601</v>
      </c>
      <c r="D24" s="66">
        <v>6.0068128417968598</v>
      </c>
      <c r="E24" s="66">
        <v>3.6645131330489975</v>
      </c>
      <c r="F24" s="66">
        <v>2.3440806259632048</v>
      </c>
      <c r="G24" s="66">
        <v>52.685613557696314</v>
      </c>
      <c r="H24" s="66">
        <v>312.15661404206082</v>
      </c>
      <c r="I24" s="66">
        <v>701.24566244048935</v>
      </c>
      <c r="J24" s="66">
        <v>249.3027127127402</v>
      </c>
      <c r="K24" s="66">
        <v>45.095798382163004</v>
      </c>
      <c r="L24" s="66">
        <v>107.32447718596447</v>
      </c>
      <c r="M24" s="66">
        <v>348.55520675868877</v>
      </c>
      <c r="N24" s="67">
        <f t="shared" si="2"/>
        <v>2027.4616091895477</v>
      </c>
    </row>
    <row r="25" spans="1:15">
      <c r="A25" s="65" t="s">
        <v>223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8">
        <f>SUM(N17:N24)</f>
        <v>67295.018873102483</v>
      </c>
    </row>
    <row r="26" spans="1:15">
      <c r="A26" s="65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5">
      <c r="A27" s="74" t="s">
        <v>71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15">
      <c r="A28" s="65" t="s">
        <v>72</v>
      </c>
      <c r="B28" s="67">
        <v>13.413681491959</v>
      </c>
      <c r="C28" s="60">
        <v>22.107443594646398</v>
      </c>
      <c r="D28" s="60">
        <v>19.1667219133377</v>
      </c>
      <c r="E28" s="60">
        <v>3.13543261733055</v>
      </c>
      <c r="F28" s="66">
        <v>0.94798612909913016</v>
      </c>
      <c r="G28" s="66">
        <v>16.5009102227211</v>
      </c>
      <c r="H28" s="66">
        <v>25.333146915435702</v>
      </c>
      <c r="I28" s="66">
        <v>59.936134396362299</v>
      </c>
      <c r="J28" s="66">
        <v>27.292485678215304</v>
      </c>
      <c r="K28" s="66">
        <v>32.821486838674502</v>
      </c>
      <c r="L28" s="66">
        <v>25.348121315002405</v>
      </c>
      <c r="M28" s="66">
        <v>15.291964850234899</v>
      </c>
      <c r="N28" s="67">
        <f>SUM(B28:M28)</f>
        <v>261.295515963019</v>
      </c>
    </row>
    <row r="29" spans="1:15">
      <c r="A29" s="65" t="s">
        <v>73</v>
      </c>
      <c r="B29" s="67">
        <v>-119.677377124023</v>
      </c>
      <c r="C29" s="66">
        <v>-93.266978057265192</v>
      </c>
      <c r="D29" s="60">
        <v>-124.18496118164001</v>
      </c>
      <c r="E29" s="60">
        <v>-250.65861562500001</v>
      </c>
      <c r="F29" s="66">
        <v>-256.44011748046796</v>
      </c>
      <c r="G29" s="66">
        <v>-170.88209492187499</v>
      </c>
      <c r="H29" s="66">
        <v>-130.457573730468</v>
      </c>
      <c r="I29" s="66">
        <v>-71.685591088867199</v>
      </c>
      <c r="J29" s="66">
        <v>-98.623202392578094</v>
      </c>
      <c r="K29" s="66">
        <v>-74.273213134765598</v>
      </c>
      <c r="L29" s="66">
        <v>-109.328894726562</v>
      </c>
      <c r="M29" s="66">
        <v>-150.85746074218699</v>
      </c>
      <c r="N29" s="67">
        <f>SUM(B29:M29)</f>
        <v>-1650.3360802056991</v>
      </c>
    </row>
    <row r="30" spans="1:1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8">
        <f>SUM(B28:B29)</f>
        <v>-106.263695632064</v>
      </c>
      <c r="O30" s="60">
        <f>N30/8.76</f>
        <v>-12.130558862107764</v>
      </c>
    </row>
    <row r="31" spans="1:15">
      <c r="A31" s="74" t="s">
        <v>74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7"/>
    </row>
    <row r="32" spans="1:15">
      <c r="A32" s="65" t="s">
        <v>72</v>
      </c>
      <c r="B32" s="62">
        <v>278.587287610396</v>
      </c>
      <c r="C32" s="60">
        <v>384.58243190646101</v>
      </c>
      <c r="D32" s="60">
        <v>332.03420101608998</v>
      </c>
      <c r="E32" s="60">
        <v>51.347394336759997</v>
      </c>
      <c r="F32" s="66">
        <v>14.245372512470899</v>
      </c>
      <c r="G32" s="66">
        <v>375.181923155486</v>
      </c>
      <c r="H32" s="66">
        <v>704.80326130390097</v>
      </c>
      <c r="I32" s="66">
        <v>1638.56101512908</v>
      </c>
      <c r="J32" s="66">
        <v>763.02443327086496</v>
      </c>
      <c r="K32" s="66">
        <v>849.668470986187</v>
      </c>
      <c r="L32" s="66">
        <v>675.42180030345901</v>
      </c>
      <c r="M32" s="66">
        <v>426.12697530984798</v>
      </c>
      <c r="N32" s="67">
        <f>SUM(B32:M32)</f>
        <v>6493.5845668410047</v>
      </c>
    </row>
    <row r="33" spans="1:14">
      <c r="A33" s="65" t="s">
        <v>73</v>
      </c>
      <c r="B33" s="62">
        <v>-3351.4276340484598</v>
      </c>
      <c r="C33" s="60">
        <v>-2457.8564855720801</v>
      </c>
      <c r="D33" s="60">
        <v>-3082.8521832466099</v>
      </c>
      <c r="E33" s="60">
        <v>-5214.3650466918898</v>
      </c>
      <c r="F33" s="66">
        <v>-4477.87168655395</v>
      </c>
      <c r="G33" s="66">
        <v>-2412.3320132017102</v>
      </c>
      <c r="H33" s="66">
        <v>-3334.98397407531</v>
      </c>
      <c r="I33" s="66">
        <v>-2256.4161582946699</v>
      </c>
      <c r="J33" s="66">
        <v>-2844.4877883911099</v>
      </c>
      <c r="K33" s="66">
        <v>-1915.9389669418299</v>
      </c>
      <c r="L33" s="66">
        <v>-3096.5875244140602</v>
      </c>
      <c r="M33" s="66">
        <v>-4911.3587356567296</v>
      </c>
      <c r="N33" s="67">
        <f>SUM(B33:M33)</f>
        <v>-39356.478197088407</v>
      </c>
    </row>
    <row r="34" spans="1:14">
      <c r="N34" s="68">
        <f>SUM(N32:N33)</f>
        <v>-32862.893630247403</v>
      </c>
    </row>
    <row r="36" spans="1:14">
      <c r="M36" s="69" t="s">
        <v>91</v>
      </c>
      <c r="N36" s="68">
        <f>N25+N34</f>
        <v>34432.12524285508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18176324CF6849A8986D4A702B20CC" ma:contentTypeVersion="104" ma:contentTypeDescription="" ma:contentTypeScope="" ma:versionID="97424a1e254364ebc1c868c518289a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D3757A2-6A30-4C90-991C-BB28D1359B84}"/>
</file>

<file path=customXml/itemProps2.xml><?xml version="1.0" encoding="utf-8"?>
<ds:datastoreItem xmlns:ds="http://schemas.openxmlformats.org/officeDocument/2006/customXml" ds:itemID="{34E45B2B-D7D9-478A-88C2-DCA6FF1450DA}"/>
</file>

<file path=customXml/itemProps3.xml><?xml version="1.0" encoding="utf-8"?>
<ds:datastoreItem xmlns:ds="http://schemas.openxmlformats.org/officeDocument/2006/customXml" ds:itemID="{522312DC-510E-407D-A3B1-810A4501B8EE}"/>
</file>

<file path=customXml/itemProps4.xml><?xml version="1.0" encoding="utf-8"?>
<ds:datastoreItem xmlns:ds="http://schemas.openxmlformats.org/officeDocument/2006/customXml" ds:itemID="{0C6E53E9-6559-445F-AC28-7492D4119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WGJ-2</vt:lpstr>
      <vt:lpstr>WGJ-4</vt:lpstr>
      <vt:lpstr>WGJ-5</vt:lpstr>
      <vt:lpstr>Index</vt:lpstr>
      <vt:lpstr>Aurora</vt:lpstr>
      <vt:lpstr>Index!Print_Area</vt:lpstr>
      <vt:lpstr>'WGJ-2'!Print_Area</vt:lpstr>
      <vt:lpstr>'WGJ-4'!Print_Area</vt:lpstr>
      <vt:lpstr>'WGJ-5'!Print_Area</vt:lpstr>
      <vt:lpstr>'WGJ-2'!Print_Titles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jzlfgj</cp:lastModifiedBy>
  <cp:lastPrinted>2016-02-09T16:09:59Z</cp:lastPrinted>
  <dcterms:created xsi:type="dcterms:W3CDTF">1998-10-07T00:01:47Z</dcterms:created>
  <dcterms:modified xsi:type="dcterms:W3CDTF">2016-02-09T16:10:08Z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0x0101006E56B4D1795A2E4DB2F0B01679ED314A005218176324CF6849A8986D4A702B20CC</vt:lpwstr>
  </property>
  <property fmtid="{D5CDD505-2E9C-101B-9397-08002B2CF9AE}" pid="3" name="_docset_NoMedatataSyncRequired">
    <vt:lpwstr>False</vt:lpwstr>
  </property>
</Properties>
</file>