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7695" windowHeight="8295" tabRatio="967" activeTab="2"/>
  </bookViews>
  <sheets>
    <sheet name="ISWC - with Modifications" sheetId="19" r:id="rId1"/>
    <sheet name="ISWC - As Approved" sheetId="1" r:id="rId2"/>
    <sheet name="Exhibit No.___(DKS-2)" sheetId="20" r:id="rId3"/>
    <sheet name="Accountts 182,186,253,254,283" sheetId="10" r:id="rId4"/>
    <sheet name="GL balances" sheetId="13" r:id="rId5"/>
    <sheet name="FAS 133 Accounts" sheetId="16" r:id="rId6"/>
    <sheet name="Bridger" sheetId="3" r:id="rId7"/>
    <sheet name="ISWC w Pension" sheetId="4" state="hidden" r:id="rId8"/>
    <sheet name="zGLPCT" sheetId="6" state="hidden" r:id="rId9"/>
    <sheet name="zJARS_Allockeys" sheetId="9" state="hidden" r:id="rId10"/>
  </sheets>
  <externalReferences>
    <externalReference r:id="rId11"/>
    <externalReference r:id="rId12"/>
    <externalReference r:id="rId13"/>
    <externalReference r:id="rId14"/>
    <externalReference r:id="rId15"/>
  </externalReferences>
  <definedNames>
    <definedName name="__123Graph_A" hidden="1">[1]Inputs!#REF!</definedName>
    <definedName name="__123Graph_B" hidden="1">[1]Inputs!#REF!</definedName>
    <definedName name="__123Graph_D" hidden="1">[1]Inputs!#REF!</definedName>
    <definedName name="_xlnm._FilterDatabase" localSheetId="3" hidden="1">'Accountts 182,186,253,254,283'!$D$1:$D$351</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B1_Print">#REF!</definedName>
    <definedName name="Bottom">[2]Variance!#REF!</definedName>
    <definedName name="High_Plan">#REF!</definedName>
    <definedName name="LastCell">[2]Variance!#REF!</definedName>
    <definedName name="Low_Plan">#REF!</definedName>
    <definedName name="MD_High1">'[3]Master Data'!$A$2</definedName>
    <definedName name="MD_Low1">'[3]Master Data'!$D$28</definedName>
    <definedName name="_xlnm.Print_Area" localSheetId="3">'Accountts 182,186,253,254,283'!$A$1:$I$351</definedName>
    <definedName name="_xlnm.Print_Area" localSheetId="2">'Exhibit No.___(DKS-2)'!$A$1:$I$31</definedName>
    <definedName name="_xlnm.Print_Area" localSheetId="4">'GL balances'!$B$1:$H$78</definedName>
    <definedName name="_xlnm.Print_Area" localSheetId="1">'ISWC - As Approved'!$T$4:$AA$182</definedName>
    <definedName name="_xlnm.Print_Area" localSheetId="0">'ISWC - with Modifications'!$T$4:$AA$182</definedName>
    <definedName name="_xlnm.Print_Area" localSheetId="7">'ISWC w Pension'!$T$1:$AA$179</definedName>
    <definedName name="_xlnm.Print_Titles" localSheetId="1">'ISWC - As Approved'!$A:$B,'ISWC - As Approved'!$4:$6</definedName>
    <definedName name="_xlnm.Print_Titles" localSheetId="0">'ISWC - with Modifications'!$A:$B,'ISWC - with Modifications'!$4:$6</definedName>
    <definedName name="_xlnm.Print_Titles" localSheetId="7">'ISWC w Pension'!$A:$B,'ISWC w Pension'!$1:$3</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"45GXL7SXPXL3MHIZ7CHPZQ8ZV"</definedName>
    <definedName name="ST_Bottom1">[2]Variance!#REF!</definedName>
    <definedName name="ST_Top1">[2]Variance!#REF!</definedName>
    <definedName name="ST_Top2">[2]Variance!#REF!</definedName>
    <definedName name="ST_Top3">#REF!</definedName>
    <definedName name="T1_Print">#REF!</definedName>
    <definedName name="wrn.All._.Pages." hidden="1">{#N/A,#N/A,FALSE,"Cover";#N/A,#N/A,FALSE,"Lead Sheet";#N/A,#N/A,FALSE,"T-Accounts";#N/A,#N/A,FALSE,"Ins &amp; Prem ActualEstimates"}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45621" iterate="1"/>
</workbook>
</file>

<file path=xl/calcChain.xml><?xml version="1.0" encoding="utf-8"?>
<calcChain xmlns="http://schemas.openxmlformats.org/spreadsheetml/2006/main">
  <c r="I15" i="20"/>
  <c r="G15"/>
  <c r="F15"/>
  <c r="E15"/>
  <c r="D15"/>
  <c r="C15"/>
  <c r="P9" i="3" l="1"/>
  <c r="P10"/>
  <c r="P11"/>
  <c r="P12"/>
  <c r="P16" s="1"/>
  <c r="P13"/>
  <c r="P14"/>
  <c r="P15"/>
  <c r="C16"/>
  <c r="D16"/>
  <c r="E16"/>
  <c r="F16"/>
  <c r="G16"/>
  <c r="H16"/>
  <c r="I16"/>
  <c r="J16"/>
  <c r="K16"/>
  <c r="L16"/>
  <c r="M16"/>
  <c r="N16"/>
  <c r="O16"/>
  <c r="C18"/>
  <c r="C35" s="1"/>
  <c r="C39" s="1"/>
  <c r="D18"/>
  <c r="E18"/>
  <c r="F18"/>
  <c r="G18"/>
  <c r="H18"/>
  <c r="I18"/>
  <c r="J18"/>
  <c r="K18"/>
  <c r="L18"/>
  <c r="M18"/>
  <c r="N18"/>
  <c r="O18"/>
  <c r="P23"/>
  <c r="P24"/>
  <c r="P25"/>
  <c r="P26"/>
  <c r="P27"/>
  <c r="P28"/>
  <c r="P29"/>
  <c r="C30"/>
  <c r="D30"/>
  <c r="E30"/>
  <c r="F30"/>
  <c r="G30"/>
  <c r="H30"/>
  <c r="I30"/>
  <c r="J30"/>
  <c r="K30"/>
  <c r="L30"/>
  <c r="M30"/>
  <c r="N30"/>
  <c r="O30"/>
  <c r="C32"/>
  <c r="D32"/>
  <c r="E32"/>
  <c r="F32"/>
  <c r="G32"/>
  <c r="H32"/>
  <c r="I32"/>
  <c r="J32"/>
  <c r="K32"/>
  <c r="L32"/>
  <c r="M32"/>
  <c r="N32"/>
  <c r="O32"/>
  <c r="C36"/>
  <c r="C42"/>
  <c r="C43"/>
  <c r="C44"/>
  <c r="H6" i="10"/>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I57"/>
  <c r="H58"/>
  <c r="H59"/>
  <c r="H60"/>
  <c r="H61"/>
  <c r="H62"/>
  <c r="H63"/>
  <c r="H64"/>
  <c r="H65"/>
  <c r="H66"/>
  <c r="H67"/>
  <c r="H68"/>
  <c r="H69"/>
  <c r="H70"/>
  <c r="H71"/>
  <c r="H72"/>
  <c r="H73"/>
  <c r="H74"/>
  <c r="H75"/>
  <c r="H76"/>
  <c r="H77"/>
  <c r="H78"/>
  <c r="H79"/>
  <c r="H80"/>
  <c r="H81"/>
  <c r="H82"/>
  <c r="H83"/>
  <c r="H84"/>
  <c r="H85"/>
  <c r="H86"/>
  <c r="H87"/>
  <c r="H88"/>
  <c r="H89"/>
  <c r="H90"/>
  <c r="H91"/>
  <c r="H92"/>
  <c r="H93"/>
  <c r="H94"/>
  <c r="H95"/>
  <c r="H96"/>
  <c r="I96"/>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I158"/>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I210"/>
  <c r="H212"/>
  <c r="H213"/>
  <c r="H214"/>
  <c r="H215"/>
  <c r="H216"/>
  <c r="H217"/>
  <c r="H218"/>
  <c r="H219"/>
  <c r="H220"/>
  <c r="H221"/>
  <c r="H222"/>
  <c r="H223"/>
  <c r="H224"/>
  <c r="H225"/>
  <c r="H226"/>
  <c r="H227"/>
  <c r="H228"/>
  <c r="H229"/>
  <c r="H230"/>
  <c r="H231"/>
  <c r="H232"/>
  <c r="H233"/>
  <c r="H234"/>
  <c r="H235"/>
  <c r="H236"/>
  <c r="H237"/>
  <c r="H238"/>
  <c r="H239"/>
  <c r="H240"/>
  <c r="H241"/>
  <c r="H242"/>
  <c r="H243"/>
  <c r="H244"/>
  <c r="I244"/>
  <c r="H246"/>
  <c r="H247"/>
  <c r="H248"/>
  <c r="H249"/>
  <c r="H250"/>
  <c r="H251"/>
  <c r="H252"/>
  <c r="H253"/>
  <c r="I254"/>
  <c r="I255"/>
  <c r="H256"/>
  <c r="H257"/>
  <c r="H258"/>
  <c r="H259"/>
  <c r="H260"/>
  <c r="H261"/>
  <c r="H262"/>
  <c r="H263"/>
  <c r="H264"/>
  <c r="H265"/>
  <c r="H266"/>
  <c r="H267"/>
  <c r="H268"/>
  <c r="H269"/>
  <c r="H270"/>
  <c r="H271"/>
  <c r="I272"/>
  <c r="I273"/>
  <c r="I274"/>
  <c r="I275"/>
  <c r="I276"/>
  <c r="I277"/>
  <c r="I278"/>
  <c r="I279"/>
  <c r="I280"/>
  <c r="I281"/>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P30" i="3" l="1"/>
  <c r="I351" i="10"/>
  <c r="H31" i="13"/>
  <c r="E20"/>
  <c r="D20"/>
  <c r="E8"/>
  <c r="E9"/>
  <c r="E10"/>
  <c r="E11"/>
  <c r="E12"/>
  <c r="E13"/>
  <c r="E14"/>
  <c r="E15"/>
  <c r="E16"/>
  <c r="E17"/>
  <c r="E18"/>
  <c r="E19"/>
  <c r="E7"/>
  <c r="D350" i="10" l="1"/>
  <c r="D349"/>
  <c r="D348"/>
  <c r="D347"/>
  <c r="D346"/>
  <c r="D345"/>
  <c r="D344"/>
  <c r="D343"/>
  <c r="D342"/>
  <c r="D341"/>
  <c r="D340"/>
  <c r="D339"/>
  <c r="D338"/>
  <c r="D337"/>
  <c r="D336"/>
  <c r="D335"/>
  <c r="D334"/>
  <c r="D333"/>
  <c r="D331"/>
  <c r="D330"/>
  <c r="D329"/>
  <c r="D327"/>
  <c r="D326"/>
  <c r="D324"/>
  <c r="D323"/>
  <c r="D322"/>
  <c r="D321"/>
  <c r="D319"/>
  <c r="D318"/>
  <c r="D317"/>
  <c r="D316"/>
  <c r="D315"/>
  <c r="D313"/>
  <c r="D312"/>
  <c r="D308"/>
  <c r="D307"/>
  <c r="D306"/>
  <c r="D305"/>
  <c r="D304"/>
  <c r="D302"/>
  <c r="D301"/>
  <c r="D299"/>
  <c r="D298"/>
  <c r="D297"/>
  <c r="D296"/>
  <c r="D295"/>
  <c r="D293"/>
  <c r="D291"/>
  <c r="D286"/>
  <c r="D285"/>
  <c r="D284"/>
  <c r="D283"/>
  <c r="D282"/>
  <c r="D269"/>
  <c r="D260"/>
  <c r="D259"/>
  <c r="D257"/>
  <c r="D256"/>
  <c r="D255"/>
  <c r="D254"/>
  <c r="D253"/>
  <c r="D252"/>
  <c r="D248"/>
  <c r="D247"/>
  <c r="D246"/>
  <c r="D242"/>
  <c r="D241"/>
  <c r="D240"/>
  <c r="D238"/>
  <c r="D237"/>
  <c r="D236"/>
  <c r="D235"/>
  <c r="D229"/>
  <c r="D228"/>
  <c r="D227"/>
  <c r="D225"/>
  <c r="D224"/>
  <c r="D223"/>
  <c r="D222"/>
  <c r="D221"/>
  <c r="D220"/>
  <c r="D219"/>
  <c r="D218"/>
  <c r="D217"/>
  <c r="D216"/>
  <c r="D215"/>
  <c r="D214"/>
  <c r="D213"/>
  <c r="D209"/>
  <c r="D208"/>
  <c r="D207"/>
  <c r="D206"/>
  <c r="D205"/>
  <c r="D204"/>
  <c r="D203"/>
  <c r="D202"/>
  <c r="D201"/>
  <c r="D200"/>
  <c r="D199"/>
  <c r="D198"/>
  <c r="D197"/>
  <c r="D196"/>
  <c r="D195"/>
  <c r="D194"/>
  <c r="D193"/>
  <c r="D192"/>
  <c r="D191"/>
  <c r="D190"/>
  <c r="D189"/>
  <c r="D188"/>
  <c r="D187"/>
  <c r="D186"/>
  <c r="D185"/>
  <c r="D184"/>
  <c r="D183"/>
  <c r="D182"/>
  <c r="D181"/>
  <c r="D180"/>
  <c r="D173"/>
  <c r="D172"/>
  <c r="D171"/>
  <c r="D170"/>
  <c r="D169"/>
  <c r="D168"/>
  <c r="D167"/>
  <c r="D166"/>
  <c r="D165"/>
  <c r="D163"/>
  <c r="D162"/>
  <c r="D161"/>
  <c r="D160"/>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4"/>
  <c r="D93"/>
  <c r="D91"/>
  <c r="D90"/>
  <c r="D89"/>
  <c r="D88"/>
  <c r="D87"/>
  <c r="D86"/>
  <c r="D85"/>
  <c r="D84"/>
  <c r="D83"/>
  <c r="D82"/>
  <c r="D81"/>
  <c r="D80"/>
  <c r="D79"/>
  <c r="D78"/>
  <c r="D77"/>
  <c r="D76"/>
  <c r="D75"/>
  <c r="D74"/>
  <c r="D73"/>
  <c r="D72"/>
  <c r="D71"/>
  <c r="D70"/>
  <c r="D69"/>
  <c r="D68"/>
  <c r="D67"/>
  <c r="D66"/>
  <c r="D64"/>
  <c r="D63"/>
  <c r="D58"/>
  <c r="D57"/>
  <c r="D53"/>
  <c r="D52"/>
  <c r="D51"/>
  <c r="D50"/>
  <c r="D49"/>
  <c r="D48"/>
  <c r="D47"/>
  <c r="D45"/>
  <c r="D44"/>
  <c r="D40"/>
  <c r="D39"/>
  <c r="D38"/>
  <c r="D37"/>
  <c r="D36"/>
  <c r="D35"/>
  <c r="D34"/>
  <c r="D33"/>
  <c r="D32"/>
  <c r="D31"/>
  <c r="D30"/>
  <c r="D29"/>
  <c r="D28"/>
  <c r="D27"/>
  <c r="D26"/>
  <c r="D25"/>
  <c r="D24"/>
  <c r="D23"/>
  <c r="D22"/>
  <c r="D21"/>
  <c r="D19"/>
  <c r="D16"/>
  <c r="D14"/>
  <c r="D12"/>
  <c r="D11"/>
  <c r="D10"/>
  <c r="D9"/>
  <c r="D8"/>
  <c r="D7"/>
  <c r="X25" i="4" l="1"/>
  <c r="Y25" s="1"/>
  <c r="X28" i="19"/>
  <c r="Y28" s="1"/>
  <c r="X28" i="1"/>
  <c r="Y28" s="1"/>
  <c r="Y163" i="4"/>
  <c r="X163"/>
  <c r="Y162"/>
  <c r="X162"/>
  <c r="Y161"/>
  <c r="X161"/>
  <c r="Y159"/>
  <c r="X159"/>
  <c r="Y158"/>
  <c r="X158"/>
  <c r="Y156"/>
  <c r="X156"/>
  <c r="Y155"/>
  <c r="X155"/>
  <c r="X139"/>
  <c r="Y131"/>
  <c r="X131"/>
  <c r="Y127"/>
  <c r="X127"/>
  <c r="Y126"/>
  <c r="Y125"/>
  <c r="X125"/>
  <c r="Y86"/>
  <c r="X86"/>
  <c r="Y82"/>
  <c r="X82"/>
  <c r="Y76"/>
  <c r="Y75"/>
  <c r="X75"/>
  <c r="Y8"/>
  <c r="X8"/>
  <c r="Y5"/>
  <c r="X5"/>
  <c r="Y166" i="19"/>
  <c r="Y165"/>
  <c r="X165"/>
  <c r="Y164"/>
  <c r="X164"/>
  <c r="Y162"/>
  <c r="Y161"/>
  <c r="Y159"/>
  <c r="X159"/>
  <c r="Y158"/>
  <c r="X158"/>
  <c r="X142"/>
  <c r="Y134"/>
  <c r="X134"/>
  <c r="Y130"/>
  <c r="X130"/>
  <c r="Y129"/>
  <c r="X129"/>
  <c r="Y128"/>
  <c r="X128"/>
  <c r="Y89"/>
  <c r="X89"/>
  <c r="Y85"/>
  <c r="Y79"/>
  <c r="Y78"/>
  <c r="X78"/>
  <c r="Y11"/>
  <c r="X11"/>
  <c r="Y8"/>
  <c r="X8"/>
  <c r="Y166" i="1"/>
  <c r="X166"/>
  <c r="L351" i="10" s="1"/>
  <c r="Y165" i="1"/>
  <c r="X165"/>
  <c r="Y164"/>
  <c r="X164"/>
  <c r="Y162"/>
  <c r="X162"/>
  <c r="L244" i="10" s="1"/>
  <c r="Y161" i="1"/>
  <c r="X161"/>
  <c r="L210" i="10" s="1"/>
  <c r="Y159" i="1"/>
  <c r="X159"/>
  <c r="Y158"/>
  <c r="X158"/>
  <c r="X142"/>
  <c r="Y134"/>
  <c r="X134"/>
  <c r="Y130"/>
  <c r="X130"/>
  <c r="Y129"/>
  <c r="X129"/>
  <c r="Y128"/>
  <c r="X128"/>
  <c r="Y89"/>
  <c r="X89"/>
  <c r="Y85"/>
  <c r="X85"/>
  <c r="L158" i="10" s="1"/>
  <c r="Y79" i="1"/>
  <c r="X79"/>
  <c r="L96" i="10" s="1"/>
  <c r="Y78" i="1"/>
  <c r="X78"/>
  <c r="Y11"/>
  <c r="X11"/>
  <c r="Y8"/>
  <c r="X8"/>
  <c r="C9" i="20" l="1"/>
  <c r="D10"/>
  <c r="C10"/>
  <c r="C8"/>
  <c r="F4"/>
  <c r="D4"/>
  <c r="F16" l="1"/>
  <c r="E10"/>
  <c r="G10" s="1"/>
  <c r="V149" i="19"/>
  <c r="T79"/>
  <c r="H34" i="13"/>
  <c r="H37"/>
  <c r="Z149" i="19" l="1"/>
  <c r="AA149" s="1"/>
  <c r="X79" l="1"/>
  <c r="Q259"/>
  <c r="Q258"/>
  <c r="Q257"/>
  <c r="Q256"/>
  <c r="Q255"/>
  <c r="Q254"/>
  <c r="Q253"/>
  <c r="Q252"/>
  <c r="Q251"/>
  <c r="Q250"/>
  <c r="Q249"/>
  <c r="Q248"/>
  <c r="Q247"/>
  <c r="Q246"/>
  <c r="Q245"/>
  <c r="Q244"/>
  <c r="Q243"/>
  <c r="Q242"/>
  <c r="Q241"/>
  <c r="Q240"/>
  <c r="Q239"/>
  <c r="Q238"/>
  <c r="Q237"/>
  <c r="Q236"/>
  <c r="Q235"/>
  <c r="Q234"/>
  <c r="Q233"/>
  <c r="Q232"/>
  <c r="Q231"/>
  <c r="Q230"/>
  <c r="Q229"/>
  <c r="Q228"/>
  <c r="Q227"/>
  <c r="Q226"/>
  <c r="Q225"/>
  <c r="Q224"/>
  <c r="Q223"/>
  <c r="Q222"/>
  <c r="Q221"/>
  <c r="Q220"/>
  <c r="Q219"/>
  <c r="Q218"/>
  <c r="Q217"/>
  <c r="Q216"/>
  <c r="Q215"/>
  <c r="Q214"/>
  <c r="Q213"/>
  <c r="Q212"/>
  <c r="Q211"/>
  <c r="Q210"/>
  <c r="Q209"/>
  <c r="Q208"/>
  <c r="Q207"/>
  <c r="Q206"/>
  <c r="Q205"/>
  <c r="Q204"/>
  <c r="Q203"/>
  <c r="Q202"/>
  <c r="Q201"/>
  <c r="Q200"/>
  <c r="Q199"/>
  <c r="Q198"/>
  <c r="Q197"/>
  <c r="Q196"/>
  <c r="Q195"/>
  <c r="Q194"/>
  <c r="Q193"/>
  <c r="Q192"/>
  <c r="Q191"/>
  <c r="Q190"/>
  <c r="Q189"/>
  <c r="Q188"/>
  <c r="Q187"/>
  <c r="Q186"/>
  <c r="Q185"/>
  <c r="Q184"/>
  <c r="Q183"/>
  <c r="Q182"/>
  <c r="O167"/>
  <c r="N167"/>
  <c r="M167"/>
  <c r="L167"/>
  <c r="K167"/>
  <c r="J167"/>
  <c r="I167"/>
  <c r="Q166"/>
  <c r="P166"/>
  <c r="Q165"/>
  <c r="P165"/>
  <c r="Q164"/>
  <c r="P164"/>
  <c r="V164" s="1"/>
  <c r="Q163"/>
  <c r="P163"/>
  <c r="W163" s="1"/>
  <c r="Q162"/>
  <c r="P162"/>
  <c r="H161"/>
  <c r="H167" s="1"/>
  <c r="G161"/>
  <c r="G167" s="1"/>
  <c r="F161"/>
  <c r="F167" s="1"/>
  <c r="E161"/>
  <c r="E167" s="1"/>
  <c r="D161"/>
  <c r="D167" s="1"/>
  <c r="C161"/>
  <c r="C167" s="1"/>
  <c r="AA160"/>
  <c r="Q160"/>
  <c r="P160"/>
  <c r="V160" s="1"/>
  <c r="Q159"/>
  <c r="P159"/>
  <c r="V159" s="1"/>
  <c r="Q158"/>
  <c r="P158"/>
  <c r="V158" s="1"/>
  <c r="T155"/>
  <c r="O155"/>
  <c r="N155"/>
  <c r="M155"/>
  <c r="L155"/>
  <c r="K155"/>
  <c r="J155"/>
  <c r="I155"/>
  <c r="Q154"/>
  <c r="P154"/>
  <c r="U154" s="1"/>
  <c r="Q153"/>
  <c r="P153"/>
  <c r="U153" s="1"/>
  <c r="Q152"/>
  <c r="R152" s="1"/>
  <c r="P152"/>
  <c r="V152" s="1"/>
  <c r="Q151"/>
  <c r="P151"/>
  <c r="V151" s="1"/>
  <c r="D7" i="20" s="1"/>
  <c r="Q150" i="19"/>
  <c r="P150"/>
  <c r="R150" s="1"/>
  <c r="H149"/>
  <c r="G149"/>
  <c r="F149"/>
  <c r="E149"/>
  <c r="D149"/>
  <c r="Q149" s="1"/>
  <c r="C149"/>
  <c r="H148"/>
  <c r="G148"/>
  <c r="F148"/>
  <c r="E148"/>
  <c r="D148"/>
  <c r="C148"/>
  <c r="P148" s="1"/>
  <c r="U148" s="1"/>
  <c r="Q147"/>
  <c r="P147"/>
  <c r="U147" s="1"/>
  <c r="Q146"/>
  <c r="P146"/>
  <c r="U146" s="1"/>
  <c r="Q145"/>
  <c r="P145"/>
  <c r="Q144"/>
  <c r="P144"/>
  <c r="R144" s="1"/>
  <c r="H143"/>
  <c r="G143"/>
  <c r="F143"/>
  <c r="E143"/>
  <c r="D143"/>
  <c r="Q143" s="1"/>
  <c r="C143"/>
  <c r="Q142"/>
  <c r="P142"/>
  <c r="V142" s="1"/>
  <c r="H141"/>
  <c r="G141"/>
  <c r="F141"/>
  <c r="E141"/>
  <c r="D141"/>
  <c r="C141"/>
  <c r="Q140"/>
  <c r="C140"/>
  <c r="P140" s="1"/>
  <c r="U140" s="1"/>
  <c r="H139"/>
  <c r="H155" s="1"/>
  <c r="G139"/>
  <c r="F139"/>
  <c r="F155" s="1"/>
  <c r="E139"/>
  <c r="D139"/>
  <c r="D155" s="1"/>
  <c r="C139"/>
  <c r="Q138"/>
  <c r="P138"/>
  <c r="W138" s="1"/>
  <c r="T135"/>
  <c r="O135"/>
  <c r="N135"/>
  <c r="M135"/>
  <c r="L135"/>
  <c r="K135"/>
  <c r="J135"/>
  <c r="I135"/>
  <c r="H135"/>
  <c r="Q134"/>
  <c r="R134" s="1"/>
  <c r="P134"/>
  <c r="V134" s="1"/>
  <c r="AA133"/>
  <c r="Q133"/>
  <c r="P133"/>
  <c r="Q132"/>
  <c r="P132"/>
  <c r="V132" s="1"/>
  <c r="Q131"/>
  <c r="P131"/>
  <c r="V131" s="1"/>
  <c r="Q130"/>
  <c r="P130"/>
  <c r="U129"/>
  <c r="G129"/>
  <c r="G135" s="1"/>
  <c r="F129"/>
  <c r="F135" s="1"/>
  <c r="E129"/>
  <c r="D129"/>
  <c r="D135" s="1"/>
  <c r="C129"/>
  <c r="C135" s="1"/>
  <c r="Q128"/>
  <c r="P128"/>
  <c r="V128" s="1"/>
  <c r="Q127"/>
  <c r="P127"/>
  <c r="V127" s="1"/>
  <c r="Q126"/>
  <c r="P126"/>
  <c r="T123"/>
  <c r="O123"/>
  <c r="N123"/>
  <c r="M123"/>
  <c r="L123"/>
  <c r="K123"/>
  <c r="J123"/>
  <c r="I123"/>
  <c r="H123"/>
  <c r="G123"/>
  <c r="F123"/>
  <c r="E123"/>
  <c r="D123"/>
  <c r="C123"/>
  <c r="Q122"/>
  <c r="P122"/>
  <c r="R122" s="1"/>
  <c r="Q121"/>
  <c r="P121"/>
  <c r="W121" s="1"/>
  <c r="Q120"/>
  <c r="P120"/>
  <c r="W120" s="1"/>
  <c r="Q119"/>
  <c r="P119"/>
  <c r="W119" s="1"/>
  <c r="Q118"/>
  <c r="P118"/>
  <c r="W118" s="1"/>
  <c r="Q117"/>
  <c r="P117"/>
  <c r="T114"/>
  <c r="T169" s="1"/>
  <c r="O114"/>
  <c r="N114"/>
  <c r="M114"/>
  <c r="L114"/>
  <c r="K114"/>
  <c r="J114"/>
  <c r="I114"/>
  <c r="Q113"/>
  <c r="P113"/>
  <c r="Q112"/>
  <c r="P112"/>
  <c r="W112" s="1"/>
  <c r="H111"/>
  <c r="G111"/>
  <c r="F111"/>
  <c r="E111"/>
  <c r="D111"/>
  <c r="C111"/>
  <c r="H110"/>
  <c r="G110"/>
  <c r="G114" s="1"/>
  <c r="F110"/>
  <c r="E110"/>
  <c r="E114" s="1"/>
  <c r="D110"/>
  <c r="C110"/>
  <c r="Q109"/>
  <c r="P109"/>
  <c r="W109" s="1"/>
  <c r="Q108"/>
  <c r="P108"/>
  <c r="W108" s="1"/>
  <c r="Q107"/>
  <c r="P107"/>
  <c r="W107" s="1"/>
  <c r="Q106"/>
  <c r="P106"/>
  <c r="W106" s="1"/>
  <c r="Q105"/>
  <c r="P105"/>
  <c r="W105" s="1"/>
  <c r="Q104"/>
  <c r="P104"/>
  <c r="W104" s="1"/>
  <c r="Q103"/>
  <c r="P103"/>
  <c r="W103" s="1"/>
  <c r="Q102"/>
  <c r="P102"/>
  <c r="W102" s="1"/>
  <c r="Q101"/>
  <c r="P101"/>
  <c r="W101" s="1"/>
  <c r="Q100"/>
  <c r="P100"/>
  <c r="W100" s="1"/>
  <c r="Q99"/>
  <c r="P99"/>
  <c r="W99" s="1"/>
  <c r="Q98"/>
  <c r="P98"/>
  <c r="O91"/>
  <c r="N91"/>
  <c r="M91"/>
  <c r="L91"/>
  <c r="K91"/>
  <c r="J91"/>
  <c r="I91"/>
  <c r="Q90"/>
  <c r="P90"/>
  <c r="V90" s="1"/>
  <c r="Q89"/>
  <c r="P89"/>
  <c r="Q88"/>
  <c r="P88"/>
  <c r="W88" s="1"/>
  <c r="Q87"/>
  <c r="P87"/>
  <c r="V87" s="1"/>
  <c r="Q86"/>
  <c r="P86"/>
  <c r="V86" s="1"/>
  <c r="H85"/>
  <c r="H91" s="1"/>
  <c r="G85"/>
  <c r="G91" s="1"/>
  <c r="F85"/>
  <c r="F91" s="1"/>
  <c r="E85"/>
  <c r="E91" s="1"/>
  <c r="D85"/>
  <c r="C85"/>
  <c r="C91" s="1"/>
  <c r="Q84"/>
  <c r="P84"/>
  <c r="V84" s="1"/>
  <c r="Q83"/>
  <c r="P83"/>
  <c r="V83" s="1"/>
  <c r="Q82"/>
  <c r="P82"/>
  <c r="V82" s="1"/>
  <c r="Q81"/>
  <c r="P81"/>
  <c r="V81" s="1"/>
  <c r="Q80"/>
  <c r="P80"/>
  <c r="R80" s="1"/>
  <c r="Q79"/>
  <c r="R79" s="1"/>
  <c r="P79"/>
  <c r="Q78"/>
  <c r="P78"/>
  <c r="V78" s="1"/>
  <c r="Q77"/>
  <c r="P77"/>
  <c r="V77" s="1"/>
  <c r="Q76"/>
  <c r="P76"/>
  <c r="Y73"/>
  <c r="O73"/>
  <c r="N73"/>
  <c r="M73"/>
  <c r="L73"/>
  <c r="K73"/>
  <c r="J73"/>
  <c r="I73"/>
  <c r="Q72"/>
  <c r="P72"/>
  <c r="T72" s="1"/>
  <c r="Q71"/>
  <c r="P71"/>
  <c r="T71" s="1"/>
  <c r="Q70"/>
  <c r="P70"/>
  <c r="R70" s="1"/>
  <c r="Q69"/>
  <c r="P69"/>
  <c r="V69" s="1"/>
  <c r="Q68"/>
  <c r="P68"/>
  <c r="V68" s="1"/>
  <c r="Z68" s="1"/>
  <c r="AA68" s="1"/>
  <c r="Q67"/>
  <c r="P67"/>
  <c r="T67" s="1"/>
  <c r="Q66"/>
  <c r="P66"/>
  <c r="T66" s="1"/>
  <c r="Q65"/>
  <c r="P65"/>
  <c r="T65" s="1"/>
  <c r="Q64"/>
  <c r="P64"/>
  <c r="T64" s="1"/>
  <c r="H63"/>
  <c r="G63"/>
  <c r="F63"/>
  <c r="E63"/>
  <c r="D63"/>
  <c r="C63"/>
  <c r="Q62"/>
  <c r="P62"/>
  <c r="T62" s="1"/>
  <c r="Q61"/>
  <c r="P61"/>
  <c r="T61" s="1"/>
  <c r="Q60"/>
  <c r="P60"/>
  <c r="T60" s="1"/>
  <c r="Q59"/>
  <c r="P59"/>
  <c r="T59" s="1"/>
  <c r="Q58"/>
  <c r="P58"/>
  <c r="T58" s="1"/>
  <c r="Q57"/>
  <c r="P57"/>
  <c r="T57" s="1"/>
  <c r="Q56"/>
  <c r="P56"/>
  <c r="T56" s="1"/>
  <c r="Q55"/>
  <c r="P55"/>
  <c r="T55" s="1"/>
  <c r="Q54"/>
  <c r="P54"/>
  <c r="Q53"/>
  <c r="P53"/>
  <c r="T53" s="1"/>
  <c r="Q52"/>
  <c r="P52"/>
  <c r="T52" s="1"/>
  <c r="Q51"/>
  <c r="P51"/>
  <c r="T51" s="1"/>
  <c r="H50"/>
  <c r="G50"/>
  <c r="F50"/>
  <c r="E50"/>
  <c r="D50"/>
  <c r="C50"/>
  <c r="P50" s="1"/>
  <c r="T50" s="1"/>
  <c r="F49"/>
  <c r="Q49" s="1"/>
  <c r="C49"/>
  <c r="P49" s="1"/>
  <c r="V49" s="1"/>
  <c r="Z49" s="1"/>
  <c r="AA49" s="1"/>
  <c r="Q48"/>
  <c r="P48"/>
  <c r="H47"/>
  <c r="G47"/>
  <c r="F47"/>
  <c r="E47"/>
  <c r="D47"/>
  <c r="C47"/>
  <c r="P47" s="1"/>
  <c r="T47" s="1"/>
  <c r="Q46"/>
  <c r="P46"/>
  <c r="Q45"/>
  <c r="P45"/>
  <c r="Q44"/>
  <c r="P44"/>
  <c r="AA43"/>
  <c r="Q43"/>
  <c r="P43"/>
  <c r="T43" s="1"/>
  <c r="Q42"/>
  <c r="R42" s="1"/>
  <c r="P42"/>
  <c r="V42" s="1"/>
  <c r="H41"/>
  <c r="H73" s="1"/>
  <c r="G41"/>
  <c r="F41"/>
  <c r="F73" s="1"/>
  <c r="E41"/>
  <c r="D41"/>
  <c r="D73" s="1"/>
  <c r="C41"/>
  <c r="W38"/>
  <c r="O38"/>
  <c r="N38"/>
  <c r="M38"/>
  <c r="L38"/>
  <c r="K38"/>
  <c r="J38"/>
  <c r="I38"/>
  <c r="Q37"/>
  <c r="P37"/>
  <c r="V37" s="1"/>
  <c r="Z37" s="1"/>
  <c r="AA37" s="1"/>
  <c r="Q36"/>
  <c r="P36"/>
  <c r="Q35"/>
  <c r="P35"/>
  <c r="V35" s="1"/>
  <c r="Z35" s="1"/>
  <c r="AA35" s="1"/>
  <c r="Q34"/>
  <c r="P34"/>
  <c r="V34" s="1"/>
  <c r="Z34" s="1"/>
  <c r="AA34" s="1"/>
  <c r="Q33"/>
  <c r="P33"/>
  <c r="V33" s="1"/>
  <c r="Z33" s="1"/>
  <c r="AA33" s="1"/>
  <c r="Q32"/>
  <c r="P32"/>
  <c r="V32" s="1"/>
  <c r="Z32" s="1"/>
  <c r="AA32" s="1"/>
  <c r="Q31"/>
  <c r="P31"/>
  <c r="V31" s="1"/>
  <c r="Z31" s="1"/>
  <c r="AA31" s="1"/>
  <c r="Q30"/>
  <c r="P30"/>
  <c r="Q29"/>
  <c r="P29"/>
  <c r="V29" s="1"/>
  <c r="Z29" s="1"/>
  <c r="AA29" s="1"/>
  <c r="Y38"/>
  <c r="T28"/>
  <c r="H28"/>
  <c r="H38" s="1"/>
  <c r="G28"/>
  <c r="G38" s="1"/>
  <c r="F28"/>
  <c r="F38" s="1"/>
  <c r="E28"/>
  <c r="E38" s="1"/>
  <c r="D28"/>
  <c r="D38" s="1"/>
  <c r="C28"/>
  <c r="C38" s="1"/>
  <c r="Q27"/>
  <c r="R27" s="1"/>
  <c r="P27"/>
  <c r="V27" s="1"/>
  <c r="Z27" s="1"/>
  <c r="AA27" s="1"/>
  <c r="Q26"/>
  <c r="P26"/>
  <c r="V26" s="1"/>
  <c r="Z26" s="1"/>
  <c r="AA26" s="1"/>
  <c r="Q25"/>
  <c r="R25" s="1"/>
  <c r="P25"/>
  <c r="V25" s="1"/>
  <c r="Q22"/>
  <c r="P22"/>
  <c r="W21"/>
  <c r="Q20"/>
  <c r="P20"/>
  <c r="Q19"/>
  <c r="P19"/>
  <c r="Q18"/>
  <c r="P18"/>
  <c r="Q17"/>
  <c r="P17"/>
  <c r="Q16"/>
  <c r="P16"/>
  <c r="Q15"/>
  <c r="P15"/>
  <c r="Q14"/>
  <c r="P14"/>
  <c r="Q13"/>
  <c r="P13"/>
  <c r="Q11"/>
  <c r="P11"/>
  <c r="O10"/>
  <c r="O12" s="1"/>
  <c r="O21" s="1"/>
  <c r="N10"/>
  <c r="N12" s="1"/>
  <c r="N21" s="1"/>
  <c r="M10"/>
  <c r="M12" s="1"/>
  <c r="M21" s="1"/>
  <c r="L10"/>
  <c r="L12" s="1"/>
  <c r="L21" s="1"/>
  <c r="K10"/>
  <c r="K12" s="1"/>
  <c r="K21" s="1"/>
  <c r="J10"/>
  <c r="J12" s="1"/>
  <c r="J21" s="1"/>
  <c r="I10"/>
  <c r="I12" s="1"/>
  <c r="I21" s="1"/>
  <c r="Q9"/>
  <c r="P9"/>
  <c r="R9" s="1"/>
  <c r="Y21"/>
  <c r="X21"/>
  <c r="H8"/>
  <c r="H10" s="1"/>
  <c r="H12" s="1"/>
  <c r="H21" s="1"/>
  <c r="G8"/>
  <c r="G10" s="1"/>
  <c r="G12" s="1"/>
  <c r="G21" s="1"/>
  <c r="F8"/>
  <c r="F10" s="1"/>
  <c r="F12" s="1"/>
  <c r="F21" s="1"/>
  <c r="E8"/>
  <c r="E10" s="1"/>
  <c r="E12" s="1"/>
  <c r="E21" s="1"/>
  <c r="D8"/>
  <c r="D10" s="1"/>
  <c r="C8"/>
  <c r="C10" s="1"/>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R30" l="1"/>
  <c r="P63"/>
  <c r="T63" s="1"/>
  <c r="R69"/>
  <c r="Q85"/>
  <c r="R99"/>
  <c r="R121"/>
  <c r="R132"/>
  <c r="R138"/>
  <c r="P141"/>
  <c r="U141" s="1"/>
  <c r="R142"/>
  <c r="R158"/>
  <c r="C7" i="20"/>
  <c r="C11" s="1"/>
  <c r="Z69" i="19"/>
  <c r="R26"/>
  <c r="R34"/>
  <c r="R36"/>
  <c r="C73"/>
  <c r="E73"/>
  <c r="G73"/>
  <c r="R43"/>
  <c r="R44"/>
  <c r="R45"/>
  <c r="R46"/>
  <c r="Q47"/>
  <c r="R48"/>
  <c r="Q50"/>
  <c r="R51"/>
  <c r="R54"/>
  <c r="Q63"/>
  <c r="R65"/>
  <c r="R66"/>
  <c r="R67"/>
  <c r="R68"/>
  <c r="R71"/>
  <c r="R76"/>
  <c r="R78"/>
  <c r="R84"/>
  <c r="R106"/>
  <c r="P111"/>
  <c r="W111" s="1"/>
  <c r="R113"/>
  <c r="P123"/>
  <c r="Q123"/>
  <c r="R128"/>
  <c r="Q129"/>
  <c r="Q141"/>
  <c r="R141" s="1"/>
  <c r="P143"/>
  <c r="U143" s="1"/>
  <c r="R145"/>
  <c r="Q148"/>
  <c r="R148" s="1"/>
  <c r="P149"/>
  <c r="U149" s="1"/>
  <c r="R159"/>
  <c r="R165"/>
  <c r="Q73"/>
  <c r="D114"/>
  <c r="F114"/>
  <c r="H114"/>
  <c r="D8" i="20"/>
  <c r="E8" s="1"/>
  <c r="G8" s="1"/>
  <c r="Y91" i="19"/>
  <c r="Y93" s="1"/>
  <c r="Z130"/>
  <c r="AA130" s="1"/>
  <c r="Z134"/>
  <c r="AA134" s="1"/>
  <c r="Z164"/>
  <c r="AA164" s="1"/>
  <c r="Z11"/>
  <c r="AA11" s="1"/>
  <c r="Z78"/>
  <c r="AA78" s="1"/>
  <c r="Z128"/>
  <c r="AA128" s="1"/>
  <c r="Z159"/>
  <c r="AA159" s="1"/>
  <c r="D12"/>
  <c r="Q10"/>
  <c r="C12"/>
  <c r="P10"/>
  <c r="P8"/>
  <c r="P28"/>
  <c r="V28" s="1"/>
  <c r="Z28" s="1"/>
  <c r="AA28" s="1"/>
  <c r="Q8"/>
  <c r="V9"/>
  <c r="Z9" s="1"/>
  <c r="AA9" s="1"/>
  <c r="V11"/>
  <c r="P38"/>
  <c r="Z25"/>
  <c r="Q38"/>
  <c r="R38" s="1"/>
  <c r="R47"/>
  <c r="R49"/>
  <c r="R50"/>
  <c r="R63"/>
  <c r="Z83"/>
  <c r="AA83" s="1"/>
  <c r="R85"/>
  <c r="F93"/>
  <c r="H93"/>
  <c r="R11"/>
  <c r="I93"/>
  <c r="K93"/>
  <c r="M93"/>
  <c r="O93"/>
  <c r="E93"/>
  <c r="G93"/>
  <c r="Q28"/>
  <c r="R28" s="1"/>
  <c r="V30"/>
  <c r="Z30" s="1"/>
  <c r="AA30" s="1"/>
  <c r="V36"/>
  <c r="T38"/>
  <c r="Q41"/>
  <c r="Z42"/>
  <c r="V44"/>
  <c r="Z44" s="1"/>
  <c r="AA44" s="1"/>
  <c r="V45"/>
  <c r="Z45" s="1"/>
  <c r="AA45" s="1"/>
  <c r="T46"/>
  <c r="T48"/>
  <c r="T54"/>
  <c r="V70"/>
  <c r="W76"/>
  <c r="W91" s="1"/>
  <c r="V80"/>
  <c r="Z84"/>
  <c r="AA84" s="1"/>
  <c r="P85"/>
  <c r="V85" s="1"/>
  <c r="R88"/>
  <c r="R89"/>
  <c r="D91"/>
  <c r="J93"/>
  <c r="L93"/>
  <c r="N93"/>
  <c r="P91"/>
  <c r="Q110"/>
  <c r="Q114"/>
  <c r="R143"/>
  <c r="R149"/>
  <c r="P41"/>
  <c r="AA69"/>
  <c r="W98"/>
  <c r="R98"/>
  <c r="R103"/>
  <c r="P110"/>
  <c r="W110" s="1"/>
  <c r="C114"/>
  <c r="R123"/>
  <c r="W113"/>
  <c r="W117"/>
  <c r="W122"/>
  <c r="W126"/>
  <c r="W135" s="1"/>
  <c r="P129"/>
  <c r="V129" s="1"/>
  <c r="V130"/>
  <c r="Z131"/>
  <c r="AA131" s="1"/>
  <c r="Z132"/>
  <c r="AA132" s="1"/>
  <c r="E135"/>
  <c r="Q135" s="1"/>
  <c r="X135"/>
  <c r="C155"/>
  <c r="E155"/>
  <c r="Q155" s="1"/>
  <c r="G155"/>
  <c r="P139"/>
  <c r="U139" s="1"/>
  <c r="U144"/>
  <c r="U145"/>
  <c r="W150"/>
  <c r="Z152"/>
  <c r="AA152" s="1"/>
  <c r="R153"/>
  <c r="I169"/>
  <c r="K169"/>
  <c r="M169"/>
  <c r="O169"/>
  <c r="C169"/>
  <c r="G169"/>
  <c r="J169"/>
  <c r="L169"/>
  <c r="N169"/>
  <c r="Q111"/>
  <c r="R111" s="1"/>
  <c r="R117"/>
  <c r="R126"/>
  <c r="R130"/>
  <c r="U135"/>
  <c r="Y135"/>
  <c r="Q139"/>
  <c r="Y142"/>
  <c r="AA142" s="1"/>
  <c r="Z151"/>
  <c r="AA151" s="1"/>
  <c r="R151"/>
  <c r="D169"/>
  <c r="Q167"/>
  <c r="F169"/>
  <c r="H169"/>
  <c r="Z158"/>
  <c r="AA158" s="1"/>
  <c r="P161"/>
  <c r="V161" s="1"/>
  <c r="V162"/>
  <c r="V165"/>
  <c r="Q161"/>
  <c r="R162"/>
  <c r="R166"/>
  <c r="R139" l="1"/>
  <c r="E169"/>
  <c r="P135"/>
  <c r="R135" s="1"/>
  <c r="E7" i="20"/>
  <c r="Y169" i="19"/>
  <c r="Q169"/>
  <c r="P114"/>
  <c r="V135"/>
  <c r="R110"/>
  <c r="L171"/>
  <c r="L94"/>
  <c r="Q91"/>
  <c r="R91" s="1"/>
  <c r="AA42"/>
  <c r="E171"/>
  <c r="E94"/>
  <c r="O171"/>
  <c r="O94"/>
  <c r="K171"/>
  <c r="K94"/>
  <c r="H171"/>
  <c r="H94"/>
  <c r="Y175"/>
  <c r="Z8"/>
  <c r="V8"/>
  <c r="R10"/>
  <c r="Z165"/>
  <c r="AA165" s="1"/>
  <c r="P167"/>
  <c r="R161"/>
  <c r="R167"/>
  <c r="U155"/>
  <c r="P155"/>
  <c r="R155" s="1"/>
  <c r="Z129"/>
  <c r="W123"/>
  <c r="R129"/>
  <c r="W114"/>
  <c r="W169" s="1"/>
  <c r="P73"/>
  <c r="R73" s="1"/>
  <c r="T41"/>
  <c r="T73" s="1"/>
  <c r="R114"/>
  <c r="N171"/>
  <c r="N94"/>
  <c r="J171"/>
  <c r="J94"/>
  <c r="Z80"/>
  <c r="AA80" s="1"/>
  <c r="X73"/>
  <c r="Z70"/>
  <c r="AA70" s="1"/>
  <c r="R41"/>
  <c r="Z36"/>
  <c r="AA36" s="1"/>
  <c r="G171"/>
  <c r="G94"/>
  <c r="M171"/>
  <c r="M94"/>
  <c r="I171"/>
  <c r="I94"/>
  <c r="W93"/>
  <c r="F171"/>
  <c r="F94"/>
  <c r="V73"/>
  <c r="AA25"/>
  <c r="R8"/>
  <c r="V38"/>
  <c r="C21"/>
  <c r="P12"/>
  <c r="D21"/>
  <c r="Q21" s="1"/>
  <c r="Q12"/>
  <c r="R12" s="1"/>
  <c r="Z38" l="1"/>
  <c r="P169"/>
  <c r="G7" i="20"/>
  <c r="W175" i="19"/>
  <c r="X38"/>
  <c r="V21"/>
  <c r="Y180"/>
  <c r="Z73"/>
  <c r="R169"/>
  <c r="P21"/>
  <c r="R21" s="1"/>
  <c r="C93"/>
  <c r="AA129"/>
  <c r="Z135"/>
  <c r="Z21"/>
  <c r="AA21" s="1"/>
  <c r="AA8"/>
  <c r="D93"/>
  <c r="D171" l="1"/>
  <c r="D94"/>
  <c r="Q93"/>
  <c r="C171"/>
  <c r="P93"/>
  <c r="C94"/>
  <c r="Q170" l="1"/>
  <c r="R93"/>
  <c r="C61" i="13" l="1"/>
  <c r="T89" i="19" l="1"/>
  <c r="V89" s="1"/>
  <c r="Z89" s="1"/>
  <c r="AA89" s="1"/>
  <c r="AC21" i="16" l="1"/>
  <c r="Z21"/>
  <c r="V21"/>
  <c r="S21"/>
  <c r="O21"/>
  <c r="L21"/>
  <c r="I21"/>
  <c r="F21"/>
  <c r="C21"/>
  <c r="AH20"/>
  <c r="AG20"/>
  <c r="AI20" s="1"/>
  <c r="AA20"/>
  <c r="T20"/>
  <c r="M20"/>
  <c r="G20"/>
  <c r="AE20" s="1"/>
  <c r="AJ20" s="1"/>
  <c r="AH19"/>
  <c r="AG19"/>
  <c r="AI19" s="1"/>
  <c r="AA19"/>
  <c r="T19"/>
  <c r="M19"/>
  <c r="G19"/>
  <c r="AE19" s="1"/>
  <c r="AJ19" s="1"/>
  <c r="AH18"/>
  <c r="AG18"/>
  <c r="AI18" s="1"/>
  <c r="AA18"/>
  <c r="T18"/>
  <c r="M18"/>
  <c r="G18"/>
  <c r="AE18" s="1"/>
  <c r="AH17"/>
  <c r="AG17"/>
  <c r="AI17" s="1"/>
  <c r="AA17"/>
  <c r="T17"/>
  <c r="M17"/>
  <c r="G17"/>
  <c r="AE17" s="1"/>
  <c r="AJ17" s="1"/>
  <c r="AH16"/>
  <c r="AG16"/>
  <c r="AI16" s="1"/>
  <c r="AA16"/>
  <c r="T16"/>
  <c r="M16"/>
  <c r="G16"/>
  <c r="AE16" s="1"/>
  <c r="AJ16" s="1"/>
  <c r="AH15"/>
  <c r="AG15"/>
  <c r="AI15" s="1"/>
  <c r="AA15"/>
  <c r="T15"/>
  <c r="M15"/>
  <c r="G15"/>
  <c r="AE15" s="1"/>
  <c r="AJ15" s="1"/>
  <c r="AH14"/>
  <c r="AG14"/>
  <c r="AI14" s="1"/>
  <c r="AA14"/>
  <c r="T14"/>
  <c r="M14"/>
  <c r="G14"/>
  <c r="AE14" s="1"/>
  <c r="AJ14" s="1"/>
  <c r="AH13"/>
  <c r="AG13"/>
  <c r="AI13" s="1"/>
  <c r="AA13"/>
  <c r="T13"/>
  <c r="M13"/>
  <c r="G13"/>
  <c r="AE13" s="1"/>
  <c r="AJ13" s="1"/>
  <c r="AH12"/>
  <c r="AG12"/>
  <c r="AI12" s="1"/>
  <c r="AA12"/>
  <c r="T12"/>
  <c r="M12"/>
  <c r="G12"/>
  <c r="AE12" s="1"/>
  <c r="AJ12" s="1"/>
  <c r="AH11"/>
  <c r="AG11"/>
  <c r="AI11" s="1"/>
  <c r="AA11"/>
  <c r="T11"/>
  <c r="M11"/>
  <c r="G11"/>
  <c r="AE11" s="1"/>
  <c r="AJ11" s="1"/>
  <c r="AH10"/>
  <c r="AG10"/>
  <c r="AI10" s="1"/>
  <c r="AA10"/>
  <c r="T10"/>
  <c r="M10"/>
  <c r="G10"/>
  <c r="AE10" s="1"/>
  <c r="AJ10" s="1"/>
  <c r="AH9"/>
  <c r="AG9"/>
  <c r="AI9" s="1"/>
  <c r="AA9"/>
  <c r="T9"/>
  <c r="M9"/>
  <c r="G9"/>
  <c r="AE9" s="1"/>
  <c r="AJ9" s="1"/>
  <c r="AH8"/>
  <c r="AH21" s="1"/>
  <c r="AG8"/>
  <c r="AG21" s="1"/>
  <c r="AA8"/>
  <c r="T8"/>
  <c r="T21" s="1"/>
  <c r="M8"/>
  <c r="G8"/>
  <c r="G21" s="1"/>
  <c r="M21" l="1"/>
  <c r="AA21"/>
  <c r="AJ18"/>
  <c r="AE8"/>
  <c r="AI8"/>
  <c r="AI21" s="1"/>
  <c r="AJ8" l="1"/>
  <c r="AJ21" s="1"/>
  <c r="AE21"/>
  <c r="P36" i="1"/>
  <c r="C78" i="13" l="1"/>
  <c r="X162" i="19" l="1"/>
  <c r="Z162" s="1"/>
  <c r="AA162" s="1"/>
  <c r="U166" l="1"/>
  <c r="G41" i="13"/>
  <c r="F41"/>
  <c r="E41"/>
  <c r="D41"/>
  <c r="C41"/>
  <c r="H40"/>
  <c r="H39"/>
  <c r="H38"/>
  <c r="H36"/>
  <c r="H35"/>
  <c r="H33"/>
  <c r="H32"/>
  <c r="H30"/>
  <c r="H29"/>
  <c r="H28"/>
  <c r="C20"/>
  <c r="D9" i="20" l="1"/>
  <c r="D11" s="1"/>
  <c r="V166" i="19"/>
  <c r="U169"/>
  <c r="U173" s="1"/>
  <c r="H41" i="13"/>
  <c r="E9" i="20" l="1"/>
  <c r="E11" s="1"/>
  <c r="G11" s="1"/>
  <c r="D16"/>
  <c r="V167" i="19"/>
  <c r="V169" s="1"/>
  <c r="P170" s="1"/>
  <c r="F351" i="10"/>
  <c r="X166" i="19" l="1"/>
  <c r="Z166" s="1"/>
  <c r="AA166" s="1"/>
  <c r="G9" i="20"/>
  <c r="T91" i="19"/>
  <c r="T93" s="1"/>
  <c r="T173" s="1"/>
  <c r="T174" s="1"/>
  <c r="V79"/>
  <c r="F244" i="10"/>
  <c r="X161" i="19"/>
  <c r="F210" i="10"/>
  <c r="F158"/>
  <c r="Z161" i="19" l="1"/>
  <c r="X169"/>
  <c r="X85"/>
  <c r="Z79"/>
  <c r="V91"/>
  <c r="V93" s="1"/>
  <c r="P94" s="1"/>
  <c r="P171" s="1"/>
  <c r="H161" i="1"/>
  <c r="G161"/>
  <c r="F161"/>
  <c r="E161"/>
  <c r="D161"/>
  <c r="C161"/>
  <c r="H149"/>
  <c r="G149"/>
  <c r="F149"/>
  <c r="E149"/>
  <c r="D149"/>
  <c r="C149"/>
  <c r="H148"/>
  <c r="G148"/>
  <c r="F148"/>
  <c r="E148"/>
  <c r="D148"/>
  <c r="C148"/>
  <c r="H143"/>
  <c r="G143"/>
  <c r="F143"/>
  <c r="E143"/>
  <c r="D143"/>
  <c r="C143"/>
  <c r="H141"/>
  <c r="G141"/>
  <c r="F141"/>
  <c r="E141"/>
  <c r="D141"/>
  <c r="C141"/>
  <c r="C140"/>
  <c r="H139"/>
  <c r="G139"/>
  <c r="F139"/>
  <c r="E139"/>
  <c r="D139"/>
  <c r="C139"/>
  <c r="G129"/>
  <c r="F129"/>
  <c r="E129"/>
  <c r="D129"/>
  <c r="C129"/>
  <c r="H111"/>
  <c r="G111"/>
  <c r="F111"/>
  <c r="E111"/>
  <c r="D111"/>
  <c r="C111"/>
  <c r="H110"/>
  <c r="G110"/>
  <c r="F110"/>
  <c r="E110"/>
  <c r="D110"/>
  <c r="C110"/>
  <c r="H85"/>
  <c r="G85"/>
  <c r="F85"/>
  <c r="E85"/>
  <c r="D85"/>
  <c r="C85"/>
  <c r="H63"/>
  <c r="G63"/>
  <c r="F63"/>
  <c r="E63"/>
  <c r="D63"/>
  <c r="C63"/>
  <c r="H50"/>
  <c r="G50"/>
  <c r="F50"/>
  <c r="E50"/>
  <c r="D50"/>
  <c r="C50"/>
  <c r="F49"/>
  <c r="C49"/>
  <c r="H47"/>
  <c r="G47"/>
  <c r="F47"/>
  <c r="E47"/>
  <c r="D47"/>
  <c r="C47"/>
  <c r="H41"/>
  <c r="G41"/>
  <c r="F41"/>
  <c r="E41"/>
  <c r="D41"/>
  <c r="C41"/>
  <c r="H28"/>
  <c r="G28"/>
  <c r="F28"/>
  <c r="E28"/>
  <c r="D28"/>
  <c r="C28"/>
  <c r="H8"/>
  <c r="G8"/>
  <c r="F8"/>
  <c r="E8"/>
  <c r="D8"/>
  <c r="C8"/>
  <c r="AA161" i="19" l="1"/>
  <c r="Z169"/>
  <c r="X91"/>
  <c r="Z85"/>
  <c r="AA85" s="1"/>
  <c r="X93"/>
  <c r="V175"/>
  <c r="W176" s="1"/>
  <c r="AA79"/>
  <c r="Z91"/>
  <c r="Z93" s="1"/>
  <c r="P8" i="1"/>
  <c r="A361" i="9"/>
  <c r="A360"/>
  <c r="A359"/>
  <c r="A358"/>
  <c r="A357"/>
  <c r="A356"/>
  <c r="A355"/>
  <c r="A354"/>
  <c r="A353"/>
  <c r="A352"/>
  <c r="A351"/>
  <c r="A350"/>
  <c r="A349"/>
  <c r="A348"/>
  <c r="A347"/>
  <c r="A346"/>
  <c r="A345"/>
  <c r="A344"/>
  <c r="A343"/>
  <c r="A342"/>
  <c r="A341"/>
  <c r="A340"/>
  <c r="A339"/>
  <c r="A338"/>
  <c r="A337"/>
  <c r="A336"/>
  <c r="A335"/>
  <c r="A334"/>
  <c r="A333"/>
  <c r="A332"/>
  <c r="A331"/>
  <c r="A330"/>
  <c r="A329"/>
  <c r="A328"/>
  <c r="A327"/>
  <c r="A326"/>
  <c r="A325"/>
  <c r="A324"/>
  <c r="A323"/>
  <c r="A322"/>
  <c r="A321"/>
  <c r="A320"/>
  <c r="A319"/>
  <c r="A318"/>
  <c r="A317"/>
  <c r="A316"/>
  <c r="A315"/>
  <c r="A314"/>
  <c r="A313"/>
  <c r="A312"/>
  <c r="A311"/>
  <c r="A310"/>
  <c r="A309"/>
  <c r="A308"/>
  <c r="A307"/>
  <c r="A306"/>
  <c r="A305"/>
  <c r="A304"/>
  <c r="A303"/>
  <c r="A302"/>
  <c r="A301"/>
  <c r="A300"/>
  <c r="A299"/>
  <c r="A298"/>
  <c r="A297"/>
  <c r="A296"/>
  <c r="A295"/>
  <c r="A294"/>
  <c r="A293"/>
  <c r="A292"/>
  <c r="A291"/>
  <c r="A290"/>
  <c r="A289"/>
  <c r="A288"/>
  <c r="A287"/>
  <c r="A286"/>
  <c r="A285"/>
  <c r="A284"/>
  <c r="A283"/>
  <c r="A282"/>
  <c r="A281"/>
  <c r="A280"/>
  <c r="A279"/>
  <c r="A278"/>
  <c r="A277"/>
  <c r="A276"/>
  <c r="A275"/>
  <c r="A274"/>
  <c r="A273"/>
  <c r="A272"/>
  <c r="A271"/>
  <c r="A270"/>
  <c r="A269"/>
  <c r="A268"/>
  <c r="A267"/>
  <c r="A266"/>
  <c r="A265"/>
  <c r="A264"/>
  <c r="A263"/>
  <c r="A262"/>
  <c r="A261"/>
  <c r="A260"/>
  <c r="A259"/>
  <c r="A258"/>
  <c r="A257"/>
  <c r="A256"/>
  <c r="A255"/>
  <c r="A254"/>
  <c r="A253"/>
  <c r="A252"/>
  <c r="A251"/>
  <c r="A250"/>
  <c r="A249"/>
  <c r="A248"/>
  <c r="A247"/>
  <c r="A246"/>
  <c r="A245"/>
  <c r="A244"/>
  <c r="A243"/>
  <c r="A242"/>
  <c r="A241"/>
  <c r="A240"/>
  <c r="A239"/>
  <c r="A238"/>
  <c r="A237"/>
  <c r="A236"/>
  <c r="A235"/>
  <c r="A234"/>
  <c r="A233"/>
  <c r="A232"/>
  <c r="A231"/>
  <c r="A230"/>
  <c r="A229"/>
  <c r="A228"/>
  <c r="A227"/>
  <c r="A226"/>
  <c r="A225"/>
  <c r="A224"/>
  <c r="A223"/>
  <c r="A222"/>
  <c r="A221"/>
  <c r="A220"/>
  <c r="A219"/>
  <c r="A218"/>
  <c r="A217"/>
  <c r="A216"/>
  <c r="A215"/>
  <c r="A214"/>
  <c r="A213"/>
  <c r="A212"/>
  <c r="A211"/>
  <c r="A210"/>
  <c r="A209"/>
  <c r="A208"/>
  <c r="A207"/>
  <c r="A206"/>
  <c r="A205"/>
  <c r="A204"/>
  <c r="A203"/>
  <c r="A202"/>
  <c r="A201"/>
  <c r="A200"/>
  <c r="A199"/>
  <c r="A198"/>
  <c r="A197"/>
  <c r="A196"/>
  <c r="A195"/>
  <c r="A194"/>
  <c r="A193"/>
  <c r="A192"/>
  <c r="A191"/>
  <c r="A190"/>
  <c r="A189"/>
  <c r="A188"/>
  <c r="A187"/>
  <c r="A186"/>
  <c r="A185"/>
  <c r="A184"/>
  <c r="A183"/>
  <c r="A182"/>
  <c r="A181"/>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A8"/>
  <c r="A7"/>
  <c r="A6"/>
  <c r="A5"/>
  <c r="A4"/>
  <c r="A3"/>
  <c r="A2"/>
  <c r="E337" i="6"/>
  <c r="E336"/>
  <c r="F336" s="1"/>
  <c r="E335"/>
  <c r="E334"/>
  <c r="F334" s="1"/>
  <c r="E333"/>
  <c r="E332"/>
  <c r="F332" s="1"/>
  <c r="E331"/>
  <c r="E330"/>
  <c r="F330" s="1"/>
  <c r="E329"/>
  <c r="E328"/>
  <c r="F328" s="1"/>
  <c r="E327"/>
  <c r="E326"/>
  <c r="F326" s="1"/>
  <c r="E325"/>
  <c r="E324"/>
  <c r="F324" s="1"/>
  <c r="E323"/>
  <c r="E322"/>
  <c r="F322" s="1"/>
  <c r="E321"/>
  <c r="E320"/>
  <c r="F320" s="1"/>
  <c r="E319"/>
  <c r="E318"/>
  <c r="F318" s="1"/>
  <c r="E317"/>
  <c r="E316"/>
  <c r="F316" s="1"/>
  <c r="E315"/>
  <c r="E314"/>
  <c r="F314" s="1"/>
  <c r="E313"/>
  <c r="E312"/>
  <c r="F312" s="1"/>
  <c r="E311"/>
  <c r="E310"/>
  <c r="F310" s="1"/>
  <c r="E309"/>
  <c r="E308"/>
  <c r="F308" s="1"/>
  <c r="E307"/>
  <c r="E306"/>
  <c r="F306" s="1"/>
  <c r="E305"/>
  <c r="E304"/>
  <c r="F304" s="1"/>
  <c r="E303"/>
  <c r="E302"/>
  <c r="F302" s="1"/>
  <c r="E301"/>
  <c r="E300"/>
  <c r="F300" s="1"/>
  <c r="E299"/>
  <c r="E298"/>
  <c r="F298" s="1"/>
  <c r="E297"/>
  <c r="E296"/>
  <c r="F296" s="1"/>
  <c r="E295"/>
  <c r="E294"/>
  <c r="F294" s="1"/>
  <c r="E293"/>
  <c r="E292"/>
  <c r="F292" s="1"/>
  <c r="E291"/>
  <c r="E290"/>
  <c r="F290" s="1"/>
  <c r="E289"/>
  <c r="E288"/>
  <c r="F288" s="1"/>
  <c r="E287"/>
  <c r="E286"/>
  <c r="F286" s="1"/>
  <c r="E285"/>
  <c r="E284"/>
  <c r="F284" s="1"/>
  <c r="E283"/>
  <c r="E282"/>
  <c r="F282" s="1"/>
  <c r="E281"/>
  <c r="E280"/>
  <c r="F280" s="1"/>
  <c r="E279"/>
  <c r="E278"/>
  <c r="F278" s="1"/>
  <c r="E277"/>
  <c r="F277" s="1"/>
  <c r="E276"/>
  <c r="F276" s="1"/>
  <c r="E275"/>
  <c r="F275" s="1"/>
  <c r="E274"/>
  <c r="F274" s="1"/>
  <c r="E273"/>
  <c r="F273" s="1"/>
  <c r="E272"/>
  <c r="F272" s="1"/>
  <c r="E271"/>
  <c r="F271" s="1"/>
  <c r="E270"/>
  <c r="F270" s="1"/>
  <c r="E269"/>
  <c r="F269" s="1"/>
  <c r="E268"/>
  <c r="F268" s="1"/>
  <c r="E267"/>
  <c r="F267" s="1"/>
  <c r="E266"/>
  <c r="F266" s="1"/>
  <c r="E265"/>
  <c r="F265" s="1"/>
  <c r="E264"/>
  <c r="F264" s="1"/>
  <c r="E263"/>
  <c r="F263" s="1"/>
  <c r="E262"/>
  <c r="F262" s="1"/>
  <c r="E261"/>
  <c r="F261" s="1"/>
  <c r="E260"/>
  <c r="F260" s="1"/>
  <c r="E259"/>
  <c r="F259" s="1"/>
  <c r="E258"/>
  <c r="F258" s="1"/>
  <c r="E257"/>
  <c r="F257" s="1"/>
  <c r="E256"/>
  <c r="F256" s="1"/>
  <c r="E255"/>
  <c r="F255" s="1"/>
  <c r="E254"/>
  <c r="F254" s="1"/>
  <c r="E253"/>
  <c r="F253" s="1"/>
  <c r="E252"/>
  <c r="F252" s="1"/>
  <c r="E251"/>
  <c r="F251" s="1"/>
  <c r="E250"/>
  <c r="F250" s="1"/>
  <c r="E249"/>
  <c r="F249" s="1"/>
  <c r="E248"/>
  <c r="F248" s="1"/>
  <c r="E247"/>
  <c r="F247" s="1"/>
  <c r="E246"/>
  <c r="F246" s="1"/>
  <c r="E245"/>
  <c r="F245" s="1"/>
  <c r="E244"/>
  <c r="F244" s="1"/>
  <c r="E243"/>
  <c r="F243" s="1"/>
  <c r="E242"/>
  <c r="F242" s="1"/>
  <c r="E241"/>
  <c r="F241" s="1"/>
  <c r="E240"/>
  <c r="F240" s="1"/>
  <c r="E239"/>
  <c r="F239" s="1"/>
  <c r="E238"/>
  <c r="F238" s="1"/>
  <c r="E237"/>
  <c r="F237" s="1"/>
  <c r="E236"/>
  <c r="F236" s="1"/>
  <c r="E235"/>
  <c r="F235" s="1"/>
  <c r="E234"/>
  <c r="F234" s="1"/>
  <c r="E233"/>
  <c r="F233" s="1"/>
  <c r="E232"/>
  <c r="F232" s="1"/>
  <c r="E231"/>
  <c r="F231" s="1"/>
  <c r="E230"/>
  <c r="F230" s="1"/>
  <c r="E229"/>
  <c r="F229" s="1"/>
  <c r="E228"/>
  <c r="F228" s="1"/>
  <c r="E227"/>
  <c r="F227" s="1"/>
  <c r="E226"/>
  <c r="F226" s="1"/>
  <c r="E225"/>
  <c r="F225" s="1"/>
  <c r="E224"/>
  <c r="F224" s="1"/>
  <c r="E223"/>
  <c r="F223" s="1"/>
  <c r="E222"/>
  <c r="F222" s="1"/>
  <c r="E221"/>
  <c r="F221" s="1"/>
  <c r="E220"/>
  <c r="F220" s="1"/>
  <c r="E219"/>
  <c r="F219" s="1"/>
  <c r="E218"/>
  <c r="F218" s="1"/>
  <c r="E217"/>
  <c r="F217" s="1"/>
  <c r="E216"/>
  <c r="F216" s="1"/>
  <c r="E215"/>
  <c r="F215" s="1"/>
  <c r="E214"/>
  <c r="F214" s="1"/>
  <c r="E213"/>
  <c r="F213" s="1"/>
  <c r="E212"/>
  <c r="F212" s="1"/>
  <c r="E211"/>
  <c r="F211" s="1"/>
  <c r="E210"/>
  <c r="F210" s="1"/>
  <c r="E209"/>
  <c r="F209" s="1"/>
  <c r="E208"/>
  <c r="F208" s="1"/>
  <c r="E207"/>
  <c r="F207" s="1"/>
  <c r="E206"/>
  <c r="F206" s="1"/>
  <c r="E205"/>
  <c r="F205" s="1"/>
  <c r="E204"/>
  <c r="F204" s="1"/>
  <c r="E203"/>
  <c r="F203" s="1"/>
  <c r="E202"/>
  <c r="F202" s="1"/>
  <c r="E201"/>
  <c r="F201" s="1"/>
  <c r="E200"/>
  <c r="F200" s="1"/>
  <c r="E199"/>
  <c r="F199" s="1"/>
  <c r="E198"/>
  <c r="F198" s="1"/>
  <c r="E197"/>
  <c r="F197" s="1"/>
  <c r="E196"/>
  <c r="F196" s="1"/>
  <c r="E195"/>
  <c r="F195" s="1"/>
  <c r="E194"/>
  <c r="F194" s="1"/>
  <c r="E193"/>
  <c r="F193" s="1"/>
  <c r="E192"/>
  <c r="F192" s="1"/>
  <c r="E191"/>
  <c r="F191" s="1"/>
  <c r="E190"/>
  <c r="F190" s="1"/>
  <c r="E189"/>
  <c r="F189" s="1"/>
  <c r="E188"/>
  <c r="F188" s="1"/>
  <c r="E187"/>
  <c r="F187" s="1"/>
  <c r="E186"/>
  <c r="F186" s="1"/>
  <c r="E185"/>
  <c r="F185" s="1"/>
  <c r="E184"/>
  <c r="F184" s="1"/>
  <c r="E183"/>
  <c r="F183" s="1"/>
  <c r="E182"/>
  <c r="F182" s="1"/>
  <c r="E181"/>
  <c r="F181" s="1"/>
  <c r="E180"/>
  <c r="F180" s="1"/>
  <c r="E179"/>
  <c r="F179" s="1"/>
  <c r="E178"/>
  <c r="F178" s="1"/>
  <c r="E177"/>
  <c r="F177" s="1"/>
  <c r="E176"/>
  <c r="F176" s="1"/>
  <c r="E175"/>
  <c r="F175" s="1"/>
  <c r="E174"/>
  <c r="F174" s="1"/>
  <c r="E173"/>
  <c r="F173" s="1"/>
  <c r="E172"/>
  <c r="F172" s="1"/>
  <c r="E171"/>
  <c r="F171" s="1"/>
  <c r="E170"/>
  <c r="F170" s="1"/>
  <c r="E169"/>
  <c r="F169" s="1"/>
  <c r="E168"/>
  <c r="F168" s="1"/>
  <c r="E167"/>
  <c r="F167" s="1"/>
  <c r="E166"/>
  <c r="F166" s="1"/>
  <c r="E165"/>
  <c r="F165" s="1"/>
  <c r="E164"/>
  <c r="F164" s="1"/>
  <c r="E163"/>
  <c r="F163" s="1"/>
  <c r="E162"/>
  <c r="F162" s="1"/>
  <c r="E161"/>
  <c r="F161" s="1"/>
  <c r="E160"/>
  <c r="F160" s="1"/>
  <c r="E159"/>
  <c r="F159" s="1"/>
  <c r="E158"/>
  <c r="F158" s="1"/>
  <c r="E157"/>
  <c r="F157" s="1"/>
  <c r="E156"/>
  <c r="F156" s="1"/>
  <c r="E155"/>
  <c r="F155" s="1"/>
  <c r="E154"/>
  <c r="F154" s="1"/>
  <c r="E153"/>
  <c r="F153" s="1"/>
  <c r="E152"/>
  <c r="F152" s="1"/>
  <c r="E151"/>
  <c r="F151" s="1"/>
  <c r="E150"/>
  <c r="F150" s="1"/>
  <c r="E149"/>
  <c r="F149" s="1"/>
  <c r="E148"/>
  <c r="F148" s="1"/>
  <c r="E147"/>
  <c r="F147" s="1"/>
  <c r="E146"/>
  <c r="F146" s="1"/>
  <c r="E145"/>
  <c r="F145" s="1"/>
  <c r="E144"/>
  <c r="F144" s="1"/>
  <c r="E143"/>
  <c r="F143" s="1"/>
  <c r="E142"/>
  <c r="F142" s="1"/>
  <c r="E141"/>
  <c r="F141" s="1"/>
  <c r="E140"/>
  <c r="F140" s="1"/>
  <c r="E139"/>
  <c r="F139" s="1"/>
  <c r="E138"/>
  <c r="F138" s="1"/>
  <c r="E137"/>
  <c r="F137" s="1"/>
  <c r="E136"/>
  <c r="F136" s="1"/>
  <c r="E135"/>
  <c r="F135" s="1"/>
  <c r="E134"/>
  <c r="F134" s="1"/>
  <c r="E133"/>
  <c r="F133" s="1"/>
  <c r="E132"/>
  <c r="F132" s="1"/>
  <c r="E131"/>
  <c r="F131" s="1"/>
  <c r="E130"/>
  <c r="F130" s="1"/>
  <c r="E129"/>
  <c r="F129" s="1"/>
  <c r="E128"/>
  <c r="F128" s="1"/>
  <c r="E127"/>
  <c r="F127" s="1"/>
  <c r="E126"/>
  <c r="F126" s="1"/>
  <c r="E125"/>
  <c r="F125" s="1"/>
  <c r="E124"/>
  <c r="F124" s="1"/>
  <c r="E123"/>
  <c r="F123" s="1"/>
  <c r="E122"/>
  <c r="F122" s="1"/>
  <c r="E121"/>
  <c r="F121" s="1"/>
  <c r="E120"/>
  <c r="F120" s="1"/>
  <c r="E119"/>
  <c r="F119" s="1"/>
  <c r="E118"/>
  <c r="F118" s="1"/>
  <c r="E117"/>
  <c r="F117" s="1"/>
  <c r="E116"/>
  <c r="F116" s="1"/>
  <c r="E115"/>
  <c r="F115" s="1"/>
  <c r="E114"/>
  <c r="F114" s="1"/>
  <c r="E113"/>
  <c r="F113" s="1"/>
  <c r="E112"/>
  <c r="F112" s="1"/>
  <c r="E111"/>
  <c r="F111" s="1"/>
  <c r="E110"/>
  <c r="F110" s="1"/>
  <c r="E109"/>
  <c r="F109" s="1"/>
  <c r="E108"/>
  <c r="F108" s="1"/>
  <c r="E107"/>
  <c r="F107" s="1"/>
  <c r="E106"/>
  <c r="F106" s="1"/>
  <c r="E105"/>
  <c r="F105" s="1"/>
  <c r="E104"/>
  <c r="F104" s="1"/>
  <c r="E103"/>
  <c r="F103" s="1"/>
  <c r="E102"/>
  <c r="F102" s="1"/>
  <c r="E101"/>
  <c r="F101" s="1"/>
  <c r="E100"/>
  <c r="F100" s="1"/>
  <c r="E99"/>
  <c r="F99" s="1"/>
  <c r="E98"/>
  <c r="F98" s="1"/>
  <c r="E97"/>
  <c r="F97" s="1"/>
  <c r="E96"/>
  <c r="F96" s="1"/>
  <c r="E95"/>
  <c r="F95" s="1"/>
  <c r="E94"/>
  <c r="F94" s="1"/>
  <c r="E93"/>
  <c r="F93" s="1"/>
  <c r="E92"/>
  <c r="F92" s="1"/>
  <c r="E91"/>
  <c r="F91" s="1"/>
  <c r="E90"/>
  <c r="F90" s="1"/>
  <c r="E89"/>
  <c r="F89" s="1"/>
  <c r="E88"/>
  <c r="F88" s="1"/>
  <c r="E87"/>
  <c r="F87" s="1"/>
  <c r="E86"/>
  <c r="F86" s="1"/>
  <c r="E85"/>
  <c r="F85" s="1"/>
  <c r="F84"/>
  <c r="E84"/>
  <c r="F83"/>
  <c r="E83"/>
  <c r="F82"/>
  <c r="E82"/>
  <c r="F81"/>
  <c r="E81"/>
  <c r="F80"/>
  <c r="E80"/>
  <c r="F79"/>
  <c r="E79"/>
  <c r="F78"/>
  <c r="E78"/>
  <c r="F77"/>
  <c r="E77"/>
  <c r="F76"/>
  <c r="E76"/>
  <c r="F75"/>
  <c r="E75"/>
  <c r="F74"/>
  <c r="E74"/>
  <c r="F73"/>
  <c r="E73"/>
  <c r="F72"/>
  <c r="E72"/>
  <c r="F71"/>
  <c r="E71"/>
  <c r="F70"/>
  <c r="E70"/>
  <c r="F69"/>
  <c r="E69"/>
  <c r="F68"/>
  <c r="E68"/>
  <c r="F67"/>
  <c r="E67"/>
  <c r="F66"/>
  <c r="E66"/>
  <c r="F65"/>
  <c r="E65"/>
  <c r="F64"/>
  <c r="E64"/>
  <c r="F63"/>
  <c r="E63"/>
  <c r="F62"/>
  <c r="E62"/>
  <c r="F61"/>
  <c r="E61"/>
  <c r="F60"/>
  <c r="E60"/>
  <c r="F59"/>
  <c r="E59"/>
  <c r="F58"/>
  <c r="E58"/>
  <c r="F57"/>
  <c r="E57"/>
  <c r="F56"/>
  <c r="E56"/>
  <c r="F55"/>
  <c r="E55"/>
  <c r="F54"/>
  <c r="E54"/>
  <c r="F53"/>
  <c r="E53"/>
  <c r="F52"/>
  <c r="E52"/>
  <c r="F51"/>
  <c r="E51"/>
  <c r="F50"/>
  <c r="E50"/>
  <c r="F49"/>
  <c r="E49"/>
  <c r="F48"/>
  <c r="E48"/>
  <c r="F47"/>
  <c r="E47"/>
  <c r="F46"/>
  <c r="E46"/>
  <c r="F45"/>
  <c r="E45"/>
  <c r="F44"/>
  <c r="E44"/>
  <c r="F43"/>
  <c r="E43"/>
  <c r="F42"/>
  <c r="E42"/>
  <c r="F41"/>
  <c r="E41"/>
  <c r="F40"/>
  <c r="E40"/>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F18"/>
  <c r="E18"/>
  <c r="F17"/>
  <c r="E17"/>
  <c r="F16"/>
  <c r="E16"/>
  <c r="F15"/>
  <c r="E15"/>
  <c r="F14"/>
  <c r="E14"/>
  <c r="F13"/>
  <c r="E13"/>
  <c r="F12"/>
  <c r="E12"/>
  <c r="F11"/>
  <c r="E11"/>
  <c r="F10"/>
  <c r="E10"/>
  <c r="F9"/>
  <c r="E9"/>
  <c r="F8"/>
  <c r="E8"/>
  <c r="F7"/>
  <c r="E7"/>
  <c r="F6"/>
  <c r="E6"/>
  <c r="F5"/>
  <c r="E5"/>
  <c r="F4"/>
  <c r="E4"/>
  <c r="F3"/>
  <c r="E3"/>
  <c r="F2"/>
  <c r="E2"/>
  <c r="Q256" i="4"/>
  <c r="Q255"/>
  <c r="Q254"/>
  <c r="Q253"/>
  <c r="Q252"/>
  <c r="Q251"/>
  <c r="Q250"/>
  <c r="Q249"/>
  <c r="Q248"/>
  <c r="Q247"/>
  <c r="Q246"/>
  <c r="Q245"/>
  <c r="Q244"/>
  <c r="Q243"/>
  <c r="Q242"/>
  <c r="Q241"/>
  <c r="Q240"/>
  <c r="Q239"/>
  <c r="Q238"/>
  <c r="Q237"/>
  <c r="Q236"/>
  <c r="Q235"/>
  <c r="Q234"/>
  <c r="Q233"/>
  <c r="Q232"/>
  <c r="Q231"/>
  <c r="Q230"/>
  <c r="Q229"/>
  <c r="Q228"/>
  <c r="Q227"/>
  <c r="Q226"/>
  <c r="Q225"/>
  <c r="Q224"/>
  <c r="Q223"/>
  <c r="Q222"/>
  <c r="Q221"/>
  <c r="Q220"/>
  <c r="Q219"/>
  <c r="Q218"/>
  <c r="Q217"/>
  <c r="Q216"/>
  <c r="Q215"/>
  <c r="Q214"/>
  <c r="Q213"/>
  <c r="Q212"/>
  <c r="Q211"/>
  <c r="Q210"/>
  <c r="Q209"/>
  <c r="Q208"/>
  <c r="Q207"/>
  <c r="Q206"/>
  <c r="Q205"/>
  <c r="Q204"/>
  <c r="Q203"/>
  <c r="Q202"/>
  <c r="Q201"/>
  <c r="Q200"/>
  <c r="Q199"/>
  <c r="Q198"/>
  <c r="Q197"/>
  <c r="Q196"/>
  <c r="Q195"/>
  <c r="Q194"/>
  <c r="Q193"/>
  <c r="Q192"/>
  <c r="Q191"/>
  <c r="Q190"/>
  <c r="Q189"/>
  <c r="Q188"/>
  <c r="Q187"/>
  <c r="Q186"/>
  <c r="Q185"/>
  <c r="Q184"/>
  <c r="Q183"/>
  <c r="Q182"/>
  <c r="Q181"/>
  <c r="Q180"/>
  <c r="Q179"/>
  <c r="O164"/>
  <c r="N164"/>
  <c r="M164"/>
  <c r="L164"/>
  <c r="K164"/>
  <c r="J164"/>
  <c r="I164"/>
  <c r="H164"/>
  <c r="G164"/>
  <c r="E164"/>
  <c r="D164"/>
  <c r="Q163"/>
  <c r="P163"/>
  <c r="Q162"/>
  <c r="P162"/>
  <c r="Q161"/>
  <c r="P161"/>
  <c r="V161" s="1"/>
  <c r="Q160"/>
  <c r="P160"/>
  <c r="W160" s="1"/>
  <c r="Q159"/>
  <c r="P159"/>
  <c r="F158"/>
  <c r="F164" s="1"/>
  <c r="C158"/>
  <c r="C164" s="1"/>
  <c r="AA157"/>
  <c r="Q157"/>
  <c r="P157"/>
  <c r="V157" s="1"/>
  <c r="Q156"/>
  <c r="P156"/>
  <c r="V156" s="1"/>
  <c r="Q155"/>
  <c r="P155"/>
  <c r="T152"/>
  <c r="O152"/>
  <c r="N152"/>
  <c r="M152"/>
  <c r="L152"/>
  <c r="K152"/>
  <c r="J152"/>
  <c r="I152"/>
  <c r="H152"/>
  <c r="G152"/>
  <c r="E152"/>
  <c r="D152"/>
  <c r="Q151"/>
  <c r="P151"/>
  <c r="U151" s="1"/>
  <c r="Q150"/>
  <c r="P150"/>
  <c r="U150" s="1"/>
  <c r="Q149"/>
  <c r="R149" s="1"/>
  <c r="P149"/>
  <c r="U149" s="1"/>
  <c r="Q148"/>
  <c r="P148"/>
  <c r="U148" s="1"/>
  <c r="Q147"/>
  <c r="P147"/>
  <c r="W147" s="1"/>
  <c r="F146"/>
  <c r="Q146" s="1"/>
  <c r="C146"/>
  <c r="F145"/>
  <c r="Q145" s="1"/>
  <c r="C145"/>
  <c r="Q144"/>
  <c r="P144"/>
  <c r="U144" s="1"/>
  <c r="Q143"/>
  <c r="P143"/>
  <c r="U143" s="1"/>
  <c r="Q142"/>
  <c r="P142"/>
  <c r="U142" s="1"/>
  <c r="Q141"/>
  <c r="P141"/>
  <c r="U141" s="1"/>
  <c r="F140"/>
  <c r="C140"/>
  <c r="Q139"/>
  <c r="R139" s="1"/>
  <c r="P139"/>
  <c r="V139" s="1"/>
  <c r="F138"/>
  <c r="Q138" s="1"/>
  <c r="C138"/>
  <c r="Q137"/>
  <c r="C137"/>
  <c r="P137" s="1"/>
  <c r="U137" s="1"/>
  <c r="F136"/>
  <c r="Q136" s="1"/>
  <c r="C136"/>
  <c r="C152" s="1"/>
  <c r="Q135"/>
  <c r="R135" s="1"/>
  <c r="P135"/>
  <c r="W135" s="1"/>
  <c r="T132"/>
  <c r="O132"/>
  <c r="N132"/>
  <c r="M132"/>
  <c r="L132"/>
  <c r="K132"/>
  <c r="J132"/>
  <c r="I132"/>
  <c r="H132"/>
  <c r="G132"/>
  <c r="E132"/>
  <c r="D132"/>
  <c r="Q131"/>
  <c r="P131"/>
  <c r="Q130"/>
  <c r="P130"/>
  <c r="Q129"/>
  <c r="P129"/>
  <c r="Q128"/>
  <c r="P128"/>
  <c r="V128" s="1"/>
  <c r="Q127"/>
  <c r="R127" s="1"/>
  <c r="P127"/>
  <c r="V127" s="1"/>
  <c r="F126"/>
  <c r="C126"/>
  <c r="Q125"/>
  <c r="P125"/>
  <c r="Q124"/>
  <c r="P124"/>
  <c r="V124" s="1"/>
  <c r="Q123"/>
  <c r="P123"/>
  <c r="T120"/>
  <c r="O120"/>
  <c r="N120"/>
  <c r="M120"/>
  <c r="L120"/>
  <c r="K120"/>
  <c r="J120"/>
  <c r="I120"/>
  <c r="H120"/>
  <c r="G120"/>
  <c r="F120"/>
  <c r="E120"/>
  <c r="D120"/>
  <c r="C120"/>
  <c r="Q119"/>
  <c r="P119"/>
  <c r="Q118"/>
  <c r="R118" s="1"/>
  <c r="P118"/>
  <c r="W118" s="1"/>
  <c r="Q117"/>
  <c r="P117"/>
  <c r="W117" s="1"/>
  <c r="Q116"/>
  <c r="P116"/>
  <c r="W116" s="1"/>
  <c r="Q115"/>
  <c r="P115"/>
  <c r="W115" s="1"/>
  <c r="Q114"/>
  <c r="P114"/>
  <c r="T111"/>
  <c r="T166" s="1"/>
  <c r="O111"/>
  <c r="N111"/>
  <c r="M111"/>
  <c r="L111"/>
  <c r="K111"/>
  <c r="J111"/>
  <c r="I111"/>
  <c r="H111"/>
  <c r="G111"/>
  <c r="E111"/>
  <c r="D111"/>
  <c r="Q110"/>
  <c r="P110"/>
  <c r="Q109"/>
  <c r="P109"/>
  <c r="W109" s="1"/>
  <c r="F108"/>
  <c r="C108"/>
  <c r="F107"/>
  <c r="Q107" s="1"/>
  <c r="C107"/>
  <c r="Q106"/>
  <c r="P106"/>
  <c r="W106" s="1"/>
  <c r="Q105"/>
  <c r="P105"/>
  <c r="W105" s="1"/>
  <c r="Q104"/>
  <c r="P104"/>
  <c r="W104" s="1"/>
  <c r="Q103"/>
  <c r="P103"/>
  <c r="W103" s="1"/>
  <c r="Q102"/>
  <c r="P102"/>
  <c r="W102" s="1"/>
  <c r="Q101"/>
  <c r="P101"/>
  <c r="W101" s="1"/>
  <c r="Q100"/>
  <c r="P100"/>
  <c r="Q99"/>
  <c r="P99"/>
  <c r="W99" s="1"/>
  <c r="Q98"/>
  <c r="P98"/>
  <c r="W98" s="1"/>
  <c r="Q97"/>
  <c r="P97"/>
  <c r="W97" s="1"/>
  <c r="Q96"/>
  <c r="R96" s="1"/>
  <c r="P96"/>
  <c r="W96" s="1"/>
  <c r="Q95"/>
  <c r="P95"/>
  <c r="W95" s="1"/>
  <c r="T88"/>
  <c r="O88"/>
  <c r="N88"/>
  <c r="M88"/>
  <c r="L88"/>
  <c r="K88"/>
  <c r="J88"/>
  <c r="I88"/>
  <c r="H88"/>
  <c r="G88"/>
  <c r="E88"/>
  <c r="D88"/>
  <c r="Q87"/>
  <c r="P87"/>
  <c r="V87" s="1"/>
  <c r="Q86"/>
  <c r="P86"/>
  <c r="V86" s="1"/>
  <c r="Q85"/>
  <c r="R85" s="1"/>
  <c r="P85"/>
  <c r="W85" s="1"/>
  <c r="Q84"/>
  <c r="P84"/>
  <c r="V84" s="1"/>
  <c r="Q83"/>
  <c r="P83"/>
  <c r="V83" s="1"/>
  <c r="F82"/>
  <c r="Q82" s="1"/>
  <c r="C82"/>
  <c r="C88" s="1"/>
  <c r="Q81"/>
  <c r="P81"/>
  <c r="V81" s="1"/>
  <c r="Z81" s="1"/>
  <c r="AA81" s="1"/>
  <c r="Q80"/>
  <c r="P80"/>
  <c r="V80" s="1"/>
  <c r="Z80" s="1"/>
  <c r="AA80" s="1"/>
  <c r="Q79"/>
  <c r="P79"/>
  <c r="V79" s="1"/>
  <c r="Q78"/>
  <c r="P78"/>
  <c r="V78" s="1"/>
  <c r="Q77"/>
  <c r="R77" s="1"/>
  <c r="P77"/>
  <c r="V77" s="1"/>
  <c r="Z77" s="1"/>
  <c r="AA77" s="1"/>
  <c r="Q76"/>
  <c r="P76"/>
  <c r="Q75"/>
  <c r="P75"/>
  <c r="Q74"/>
  <c r="P74"/>
  <c r="V74" s="1"/>
  <c r="Q73"/>
  <c r="P73"/>
  <c r="Y70"/>
  <c r="X70"/>
  <c r="O70"/>
  <c r="N70"/>
  <c r="M70"/>
  <c r="L70"/>
  <c r="K70"/>
  <c r="J70"/>
  <c r="I70"/>
  <c r="H70"/>
  <c r="G70"/>
  <c r="E70"/>
  <c r="D70"/>
  <c r="Q69"/>
  <c r="P69"/>
  <c r="T69" s="1"/>
  <c r="Q68"/>
  <c r="P68"/>
  <c r="T68" s="1"/>
  <c r="Q67"/>
  <c r="P67"/>
  <c r="R67" s="1"/>
  <c r="Q66"/>
  <c r="P66"/>
  <c r="T66" s="1"/>
  <c r="Q65"/>
  <c r="P65"/>
  <c r="Q64"/>
  <c r="P64"/>
  <c r="T64" s="1"/>
  <c r="Q63"/>
  <c r="P63"/>
  <c r="R63" s="1"/>
  <c r="Q62"/>
  <c r="P62"/>
  <c r="T62" s="1"/>
  <c r="Q61"/>
  <c r="P61"/>
  <c r="T61" s="1"/>
  <c r="F60"/>
  <c r="Q60" s="1"/>
  <c r="C60"/>
  <c r="Q59"/>
  <c r="P59"/>
  <c r="T59" s="1"/>
  <c r="Q58"/>
  <c r="P58"/>
  <c r="T58" s="1"/>
  <c r="Q57"/>
  <c r="P57"/>
  <c r="T57" s="1"/>
  <c r="Q56"/>
  <c r="P56"/>
  <c r="T56" s="1"/>
  <c r="Q55"/>
  <c r="P55"/>
  <c r="T55" s="1"/>
  <c r="Q54"/>
  <c r="P54"/>
  <c r="T54" s="1"/>
  <c r="Q53"/>
  <c r="P53"/>
  <c r="T53" s="1"/>
  <c r="Q52"/>
  <c r="P52"/>
  <c r="T52" s="1"/>
  <c r="Q51"/>
  <c r="P51"/>
  <c r="T51" s="1"/>
  <c r="Q50"/>
  <c r="P50"/>
  <c r="T50" s="1"/>
  <c r="Q49"/>
  <c r="P49"/>
  <c r="T49" s="1"/>
  <c r="Q48"/>
  <c r="P48"/>
  <c r="R48" s="1"/>
  <c r="F47"/>
  <c r="Q47" s="1"/>
  <c r="C47"/>
  <c r="P47" s="1"/>
  <c r="T47" s="1"/>
  <c r="F46"/>
  <c r="Q46" s="1"/>
  <c r="C46"/>
  <c r="P46" s="1"/>
  <c r="V46" s="1"/>
  <c r="Z46" s="1"/>
  <c r="Q45"/>
  <c r="P45"/>
  <c r="R45" s="1"/>
  <c r="F44"/>
  <c r="Q44" s="1"/>
  <c r="C44"/>
  <c r="P44" s="1"/>
  <c r="T44" s="1"/>
  <c r="Q43"/>
  <c r="P43"/>
  <c r="R43" s="1"/>
  <c r="Q42"/>
  <c r="P42"/>
  <c r="R42" s="1"/>
  <c r="Q41"/>
  <c r="P41"/>
  <c r="R41" s="1"/>
  <c r="Q40"/>
  <c r="P40"/>
  <c r="T40" s="1"/>
  <c r="Q39"/>
  <c r="P39"/>
  <c r="V39" s="1"/>
  <c r="F38"/>
  <c r="C38"/>
  <c r="C70" s="1"/>
  <c r="W35"/>
  <c r="O35"/>
  <c r="N35"/>
  <c r="M35"/>
  <c r="L35"/>
  <c r="K35"/>
  <c r="J35"/>
  <c r="I35"/>
  <c r="H35"/>
  <c r="G35"/>
  <c r="E35"/>
  <c r="D35"/>
  <c r="Q34"/>
  <c r="P34"/>
  <c r="V34" s="1"/>
  <c r="Z34" s="1"/>
  <c r="AA34" s="1"/>
  <c r="AA33"/>
  <c r="Q33"/>
  <c r="P33"/>
  <c r="T33" s="1"/>
  <c r="Q32"/>
  <c r="P32"/>
  <c r="V32" s="1"/>
  <c r="Z32" s="1"/>
  <c r="AA32" s="1"/>
  <c r="Q31"/>
  <c r="P31"/>
  <c r="Q30"/>
  <c r="P30"/>
  <c r="V30" s="1"/>
  <c r="Z30" s="1"/>
  <c r="AA30" s="1"/>
  <c r="Q29"/>
  <c r="P29"/>
  <c r="V29" s="1"/>
  <c r="Z29" s="1"/>
  <c r="AA29" s="1"/>
  <c r="Q28"/>
  <c r="P28"/>
  <c r="V28" s="1"/>
  <c r="Z28" s="1"/>
  <c r="AA28" s="1"/>
  <c r="Q27"/>
  <c r="R27" s="1"/>
  <c r="P27"/>
  <c r="V27" s="1"/>
  <c r="Z27" s="1"/>
  <c r="AA27" s="1"/>
  <c r="Q26"/>
  <c r="P26"/>
  <c r="V26" s="1"/>
  <c r="Z26" s="1"/>
  <c r="AA26" s="1"/>
  <c r="X35"/>
  <c r="F25"/>
  <c r="F35" s="1"/>
  <c r="C25"/>
  <c r="C35" s="1"/>
  <c r="Q24"/>
  <c r="P24"/>
  <c r="Q23"/>
  <c r="P23"/>
  <c r="V23" s="1"/>
  <c r="Z23" s="1"/>
  <c r="AA23" s="1"/>
  <c r="Q22"/>
  <c r="P22"/>
  <c r="Q19"/>
  <c r="P19"/>
  <c r="W18"/>
  <c r="M18"/>
  <c r="Q17"/>
  <c r="P17"/>
  <c r="Q16"/>
  <c r="P16"/>
  <c r="Q15"/>
  <c r="P15"/>
  <c r="Q14"/>
  <c r="P14"/>
  <c r="Q13"/>
  <c r="P13"/>
  <c r="Q12"/>
  <c r="P12"/>
  <c r="Q11"/>
  <c r="P11"/>
  <c r="Q10"/>
  <c r="P10"/>
  <c r="Q8"/>
  <c r="P8"/>
  <c r="V8" s="1"/>
  <c r="O7"/>
  <c r="O9" s="1"/>
  <c r="O18" s="1"/>
  <c r="N7"/>
  <c r="N9" s="1"/>
  <c r="N18" s="1"/>
  <c r="M7"/>
  <c r="M9" s="1"/>
  <c r="L7"/>
  <c r="L9" s="1"/>
  <c r="L18" s="1"/>
  <c r="K7"/>
  <c r="K9" s="1"/>
  <c r="K18" s="1"/>
  <c r="J7"/>
  <c r="J9" s="1"/>
  <c r="J18" s="1"/>
  <c r="I7"/>
  <c r="I9" s="1"/>
  <c r="I18" s="1"/>
  <c r="H7"/>
  <c r="H9" s="1"/>
  <c r="H18" s="1"/>
  <c r="G7"/>
  <c r="G9" s="1"/>
  <c r="G18" s="1"/>
  <c r="E7"/>
  <c r="E9" s="1"/>
  <c r="E18" s="1"/>
  <c r="D7"/>
  <c r="Q6"/>
  <c r="P6"/>
  <c r="V6" s="1"/>
  <c r="Z6" s="1"/>
  <c r="AA6" s="1"/>
  <c r="F5"/>
  <c r="C5"/>
  <c r="C7" s="1"/>
  <c r="C9" s="1"/>
  <c r="C18" s="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A93" i="19" l="1"/>
  <c r="X175"/>
  <c r="X180" s="1"/>
  <c r="Z175"/>
  <c r="AA91"/>
  <c r="R31" i="4"/>
  <c r="R40"/>
  <c r="R62"/>
  <c r="R66"/>
  <c r="R73"/>
  <c r="R100"/>
  <c r="R119"/>
  <c r="R129"/>
  <c r="P140"/>
  <c r="U140" s="1"/>
  <c r="P146"/>
  <c r="U146" s="1"/>
  <c r="Z125"/>
  <c r="F111"/>
  <c r="F7"/>
  <c r="F9" s="1"/>
  <c r="F18" s="1"/>
  <c r="Q5"/>
  <c r="V75"/>
  <c r="F88"/>
  <c r="V125"/>
  <c r="Q126"/>
  <c r="F132"/>
  <c r="Q132" s="1"/>
  <c r="V162"/>
  <c r="Q7"/>
  <c r="R23"/>
  <c r="R24"/>
  <c r="R33"/>
  <c r="F70"/>
  <c r="R39"/>
  <c r="R51"/>
  <c r="P60"/>
  <c r="T60" s="1"/>
  <c r="R64"/>
  <c r="R65"/>
  <c r="R68"/>
  <c r="R75"/>
  <c r="R81"/>
  <c r="R103"/>
  <c r="P107"/>
  <c r="W107" s="1"/>
  <c r="P108"/>
  <c r="W108" s="1"/>
  <c r="R110"/>
  <c r="P120"/>
  <c r="Q120"/>
  <c r="R125"/>
  <c r="P126"/>
  <c r="P132" s="1"/>
  <c r="P138"/>
  <c r="U138" s="1"/>
  <c r="F152"/>
  <c r="R141"/>
  <c r="P145"/>
  <c r="U145" s="1"/>
  <c r="R146"/>
  <c r="R147"/>
  <c r="R156"/>
  <c r="R162"/>
  <c r="F279" i="6"/>
  <c r="F281"/>
  <c r="F283"/>
  <c r="F285"/>
  <c r="F287"/>
  <c r="F289"/>
  <c r="F291"/>
  <c r="F293"/>
  <c r="F295"/>
  <c r="F297"/>
  <c r="F299"/>
  <c r="F301"/>
  <c r="F303"/>
  <c r="F305"/>
  <c r="F307"/>
  <c r="F309"/>
  <c r="F311"/>
  <c r="F313"/>
  <c r="F315"/>
  <c r="F317"/>
  <c r="F319"/>
  <c r="F321"/>
  <c r="F323"/>
  <c r="F325"/>
  <c r="F327"/>
  <c r="F329"/>
  <c r="F331"/>
  <c r="F333"/>
  <c r="F335"/>
  <c r="F337"/>
  <c r="Y139" i="4"/>
  <c r="AA139" s="1"/>
  <c r="X126"/>
  <c r="X76"/>
  <c r="R6"/>
  <c r="D9"/>
  <c r="R44"/>
  <c r="R46"/>
  <c r="R47"/>
  <c r="Q70"/>
  <c r="G90"/>
  <c r="I90"/>
  <c r="K90"/>
  <c r="M90"/>
  <c r="O90"/>
  <c r="C90"/>
  <c r="P7"/>
  <c r="R7" s="1"/>
  <c r="R8"/>
  <c r="Q35"/>
  <c r="E90"/>
  <c r="P5"/>
  <c r="R5" s="1"/>
  <c r="V22"/>
  <c r="V24"/>
  <c r="Z24" s="1"/>
  <c r="AA24" s="1"/>
  <c r="P25"/>
  <c r="Y35"/>
  <c r="V31"/>
  <c r="Z31" s="1"/>
  <c r="AA31" s="1"/>
  <c r="Q38"/>
  <c r="Z39"/>
  <c r="V41"/>
  <c r="Z41" s="1"/>
  <c r="V42"/>
  <c r="Z42" s="1"/>
  <c r="T43"/>
  <c r="T45"/>
  <c r="T48"/>
  <c r="T63"/>
  <c r="T65"/>
  <c r="T67"/>
  <c r="W73"/>
  <c r="W88" s="1"/>
  <c r="V76"/>
  <c r="R86"/>
  <c r="Q88"/>
  <c r="F90"/>
  <c r="H90"/>
  <c r="J90"/>
  <c r="L90"/>
  <c r="N90"/>
  <c r="Q111"/>
  <c r="R120"/>
  <c r="V126"/>
  <c r="R22"/>
  <c r="Q25"/>
  <c r="P38"/>
  <c r="R76"/>
  <c r="P82"/>
  <c r="AA125"/>
  <c r="W100"/>
  <c r="W110"/>
  <c r="C111"/>
  <c r="W114"/>
  <c r="W119"/>
  <c r="W123"/>
  <c r="W132" s="1"/>
  <c r="Z128"/>
  <c r="AA128" s="1"/>
  <c r="U129"/>
  <c r="V131"/>
  <c r="C132"/>
  <c r="R150"/>
  <c r="E166"/>
  <c r="G166"/>
  <c r="I166"/>
  <c r="K166"/>
  <c r="M166"/>
  <c r="O166"/>
  <c r="H166"/>
  <c r="J166"/>
  <c r="L166"/>
  <c r="N166"/>
  <c r="R95"/>
  <c r="Q108"/>
  <c r="R108" s="1"/>
  <c r="P111"/>
  <c r="R114"/>
  <c r="R123"/>
  <c r="R131"/>
  <c r="P136"/>
  <c r="U136" s="1"/>
  <c r="U152" s="1"/>
  <c r="Q140"/>
  <c r="R140" s="1"/>
  <c r="R142"/>
  <c r="R145"/>
  <c r="R148"/>
  <c r="Q152"/>
  <c r="F166"/>
  <c r="D166"/>
  <c r="V155"/>
  <c r="P158"/>
  <c r="P164" s="1"/>
  <c r="V159"/>
  <c r="V163"/>
  <c r="Q164"/>
  <c r="R155"/>
  <c r="Z155"/>
  <c r="AA155" s="1"/>
  <c r="Q158"/>
  <c r="R158" s="1"/>
  <c r="R159"/>
  <c r="R163"/>
  <c r="Z180" i="19" l="1"/>
  <c r="AA180" s="1"/>
  <c r="AA175"/>
  <c r="C166" i="4"/>
  <c r="R111"/>
  <c r="Z75"/>
  <c r="AA75" s="1"/>
  <c r="X132"/>
  <c r="R132"/>
  <c r="R60"/>
  <c r="Q166"/>
  <c r="P152"/>
  <c r="P166" s="1"/>
  <c r="R166" s="1"/>
  <c r="V132"/>
  <c r="W111"/>
  <c r="R25"/>
  <c r="R136"/>
  <c r="R138"/>
  <c r="R126"/>
  <c r="R107"/>
  <c r="U132"/>
  <c r="V82"/>
  <c r="V88" s="1"/>
  <c r="P70"/>
  <c r="T38"/>
  <c r="P88"/>
  <c r="R88" s="1"/>
  <c r="L168"/>
  <c r="L91"/>
  <c r="H168"/>
  <c r="H91"/>
  <c r="R38"/>
  <c r="R82"/>
  <c r="E168"/>
  <c r="E91"/>
  <c r="O168"/>
  <c r="O91"/>
  <c r="K168"/>
  <c r="K91"/>
  <c r="G168"/>
  <c r="G91"/>
  <c r="D18"/>
  <c r="Q9"/>
  <c r="V158"/>
  <c r="R164"/>
  <c r="V164"/>
  <c r="W120"/>
  <c r="W166" s="1"/>
  <c r="W90"/>
  <c r="N168"/>
  <c r="N91"/>
  <c r="J168"/>
  <c r="J91"/>
  <c r="F168"/>
  <c r="F91"/>
  <c r="Z70"/>
  <c r="Z22"/>
  <c r="V5"/>
  <c r="V70"/>
  <c r="P35"/>
  <c r="R35" s="1"/>
  <c r="C168"/>
  <c r="C91"/>
  <c r="M168"/>
  <c r="M91"/>
  <c r="I168"/>
  <c r="I91"/>
  <c r="R70"/>
  <c r="P9"/>
  <c r="Z177" i="19" l="1"/>
  <c r="Y177"/>
  <c r="X177"/>
  <c r="Z126" i="4"/>
  <c r="AA126" s="1"/>
  <c r="Y132"/>
  <c r="Z158"/>
  <c r="AA158" s="1"/>
  <c r="Z162"/>
  <c r="AA162" s="1"/>
  <c r="Z163"/>
  <c r="AA163" s="1"/>
  <c r="Z159"/>
  <c r="AA159" s="1"/>
  <c r="Z161"/>
  <c r="AA161" s="1"/>
  <c r="Z131"/>
  <c r="AA131" s="1"/>
  <c r="Z127"/>
  <c r="Z82"/>
  <c r="AA82" s="1"/>
  <c r="W172"/>
  <c r="V166"/>
  <c r="R152"/>
  <c r="X88"/>
  <c r="AA22"/>
  <c r="R9"/>
  <c r="U166"/>
  <c r="V18"/>
  <c r="Q18"/>
  <c r="P18"/>
  <c r="D90"/>
  <c r="T70"/>
  <c r="H15" i="20" l="1"/>
  <c r="X166" i="4"/>
  <c r="X181" i="19"/>
  <c r="X178"/>
  <c r="Y178"/>
  <c r="Y181"/>
  <c r="Y182" s="1"/>
  <c r="Z178"/>
  <c r="Z181"/>
  <c r="Z182" s="1"/>
  <c r="R18" i="4"/>
  <c r="P167"/>
  <c r="Z86"/>
  <c r="AA86" s="1"/>
  <c r="Y88"/>
  <c r="Z156"/>
  <c r="AA156" s="1"/>
  <c r="AA127"/>
  <c r="Z132"/>
  <c r="Z166" s="1"/>
  <c r="Y166"/>
  <c r="Z76"/>
  <c r="T28" i="1"/>
  <c r="T25" i="4"/>
  <c r="D168"/>
  <c r="D91"/>
  <c r="Q90"/>
  <c r="P90"/>
  <c r="U170"/>
  <c r="AA178" i="19" l="1"/>
  <c r="AA181"/>
  <c r="X182"/>
  <c r="Z8" i="4"/>
  <c r="AA8" s="1"/>
  <c r="AA76"/>
  <c r="AA88" s="1"/>
  <c r="Z88"/>
  <c r="T35"/>
  <c r="V25"/>
  <c r="T90"/>
  <c r="Q167"/>
  <c r="R90"/>
  <c r="AA182" i="19" l="1"/>
  <c r="Z25" i="4"/>
  <c r="V35"/>
  <c r="V90" s="1"/>
  <c r="P91" s="1"/>
  <c r="P168" s="1"/>
  <c r="T170"/>
  <c r="T171" s="1"/>
  <c r="D167" i="1"/>
  <c r="E167"/>
  <c r="F167"/>
  <c r="G167"/>
  <c r="H167"/>
  <c r="I167"/>
  <c r="J167"/>
  <c r="K167"/>
  <c r="L167"/>
  <c r="M167"/>
  <c r="N167"/>
  <c r="O167"/>
  <c r="C167"/>
  <c r="D155"/>
  <c r="E155"/>
  <c r="F155"/>
  <c r="G155"/>
  <c r="H155"/>
  <c r="I155"/>
  <c r="J155"/>
  <c r="K155"/>
  <c r="L155"/>
  <c r="M155"/>
  <c r="N155"/>
  <c r="O155"/>
  <c r="C155"/>
  <c r="D135"/>
  <c r="E135"/>
  <c r="F135"/>
  <c r="G135"/>
  <c r="H135"/>
  <c r="I135"/>
  <c r="J135"/>
  <c r="K135"/>
  <c r="L135"/>
  <c r="M135"/>
  <c r="N135"/>
  <c r="O135"/>
  <c r="C135"/>
  <c r="D123"/>
  <c r="E123"/>
  <c r="F123"/>
  <c r="G123"/>
  <c r="H123"/>
  <c r="I123"/>
  <c r="J123"/>
  <c r="K123"/>
  <c r="L123"/>
  <c r="M123"/>
  <c r="N123"/>
  <c r="O123"/>
  <c r="C123"/>
  <c r="D114"/>
  <c r="E114"/>
  <c r="F114"/>
  <c r="G114"/>
  <c r="H114"/>
  <c r="I114"/>
  <c r="J114"/>
  <c r="K114"/>
  <c r="L114"/>
  <c r="M114"/>
  <c r="N114"/>
  <c r="O114"/>
  <c r="C114"/>
  <c r="D91"/>
  <c r="E91"/>
  <c r="F91"/>
  <c r="G91"/>
  <c r="H91"/>
  <c r="I91"/>
  <c r="J91"/>
  <c r="K91"/>
  <c r="L91"/>
  <c r="M91"/>
  <c r="N91"/>
  <c r="O91"/>
  <c r="C91"/>
  <c r="O73"/>
  <c r="N73"/>
  <c r="M73"/>
  <c r="L73"/>
  <c r="K73"/>
  <c r="J73"/>
  <c r="I73"/>
  <c r="H73"/>
  <c r="G73"/>
  <c r="F73"/>
  <c r="E73"/>
  <c r="D73"/>
  <c r="C73"/>
  <c r="H38"/>
  <c r="G38"/>
  <c r="F38"/>
  <c r="E38"/>
  <c r="D38"/>
  <c r="C38"/>
  <c r="I38"/>
  <c r="J38"/>
  <c r="K38"/>
  <c r="L38"/>
  <c r="M38"/>
  <c r="N38"/>
  <c r="O38"/>
  <c r="N10"/>
  <c r="N12" s="1"/>
  <c r="N21" s="1"/>
  <c r="M10"/>
  <c r="M12" s="1"/>
  <c r="M21" s="1"/>
  <c r="L10"/>
  <c r="L12" s="1"/>
  <c r="L21" s="1"/>
  <c r="K10"/>
  <c r="K12" s="1"/>
  <c r="K21" s="1"/>
  <c r="J10"/>
  <c r="J12" s="1"/>
  <c r="J21" s="1"/>
  <c r="I10"/>
  <c r="I12" s="1"/>
  <c r="I21" s="1"/>
  <c r="H10"/>
  <c r="H12" s="1"/>
  <c r="H21" s="1"/>
  <c r="G10"/>
  <c r="G12" s="1"/>
  <c r="G21" s="1"/>
  <c r="F10"/>
  <c r="F12" s="1"/>
  <c r="F21" s="1"/>
  <c r="E10"/>
  <c r="E12" s="1"/>
  <c r="E21" s="1"/>
  <c r="D10"/>
  <c r="D12" s="1"/>
  <c r="D21" s="1"/>
  <c r="C10"/>
  <c r="C12" s="1"/>
  <c r="C21" s="1"/>
  <c r="O10"/>
  <c r="O12" s="1"/>
  <c r="O21" s="1"/>
  <c r="Y18" i="4" l="1"/>
  <c r="Y90" s="1"/>
  <c r="Y172" s="1"/>
  <c r="Y177" s="1"/>
  <c r="AA25"/>
  <c r="Z35"/>
  <c r="V172"/>
  <c r="W173" s="1"/>
  <c r="O169" i="1"/>
  <c r="M169"/>
  <c r="K169"/>
  <c r="E169"/>
  <c r="N169"/>
  <c r="L169"/>
  <c r="J169"/>
  <c r="H169"/>
  <c r="D93"/>
  <c r="H93"/>
  <c r="J93"/>
  <c r="J171" s="1"/>
  <c r="L93"/>
  <c r="L94" s="1"/>
  <c r="N93"/>
  <c r="N171" s="1"/>
  <c r="I169"/>
  <c r="G169"/>
  <c r="D169"/>
  <c r="D94" s="1"/>
  <c r="J94"/>
  <c r="N94"/>
  <c r="E93"/>
  <c r="G93"/>
  <c r="I93"/>
  <c r="K93"/>
  <c r="M93"/>
  <c r="O93"/>
  <c r="F169"/>
  <c r="F93"/>
  <c r="C169"/>
  <c r="C93"/>
  <c r="P10"/>
  <c r="X18" i="4" l="1"/>
  <c r="X90" s="1"/>
  <c r="Z5"/>
  <c r="L171" i="1"/>
  <c r="H94"/>
  <c r="D171"/>
  <c r="H171"/>
  <c r="F171"/>
  <c r="C171"/>
  <c r="M94"/>
  <c r="M171"/>
  <c r="E94"/>
  <c r="E171"/>
  <c r="C94"/>
  <c r="F94"/>
  <c r="O94"/>
  <c r="O171"/>
  <c r="K94"/>
  <c r="K171"/>
  <c r="G94"/>
  <c r="G171"/>
  <c r="I94"/>
  <c r="I171"/>
  <c r="A8"/>
  <c r="Z8"/>
  <c r="AA8" s="1"/>
  <c r="Q8"/>
  <c r="V8"/>
  <c r="A9"/>
  <c r="P9"/>
  <c r="Q9"/>
  <c r="V9"/>
  <c r="Z9" s="1"/>
  <c r="A10"/>
  <c r="Q10"/>
  <c r="A11"/>
  <c r="P11"/>
  <c r="V11" s="1"/>
  <c r="Q11"/>
  <c r="Z11"/>
  <c r="AA11" s="1"/>
  <c r="A12"/>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P12"/>
  <c r="Q12"/>
  <c r="P13"/>
  <c r="Q13"/>
  <c r="P14"/>
  <c r="Q14"/>
  <c r="P15"/>
  <c r="Q15"/>
  <c r="P16"/>
  <c r="Q16"/>
  <c r="P17"/>
  <c r="Q17"/>
  <c r="P18"/>
  <c r="Q18"/>
  <c r="P19"/>
  <c r="Q19"/>
  <c r="P20"/>
  <c r="Q20"/>
  <c r="P21"/>
  <c r="Q21"/>
  <c r="W21"/>
  <c r="X21"/>
  <c r="Y21"/>
  <c r="P22"/>
  <c r="Q22"/>
  <c r="P25"/>
  <c r="V25" s="1"/>
  <c r="Q25"/>
  <c r="P26"/>
  <c r="Q26"/>
  <c r="V26"/>
  <c r="Z26" s="1"/>
  <c r="AA26" s="1"/>
  <c r="P27"/>
  <c r="V27" s="1"/>
  <c r="Z27" s="1"/>
  <c r="AA27" s="1"/>
  <c r="Q27"/>
  <c r="P28"/>
  <c r="V28" s="1"/>
  <c r="Q28"/>
  <c r="P29"/>
  <c r="Q29"/>
  <c r="V29"/>
  <c r="Z29" s="1"/>
  <c r="AA29" s="1"/>
  <c r="P30"/>
  <c r="Q30"/>
  <c r="V30"/>
  <c r="Z30" s="1"/>
  <c r="AA30" s="1"/>
  <c r="P31"/>
  <c r="Q31"/>
  <c r="V31"/>
  <c r="Z31" s="1"/>
  <c r="AA31" s="1"/>
  <c r="P32"/>
  <c r="Q32"/>
  <c r="V32"/>
  <c r="Z32" s="1"/>
  <c r="AA32" s="1"/>
  <c r="P33"/>
  <c r="Q33"/>
  <c r="V33"/>
  <c r="Z33" s="1"/>
  <c r="AA33" s="1"/>
  <c r="P34"/>
  <c r="V34" s="1"/>
  <c r="Z34" s="1"/>
  <c r="AA34" s="1"/>
  <c r="Q34"/>
  <c r="P35"/>
  <c r="Q35"/>
  <c r="V35"/>
  <c r="Z35" s="1"/>
  <c r="AA35" s="1"/>
  <c r="Q36"/>
  <c r="T36"/>
  <c r="AA36"/>
  <c r="P37"/>
  <c r="Q37"/>
  <c r="V37"/>
  <c r="Z37" s="1"/>
  <c r="AA37" s="1"/>
  <c r="Q38"/>
  <c r="T38"/>
  <c r="W38"/>
  <c r="X38"/>
  <c r="P41"/>
  <c r="T41" s="1"/>
  <c r="Q41"/>
  <c r="P42"/>
  <c r="Q42"/>
  <c r="V42"/>
  <c r="Z42" s="1"/>
  <c r="P43"/>
  <c r="Q43"/>
  <c r="T43"/>
  <c r="P44"/>
  <c r="V44" s="1"/>
  <c r="Q44"/>
  <c r="P45"/>
  <c r="V45" s="1"/>
  <c r="Z45" s="1"/>
  <c r="Q45"/>
  <c r="P46"/>
  <c r="T46" s="1"/>
  <c r="Q46"/>
  <c r="P47"/>
  <c r="Q47"/>
  <c r="T47"/>
  <c r="P48"/>
  <c r="T48" s="1"/>
  <c r="Q48"/>
  <c r="P49"/>
  <c r="Q49"/>
  <c r="V49"/>
  <c r="Z49" s="1"/>
  <c r="P50"/>
  <c r="Q50"/>
  <c r="T50"/>
  <c r="P51"/>
  <c r="T51" s="1"/>
  <c r="Q51"/>
  <c r="P52"/>
  <c r="Q52"/>
  <c r="T52"/>
  <c r="P53"/>
  <c r="Q53"/>
  <c r="T53"/>
  <c r="P54"/>
  <c r="Q54"/>
  <c r="T54"/>
  <c r="P55"/>
  <c r="Q55"/>
  <c r="T55"/>
  <c r="P56"/>
  <c r="Q56"/>
  <c r="T56"/>
  <c r="P57"/>
  <c r="Q57"/>
  <c r="T57"/>
  <c r="P58"/>
  <c r="Q58"/>
  <c r="T58"/>
  <c r="P59"/>
  <c r="Q59"/>
  <c r="T59"/>
  <c r="P60"/>
  <c r="Q60"/>
  <c r="T60"/>
  <c r="P61"/>
  <c r="Q61"/>
  <c r="T61"/>
  <c r="P62"/>
  <c r="Q62"/>
  <c r="T62"/>
  <c r="P63"/>
  <c r="T63" s="1"/>
  <c r="Q63"/>
  <c r="P64"/>
  <c r="Q64"/>
  <c r="T64"/>
  <c r="P65"/>
  <c r="Q65"/>
  <c r="T65"/>
  <c r="P66"/>
  <c r="T66" s="1"/>
  <c r="Q66"/>
  <c r="P67"/>
  <c r="Q67"/>
  <c r="T67"/>
  <c r="P68"/>
  <c r="T68" s="1"/>
  <c r="Q68"/>
  <c r="P69"/>
  <c r="Q69"/>
  <c r="T69"/>
  <c r="P70"/>
  <c r="T70" s="1"/>
  <c r="Q70"/>
  <c r="P71"/>
  <c r="Q71"/>
  <c r="T71"/>
  <c r="P72"/>
  <c r="Q72"/>
  <c r="T72"/>
  <c r="Q73"/>
  <c r="X73"/>
  <c r="Y73"/>
  <c r="P76"/>
  <c r="Q76"/>
  <c r="W76"/>
  <c r="P77"/>
  <c r="Q77"/>
  <c r="V77"/>
  <c r="P78"/>
  <c r="V78" s="1"/>
  <c r="Q78"/>
  <c r="Z78"/>
  <c r="AA78" s="1"/>
  <c r="P79"/>
  <c r="Q79"/>
  <c r="P80"/>
  <c r="V80" s="1"/>
  <c r="Z80" s="1"/>
  <c r="AA80" s="1"/>
  <c r="Q80"/>
  <c r="P81"/>
  <c r="Q81"/>
  <c r="V81"/>
  <c r="P82"/>
  <c r="V82" s="1"/>
  <c r="Q82"/>
  <c r="P83"/>
  <c r="Q83"/>
  <c r="V83"/>
  <c r="Z83" s="1"/>
  <c r="AA83" s="1"/>
  <c r="P84"/>
  <c r="V84" s="1"/>
  <c r="Z84" s="1"/>
  <c r="AA84" s="1"/>
  <c r="Q84"/>
  <c r="P85"/>
  <c r="Q85"/>
  <c r="Z85"/>
  <c r="AA85" s="1"/>
  <c r="P86"/>
  <c r="V86" s="1"/>
  <c r="Q86"/>
  <c r="P87"/>
  <c r="Q87"/>
  <c r="V87"/>
  <c r="P88"/>
  <c r="Q88"/>
  <c r="W88"/>
  <c r="P89"/>
  <c r="V89" s="1"/>
  <c r="Q89"/>
  <c r="Y91"/>
  <c r="P90"/>
  <c r="Q90"/>
  <c r="V90"/>
  <c r="Q91"/>
  <c r="T91"/>
  <c r="X91"/>
  <c r="P93"/>
  <c r="Q93"/>
  <c r="P98"/>
  <c r="Q98"/>
  <c r="W98"/>
  <c r="P99"/>
  <c r="W99" s="1"/>
  <c r="Q99"/>
  <c r="P100"/>
  <c r="Q100"/>
  <c r="W100"/>
  <c r="P101"/>
  <c r="Q101"/>
  <c r="W101"/>
  <c r="P102"/>
  <c r="Q102"/>
  <c r="W102"/>
  <c r="P103"/>
  <c r="Q103"/>
  <c r="W103"/>
  <c r="P104"/>
  <c r="Q104"/>
  <c r="W104"/>
  <c r="P105"/>
  <c r="Q105"/>
  <c r="W105"/>
  <c r="P106"/>
  <c r="W106" s="1"/>
  <c r="Q106"/>
  <c r="P107"/>
  <c r="Q107"/>
  <c r="W107"/>
  <c r="P108"/>
  <c r="Q108"/>
  <c r="W108"/>
  <c r="P109"/>
  <c r="Q109"/>
  <c r="W109"/>
  <c r="P110"/>
  <c r="Q110"/>
  <c r="W110"/>
  <c r="P111"/>
  <c r="W111" s="1"/>
  <c r="Q111"/>
  <c r="P112"/>
  <c r="W112" s="1"/>
  <c r="Q112"/>
  <c r="P113"/>
  <c r="Q113"/>
  <c r="W113"/>
  <c r="Q114"/>
  <c r="T114"/>
  <c r="P117"/>
  <c r="W117" s="1"/>
  <c r="Q117"/>
  <c r="P118"/>
  <c r="W118" s="1"/>
  <c r="Q118"/>
  <c r="P119"/>
  <c r="W119" s="1"/>
  <c r="Q119"/>
  <c r="P120"/>
  <c r="W120" s="1"/>
  <c r="Q120"/>
  <c r="P121"/>
  <c r="W121" s="1"/>
  <c r="Q121"/>
  <c r="P122"/>
  <c r="W122" s="1"/>
  <c r="Q122"/>
  <c r="Q123"/>
  <c r="T123"/>
  <c r="P126"/>
  <c r="W126" s="1"/>
  <c r="W135" s="1"/>
  <c r="Q126"/>
  <c r="P127"/>
  <c r="Q127"/>
  <c r="V127"/>
  <c r="P128"/>
  <c r="V128" s="1"/>
  <c r="Q128"/>
  <c r="P129"/>
  <c r="V129" s="1"/>
  <c r="Q129"/>
  <c r="P130"/>
  <c r="V130" s="1"/>
  <c r="Q130"/>
  <c r="X135"/>
  <c r="X169" s="1"/>
  <c r="P131"/>
  <c r="Q131"/>
  <c r="P132"/>
  <c r="U132" s="1"/>
  <c r="Q132"/>
  <c r="P133"/>
  <c r="Q133"/>
  <c r="P134"/>
  <c r="V134" s="1"/>
  <c r="Q134"/>
  <c r="Q135"/>
  <c r="T135"/>
  <c r="Y135"/>
  <c r="P138"/>
  <c r="W138" s="1"/>
  <c r="Q138"/>
  <c r="P139"/>
  <c r="U139" s="1"/>
  <c r="Q139"/>
  <c r="P140"/>
  <c r="U140" s="1"/>
  <c r="Q140"/>
  <c r="P141"/>
  <c r="U141" s="1"/>
  <c r="Q141"/>
  <c r="P142"/>
  <c r="V142" s="1"/>
  <c r="Q142"/>
  <c r="P143"/>
  <c r="U143" s="1"/>
  <c r="Q143"/>
  <c r="P144"/>
  <c r="U144" s="1"/>
  <c r="Q144"/>
  <c r="P145"/>
  <c r="Q145"/>
  <c r="U145"/>
  <c r="P146"/>
  <c r="U146" s="1"/>
  <c r="Q146"/>
  <c r="P147"/>
  <c r="Q147"/>
  <c r="U147"/>
  <c r="P148"/>
  <c r="U148" s="1"/>
  <c r="Q148"/>
  <c r="P149"/>
  <c r="U149" s="1"/>
  <c r="Q149"/>
  <c r="P150"/>
  <c r="W150" s="1"/>
  <c r="Q150"/>
  <c r="P151"/>
  <c r="Q151"/>
  <c r="U151"/>
  <c r="P152"/>
  <c r="U152" s="1"/>
  <c r="Q152"/>
  <c r="P153"/>
  <c r="U153" s="1"/>
  <c r="Q153"/>
  <c r="P154"/>
  <c r="Q154"/>
  <c r="U154"/>
  <c r="Q155"/>
  <c r="T155"/>
  <c r="P158"/>
  <c r="V158" s="1"/>
  <c r="Q158"/>
  <c r="P159"/>
  <c r="V159" s="1"/>
  <c r="Q159"/>
  <c r="P160"/>
  <c r="V160" s="1"/>
  <c r="Q160"/>
  <c r="AA160"/>
  <c r="P161"/>
  <c r="Q161"/>
  <c r="P162"/>
  <c r="Q162"/>
  <c r="P163"/>
  <c r="W163" s="1"/>
  <c r="Q163"/>
  <c r="P164"/>
  <c r="Z164" s="1"/>
  <c r="AA164" s="1"/>
  <c r="Q164"/>
  <c r="P165"/>
  <c r="V165" s="1"/>
  <c r="Q165"/>
  <c r="P166"/>
  <c r="Q166"/>
  <c r="Q167"/>
  <c r="Q169"/>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V166" l="1"/>
  <c r="K351" i="10"/>
  <c r="V162" i="1"/>
  <c r="K244" i="10"/>
  <c r="V161" i="1"/>
  <c r="K210" i="10"/>
  <c r="V85" i="1"/>
  <c r="K158" i="10"/>
  <c r="V79" i="1"/>
  <c r="V91" s="1"/>
  <c r="K96" i="10"/>
  <c r="X172" i="4"/>
  <c r="X177" s="1"/>
  <c r="AA5"/>
  <c r="Z18"/>
  <c r="Z90" s="1"/>
  <c r="AA90" s="1"/>
  <c r="T169" i="1"/>
  <c r="X93"/>
  <c r="X175" s="1"/>
  <c r="X180" s="1"/>
  <c r="V164"/>
  <c r="Z130"/>
  <c r="AA130" s="1"/>
  <c r="V131"/>
  <c r="Z131"/>
  <c r="AA131" s="1"/>
  <c r="Q170"/>
  <c r="Z129"/>
  <c r="AA129" s="1"/>
  <c r="Z159"/>
  <c r="AA159" s="1"/>
  <c r="R25"/>
  <c r="R11"/>
  <c r="R8"/>
  <c r="R128"/>
  <c r="P73"/>
  <c r="R73" s="1"/>
  <c r="R162"/>
  <c r="R158"/>
  <c r="R152"/>
  <c r="R148"/>
  <c r="R141"/>
  <c r="R134"/>
  <c r="R132"/>
  <c r="R89"/>
  <c r="W91"/>
  <c r="W93" s="1"/>
  <c r="R80"/>
  <c r="R78"/>
  <c r="R76"/>
  <c r="P38"/>
  <c r="R38" s="1"/>
  <c r="R68"/>
  <c r="R51"/>
  <c r="R48"/>
  <c r="R27"/>
  <c r="R161"/>
  <c r="R106"/>
  <c r="R166"/>
  <c r="P155"/>
  <c r="R155" s="1"/>
  <c r="Y142"/>
  <c r="Y169" s="1"/>
  <c r="R142"/>
  <c r="R117"/>
  <c r="R111"/>
  <c r="P114"/>
  <c r="R114" s="1"/>
  <c r="R103"/>
  <c r="R88"/>
  <c r="R63"/>
  <c r="R45"/>
  <c r="R44"/>
  <c r="R42"/>
  <c r="R41"/>
  <c r="R34"/>
  <c r="R30"/>
  <c r="R28"/>
  <c r="R26"/>
  <c r="R21"/>
  <c r="R165"/>
  <c r="R150"/>
  <c r="R144"/>
  <c r="R138"/>
  <c r="R130"/>
  <c r="R122"/>
  <c r="R113"/>
  <c r="R99"/>
  <c r="R85"/>
  <c r="R79"/>
  <c r="R70"/>
  <c r="R66"/>
  <c r="R54"/>
  <c r="R50"/>
  <c r="R46"/>
  <c r="R10"/>
  <c r="U155"/>
  <c r="W123"/>
  <c r="R12"/>
  <c r="Z166"/>
  <c r="AA166" s="1"/>
  <c r="Z165"/>
  <c r="AA165" s="1"/>
  <c r="Z162"/>
  <c r="AA162" s="1"/>
  <c r="Z161"/>
  <c r="AA161" s="1"/>
  <c r="R159"/>
  <c r="Z158"/>
  <c r="AA158" s="1"/>
  <c r="R153"/>
  <c r="R151"/>
  <c r="R149"/>
  <c r="R145"/>
  <c r="R143"/>
  <c r="R139"/>
  <c r="Z134"/>
  <c r="AA134" s="1"/>
  <c r="R129"/>
  <c r="Z128"/>
  <c r="AA128" s="1"/>
  <c r="R126"/>
  <c r="R121"/>
  <c r="R110"/>
  <c r="R98"/>
  <c r="R93"/>
  <c r="Z89"/>
  <c r="AA89" s="1"/>
  <c r="R84"/>
  <c r="Z79"/>
  <c r="AA79" s="1"/>
  <c r="R71"/>
  <c r="R69"/>
  <c r="R67"/>
  <c r="R65"/>
  <c r="R49"/>
  <c r="R47"/>
  <c r="R43"/>
  <c r="R36"/>
  <c r="R9"/>
  <c r="V135"/>
  <c r="T73"/>
  <c r="T93" s="1"/>
  <c r="Y38"/>
  <c r="Y93" s="1"/>
  <c r="Z25"/>
  <c r="V38"/>
  <c r="V21"/>
  <c r="AA9"/>
  <c r="Z21"/>
  <c r="AA21" s="1"/>
  <c r="U135"/>
  <c r="W114"/>
  <c r="Z44"/>
  <c r="Z73" s="1"/>
  <c r="V73"/>
  <c r="V167"/>
  <c r="Z28"/>
  <c r="AA28" s="1"/>
  <c r="P167"/>
  <c r="R167" s="1"/>
  <c r="P135"/>
  <c r="R135" s="1"/>
  <c r="P123"/>
  <c r="P91"/>
  <c r="R91" s="1"/>
  <c r="C4" i="20" l="1"/>
  <c r="C16" s="1"/>
  <c r="AA18" i="4"/>
  <c r="Z172"/>
  <c r="AA91" i="1"/>
  <c r="U169"/>
  <c r="AA142"/>
  <c r="Z91"/>
  <c r="V169"/>
  <c r="Y175"/>
  <c r="Y180" s="1"/>
  <c r="V93"/>
  <c r="P169"/>
  <c r="R169" s="1"/>
  <c r="W169"/>
  <c r="W175" s="1"/>
  <c r="Z135"/>
  <c r="Z169" s="1"/>
  <c r="AA25"/>
  <c r="Z38"/>
  <c r="R123"/>
  <c r="T173"/>
  <c r="V175" l="1"/>
  <c r="W176" s="1"/>
  <c r="E4" i="20"/>
  <c r="U173" i="1"/>
  <c r="T174" s="1"/>
  <c r="Z177" i="4"/>
  <c r="AA177" s="1"/>
  <c r="AA172"/>
  <c r="Z174" s="1"/>
  <c r="P94" i="1"/>
  <c r="P170"/>
  <c r="Z93"/>
  <c r="AA93" s="1"/>
  <c r="G4" i="20" l="1"/>
  <c r="E16"/>
  <c r="X174" i="4"/>
  <c r="Y174"/>
  <c r="Z175"/>
  <c r="Z178"/>
  <c r="Z179" s="1"/>
  <c r="P171" i="1"/>
  <c r="Z175"/>
  <c r="Z180" s="1"/>
  <c r="AA180" s="1"/>
  <c r="G16" i="20" l="1"/>
  <c r="Y178" i="4"/>
  <c r="Y179" s="1"/>
  <c r="Y175"/>
  <c r="X175"/>
  <c r="X178"/>
  <c r="AA175" i="1"/>
  <c r="Z177" s="1"/>
  <c r="AA175" i="4" l="1"/>
  <c r="AA178"/>
  <c r="X179"/>
  <c r="AA179" s="1"/>
  <c r="Z178" i="1"/>
  <c r="Z181"/>
  <c r="Z182" s="1"/>
  <c r="Y177"/>
  <c r="X177"/>
  <c r="H9" i="20" l="1"/>
  <c r="H10"/>
  <c r="I10" s="1"/>
  <c r="H4"/>
  <c r="I4" s="1"/>
  <c r="H8"/>
  <c r="I8" s="1"/>
  <c r="H7"/>
  <c r="I7" s="1"/>
  <c r="X181" i="1"/>
  <c r="X182" s="1"/>
  <c r="X184" i="19" s="1"/>
  <c r="X178" i="1"/>
  <c r="Y181"/>
  <c r="Y182" s="1"/>
  <c r="Y178"/>
  <c r="I16" i="20" l="1"/>
  <c r="I9"/>
  <c r="I11" s="1"/>
  <c r="H13"/>
  <c r="I13" s="1"/>
  <c r="AA181" i="1"/>
  <c r="AA178"/>
  <c r="AA182" l="1"/>
  <c r="X181" i="4"/>
</calcChain>
</file>

<file path=xl/comments1.xml><?xml version="1.0" encoding="utf-8"?>
<comments xmlns="http://schemas.openxmlformats.org/spreadsheetml/2006/main">
  <authors>
    <author>Liz Craven</author>
  </authors>
  <commentList>
    <comment ref="C5" authorId="0">
      <text>
        <r>
          <rPr>
            <b/>
            <sz val="8"/>
            <color indexed="81"/>
            <rFont val="Tahoma"/>
            <family val="2"/>
          </rPr>
          <t>Liz Craven:</t>
        </r>
        <r>
          <rPr>
            <sz val="8"/>
            <color indexed="81"/>
            <rFont val="Tahoma"/>
            <family val="2"/>
          </rPr>
          <t xml:space="preserve">
Ties to Restated Form 3-Q. Adjustments noted in yelllow.</t>
        </r>
      </text>
    </comment>
    <comment ref="D5" authorId="0">
      <text>
        <r>
          <rPr>
            <b/>
            <sz val="8"/>
            <color indexed="81"/>
            <rFont val="Tahoma"/>
            <family val="2"/>
          </rPr>
          <t>Liz Craven:</t>
        </r>
        <r>
          <rPr>
            <sz val="8"/>
            <color indexed="81"/>
            <rFont val="Tahoma"/>
            <family val="2"/>
          </rPr>
          <t xml:space="preserve">
Non-quarter month ends are not deconsolidated</t>
        </r>
      </text>
    </comment>
    <comment ref="E5" authorId="0">
      <text>
        <r>
          <rPr>
            <b/>
            <sz val="8"/>
            <color indexed="81"/>
            <rFont val="Tahoma"/>
            <family val="2"/>
          </rPr>
          <t>Liz Craven:</t>
        </r>
        <r>
          <rPr>
            <sz val="8"/>
            <color indexed="81"/>
            <rFont val="Tahoma"/>
            <family val="2"/>
          </rPr>
          <t xml:space="preserve">
Non-quarter month ends are not deconsolidated</t>
        </r>
      </text>
    </comment>
    <comment ref="F5" authorId="0">
      <text>
        <r>
          <rPr>
            <b/>
            <sz val="8"/>
            <color indexed="81"/>
            <rFont val="Tahoma"/>
            <family val="2"/>
          </rPr>
          <t>Liz Craven:</t>
        </r>
        <r>
          <rPr>
            <sz val="8"/>
            <color indexed="81"/>
            <rFont val="Tahoma"/>
            <family val="2"/>
          </rPr>
          <t xml:space="preserve">
Ties to Restated Form 3-Q. Adjustments noted in yelllow.</t>
        </r>
      </text>
    </comment>
    <comment ref="G5" authorId="0">
      <text>
        <r>
          <rPr>
            <b/>
            <sz val="8"/>
            <color indexed="81"/>
            <rFont val="Tahoma"/>
            <family val="2"/>
          </rPr>
          <t>Liz Craven:</t>
        </r>
        <r>
          <rPr>
            <sz val="8"/>
            <color indexed="81"/>
            <rFont val="Tahoma"/>
            <family val="2"/>
          </rPr>
          <t xml:space="preserve">
Non-quarter month ends are not deconsolidated</t>
        </r>
      </text>
    </comment>
    <comment ref="H5" authorId="0">
      <text>
        <r>
          <rPr>
            <b/>
            <sz val="8"/>
            <color indexed="81"/>
            <rFont val="Tahoma"/>
            <family val="2"/>
          </rPr>
          <t>Liz Craven:</t>
        </r>
        <r>
          <rPr>
            <sz val="8"/>
            <color indexed="81"/>
            <rFont val="Tahoma"/>
            <family val="2"/>
          </rPr>
          <t xml:space="preserve">
Non-quarter month ends are not deconsolidated</t>
        </r>
      </text>
    </comment>
    <comment ref="I5" authorId="0">
      <text>
        <r>
          <rPr>
            <b/>
            <sz val="8"/>
            <color indexed="81"/>
            <rFont val="Tahoma"/>
            <family val="2"/>
          </rPr>
          <t>Liz Craven:</t>
        </r>
        <r>
          <rPr>
            <sz val="8"/>
            <color indexed="81"/>
            <rFont val="Tahoma"/>
            <family val="2"/>
          </rPr>
          <t xml:space="preserve">
Ties to restated 2011 Form No. 1 filed 6/28/12</t>
        </r>
      </text>
    </comment>
  </commentList>
</comments>
</file>

<file path=xl/comments2.xml><?xml version="1.0" encoding="utf-8"?>
<comments xmlns="http://schemas.openxmlformats.org/spreadsheetml/2006/main">
  <authors>
    <author>Szalay, Scott</author>
  </authors>
  <commentList>
    <comment ref="F39" authorId="0">
      <text>
        <r>
          <rPr>
            <b/>
            <sz val="8"/>
            <color indexed="81"/>
            <rFont val="Tahoma"/>
            <family val="2"/>
          </rPr>
          <t>Szalay, Scott:</t>
        </r>
        <r>
          <rPr>
            <sz val="8"/>
            <color indexed="81"/>
            <rFont val="Tahoma"/>
            <family val="2"/>
          </rPr>
          <t xml:space="preserve">
B/S only, no P/L impact offsetting liability is not allocated to WA as well</t>
        </r>
      </text>
    </comment>
  </commentList>
</comments>
</file>

<file path=xl/comments3.xml><?xml version="1.0" encoding="utf-8"?>
<comments xmlns="http://schemas.openxmlformats.org/spreadsheetml/2006/main">
  <authors>
    <author>Liz Craven</author>
  </authors>
  <commentList>
    <comment ref="C2" authorId="0">
      <text>
        <r>
          <rPr>
            <b/>
            <sz val="8"/>
            <color indexed="81"/>
            <rFont val="Tahoma"/>
            <family val="2"/>
          </rPr>
          <t>Liz Craven:</t>
        </r>
        <r>
          <rPr>
            <sz val="8"/>
            <color indexed="81"/>
            <rFont val="Tahoma"/>
            <family val="2"/>
          </rPr>
          <t xml:space="preserve">
Ties to Restated Form 3-Q. Adjustments noted in yelllow.</t>
        </r>
      </text>
    </comment>
    <comment ref="D2" authorId="0">
      <text>
        <r>
          <rPr>
            <b/>
            <sz val="8"/>
            <color indexed="81"/>
            <rFont val="Tahoma"/>
            <family val="2"/>
          </rPr>
          <t>Liz Craven:</t>
        </r>
        <r>
          <rPr>
            <sz val="8"/>
            <color indexed="81"/>
            <rFont val="Tahoma"/>
            <family val="2"/>
          </rPr>
          <t xml:space="preserve">
Non-quarter month ends are not deconsolidated</t>
        </r>
      </text>
    </comment>
    <comment ref="E2" authorId="0">
      <text>
        <r>
          <rPr>
            <b/>
            <sz val="8"/>
            <color indexed="81"/>
            <rFont val="Tahoma"/>
            <family val="2"/>
          </rPr>
          <t>Liz Craven:</t>
        </r>
        <r>
          <rPr>
            <sz val="8"/>
            <color indexed="81"/>
            <rFont val="Tahoma"/>
            <family val="2"/>
          </rPr>
          <t xml:space="preserve">
Non-quarter month ends are not deconsolidated</t>
        </r>
      </text>
    </comment>
    <comment ref="F2" authorId="0">
      <text>
        <r>
          <rPr>
            <b/>
            <sz val="8"/>
            <color indexed="81"/>
            <rFont val="Tahoma"/>
            <family val="2"/>
          </rPr>
          <t>Liz Craven:</t>
        </r>
        <r>
          <rPr>
            <sz val="8"/>
            <color indexed="81"/>
            <rFont val="Tahoma"/>
            <family val="2"/>
          </rPr>
          <t xml:space="preserve">
Ties to Restated Form 3-Q. Adjustments noted in yelllow.</t>
        </r>
      </text>
    </comment>
    <comment ref="G2" authorId="0">
      <text>
        <r>
          <rPr>
            <b/>
            <sz val="8"/>
            <color indexed="81"/>
            <rFont val="Tahoma"/>
            <family val="2"/>
          </rPr>
          <t>Liz Craven:</t>
        </r>
        <r>
          <rPr>
            <sz val="8"/>
            <color indexed="81"/>
            <rFont val="Tahoma"/>
            <family val="2"/>
          </rPr>
          <t xml:space="preserve">
Non-quarter month ends are not deconsolidated</t>
        </r>
      </text>
    </comment>
    <comment ref="H2" authorId="0">
      <text>
        <r>
          <rPr>
            <b/>
            <sz val="8"/>
            <color indexed="81"/>
            <rFont val="Tahoma"/>
            <family val="2"/>
          </rPr>
          <t>Liz Craven:</t>
        </r>
        <r>
          <rPr>
            <sz val="8"/>
            <color indexed="81"/>
            <rFont val="Tahoma"/>
            <family val="2"/>
          </rPr>
          <t xml:space="preserve">
Non-quarter month ends are not deconsolidated</t>
        </r>
      </text>
    </comment>
    <comment ref="I2" authorId="0">
      <text>
        <r>
          <rPr>
            <b/>
            <sz val="8"/>
            <color indexed="81"/>
            <rFont val="Tahoma"/>
            <family val="2"/>
          </rPr>
          <t>Liz Craven:</t>
        </r>
        <r>
          <rPr>
            <sz val="8"/>
            <color indexed="81"/>
            <rFont val="Tahoma"/>
            <family val="2"/>
          </rPr>
          <t xml:space="preserve">
Ties to restated 2011 Form No. 1 filed 6/28/12</t>
        </r>
      </text>
    </comment>
  </commentList>
</comments>
</file>

<file path=xl/sharedStrings.xml><?xml version="1.0" encoding="utf-8"?>
<sst xmlns="http://schemas.openxmlformats.org/spreadsheetml/2006/main" count="4616" uniqueCount="787">
  <si>
    <t>ISWC</t>
  </si>
  <si>
    <t>Total investment</t>
  </si>
  <si>
    <t>Allocated ISWC</t>
  </si>
  <si>
    <t>Allocated Investor-supplied Working Capital</t>
  </si>
  <si>
    <t xml:space="preserve">Allocation Percentages </t>
  </si>
  <si>
    <t>Investor-Supplied Working Capital</t>
  </si>
  <si>
    <t>Total Investments and Invested Capital-Adjusted</t>
  </si>
  <si>
    <t>Total Current Assets and Current Liabilities-Adjusted</t>
  </si>
  <si>
    <t>Assets less Liabilities and Owners Equity check</t>
  </si>
  <si>
    <t>Total Liability + Owners Equity check &gt;&gt;</t>
  </si>
  <si>
    <t>TOTAL Liab &amp; Other Credits</t>
  </si>
  <si>
    <t>TOTAL Deferred Credits</t>
  </si>
  <si>
    <t>Accumulated Deferred Income Taxes - Other (283)</t>
  </si>
  <si>
    <t>Accumulated Deferred Income Taxes - Other Property (282)</t>
  </si>
  <si>
    <t>Accumulated Deferred Income Taxes - Accel. Amort. (281)</t>
  </si>
  <si>
    <t>Unamortized Gain on Reacquired Debt (257)</t>
  </si>
  <si>
    <t>Other Regulatory Liabilities (254)</t>
  </si>
  <si>
    <t>Other Deferred Credits (253)</t>
  </si>
  <si>
    <t>Deferred Gains from Disposition of Utility Plant (256)</t>
  </si>
  <si>
    <t>Accumulated Deferred Investment Tax Credits (255)</t>
  </si>
  <si>
    <t>Customer Advances for Construction (252)</t>
  </si>
  <si>
    <t/>
  </si>
  <si>
    <t xml:space="preserve">                     DEFERRED CREDITS</t>
  </si>
  <si>
    <t>TOTAL Current &amp; Accrued Liabilities</t>
  </si>
  <si>
    <t>(Less) Long-term Portion of Deriv Instrument Liab - Hedges</t>
  </si>
  <si>
    <t>Derivative Instrument Liabilities -  Hedges (245)</t>
  </si>
  <si>
    <t>(Less) Long-term Portion of Deriv Instrument Liab</t>
  </si>
  <si>
    <t>Derivative Instrument Liabilities (244)</t>
  </si>
  <si>
    <t>Obligations Under Capital Leases-Current (243)</t>
  </si>
  <si>
    <t>Miscellaneous Current and Accrued Liabilities (242)</t>
  </si>
  <si>
    <t>Taxes Collections Payable (241)</t>
  </si>
  <si>
    <t>Matured Interest (240)</t>
  </si>
  <si>
    <t>Matured Long-Term Debt (239)</t>
  </si>
  <si>
    <t>Dividends Declared (238)</t>
  </si>
  <si>
    <t>Interest Accrued (237)</t>
  </si>
  <si>
    <t>Taxes Accrued (236)</t>
  </si>
  <si>
    <t>Customer Deposits (235)</t>
  </si>
  <si>
    <t>Accounts Payable to Associated Companies (234)</t>
  </si>
  <si>
    <t>Notes Payable to Associated Companies (233)</t>
  </si>
  <si>
    <t>Accounts Payable (232)</t>
  </si>
  <si>
    <t>Notes Payable (231)</t>
  </si>
  <si>
    <t xml:space="preserve">                     CURRENT AND ACCRUED LIABILITIES</t>
  </si>
  <si>
    <t>TOTAL OTHER Noncurrent Liabilities</t>
  </si>
  <si>
    <t>Asset Retirement Obligations (230)</t>
  </si>
  <si>
    <t>Long-Term Portion of Derivative Instrument Liab. - Hedges</t>
  </si>
  <si>
    <t>Long-Term Portion of Derivative Instrument Liabilities</t>
  </si>
  <si>
    <t>Accumulated Provision for Rate Refunds (229)</t>
  </si>
  <si>
    <t>Accumulated Miscellaneous Operating Provisions (228.4)</t>
  </si>
  <si>
    <t>Accumulated Provision for Pensions and Benefits (228.3)</t>
  </si>
  <si>
    <t>☺</t>
  </si>
  <si>
    <t>Accumulated Provision for Injuries and Damages (228.2)</t>
  </si>
  <si>
    <t>Accumulated Provision of Property Insurance (228.1)</t>
  </si>
  <si>
    <t>Obligations Under Capital Leases - Noncurrent (227)</t>
  </si>
  <si>
    <t xml:space="preserve">                     OTHER NONCURRENT LIABILITIES</t>
  </si>
  <si>
    <t>TOTAL Long-Term Debt</t>
  </si>
  <si>
    <t>(Less) Unamortized Discount on Long-Term Debt-Debit (226)</t>
  </si>
  <si>
    <t>Unamortized Premium on Long-Term Debt (225)</t>
  </si>
  <si>
    <t>Other Long-Term Debt (224)</t>
  </si>
  <si>
    <t>Advances from Associated Companies (223)</t>
  </si>
  <si>
    <t>(Less) Reacquired Bonds (222)</t>
  </si>
  <si>
    <t>Bonds (221)</t>
  </si>
  <si>
    <t xml:space="preserve">                     LONG-TERM DEBT</t>
  </si>
  <si>
    <t>TOTAL Proprietary Capital</t>
  </si>
  <si>
    <t>Accumulated Other Comprehensive Income (219)</t>
  </si>
  <si>
    <t>(Less) Reacquired Capital Stock (217)</t>
  </si>
  <si>
    <t>Unappropriated Undistributed Subsidiary Earnings (216.1)</t>
  </si>
  <si>
    <t>Retained Earnings (215, 215.1, 216)</t>
  </si>
  <si>
    <t xml:space="preserve">    part 3 retained earnings - place holder for EACS</t>
  </si>
  <si>
    <t xml:space="preserve">    part 2 retained earnings (4181100)</t>
  </si>
  <si>
    <t xml:space="preserve">    part 1 retained earnings (215, 215.1, 216)</t>
  </si>
  <si>
    <t>(Less) Capital Stock Expense (214)</t>
  </si>
  <si>
    <t>(Less) Discount on Capital Stock (213)</t>
  </si>
  <si>
    <t>Installments Received on Capital Stock (212)</t>
  </si>
  <si>
    <t>Other Paid-In Capital (208-211)</t>
  </si>
  <si>
    <t>Premium on Capital Stock (207)</t>
  </si>
  <si>
    <t>Stock Liability for Conversion (203, 206)</t>
  </si>
  <si>
    <t>Capital Stock Subscribed (202, 205)</t>
  </si>
  <si>
    <t>Preferred Stock Issue (204)</t>
  </si>
  <si>
    <t>Common Stock Issued (201)</t>
  </si>
  <si>
    <t xml:space="preserve">                     PROPRIETARY CAPITAL</t>
  </si>
  <si>
    <t>total asset ck&gt;&gt;</t>
  </si>
  <si>
    <t xml:space="preserve">     TOTAL ASSETS</t>
  </si>
  <si>
    <t>TOTAL Deferred Debits</t>
  </si>
  <si>
    <t>Unrecovered Purchase Gas Costs (191)</t>
  </si>
  <si>
    <t>Accumulated Deferred Income Taxes (190)</t>
  </si>
  <si>
    <t>Unamortized Loss on Reacquired Debt (189)</t>
  </si>
  <si>
    <t>Research, Develpmt, and Demonstration Expenditures (188)</t>
  </si>
  <si>
    <t>Differed Loss from Disposition of Utility Plant (187)</t>
  </si>
  <si>
    <t>Miscellaneous Deferred Debits (186)</t>
  </si>
  <si>
    <t>Temporary Facilities (185)</t>
  </si>
  <si>
    <t>Clearing Accounts (184)</t>
  </si>
  <si>
    <t>Other Preliminary Survey and Investigation Charges (183.2)</t>
  </si>
  <si>
    <t>Preliminary Natrl Gas Survey &amp; Investigation Charges (183.1)</t>
  </si>
  <si>
    <t>Preliminary Survey and Investigation Charges (183)</t>
  </si>
  <si>
    <t>Other Regulatory Assets (182.3)</t>
  </si>
  <si>
    <t>Unrecovered Plant and Regulatory Study Costs (182.2)</t>
  </si>
  <si>
    <t>Extraordinary Property Losses (182.1)</t>
  </si>
  <si>
    <t>Unamortized Debt Expenses (181)</t>
  </si>
  <si>
    <t xml:space="preserve">                    DEFERRED DEBITS</t>
  </si>
  <si>
    <t>TOTAL Current and Accrued Assets</t>
  </si>
  <si>
    <t>(Less) Long-Term Portion of Deriv Instrmt Assets Hedge (176)</t>
  </si>
  <si>
    <t>Derivative Instrument Assets - Hedges (176)</t>
  </si>
  <si>
    <t>(Less) Long-Term Portion of Deriv Instrument Assets (175)</t>
  </si>
  <si>
    <t>Derivative Instrument Assets (175)</t>
  </si>
  <si>
    <t>Miscellaneous Current and Accrued Assets (174)</t>
  </si>
  <si>
    <t>Accrued Utility Revenues (173)</t>
  </si>
  <si>
    <t>Rents Receivable (172)</t>
  </si>
  <si>
    <t>Interest and Dividends Receivable (171)</t>
  </si>
  <si>
    <t>Advances for Gas (166-167)</t>
  </si>
  <si>
    <t>Prepayments (165)</t>
  </si>
  <si>
    <t>LNG Stored and Held for Processing (164.2-164.3)</t>
  </si>
  <si>
    <t>Gas Stored Underground - Current (164.1)</t>
  </si>
  <si>
    <t>Stores Expenses Undistributed (163)</t>
  </si>
  <si>
    <t>(Less) Noncurrent Portion of Allowances</t>
  </si>
  <si>
    <t>Allowances (158.1 &amp; 158.2)</t>
  </si>
  <si>
    <t>Nuclear Materials Held for Sale (157)</t>
  </si>
  <si>
    <t>Other Material and Supplies (156)</t>
  </si>
  <si>
    <t>Merchandise (155)</t>
  </si>
  <si>
    <t>Plant Materials and Operating Supplies (154)</t>
  </si>
  <si>
    <t>Residuals (Elec) and Extracted Products (153)</t>
  </si>
  <si>
    <t>Fuel Stock Expenses Undistributed (152)</t>
  </si>
  <si>
    <t>Fuel Stock (151)</t>
  </si>
  <si>
    <t>allocation if in investments</t>
  </si>
  <si>
    <t>Accounts Receivable from Assoc. Companies (146)</t>
  </si>
  <si>
    <t>Notes Receivable from Associated Companies (145)</t>
  </si>
  <si>
    <t>(Less) Accum. Prov. For Uncollectible Accts. Cr (144)</t>
  </si>
  <si>
    <t>Other Accounts Receivable (143)</t>
  </si>
  <si>
    <t>Customer Accounts Receivable (142)</t>
  </si>
  <si>
    <t>Notes Receivable (141)</t>
  </si>
  <si>
    <t>Temporary Cash Investments (136)</t>
  </si>
  <si>
    <t>Working Fund (135)</t>
  </si>
  <si>
    <t>Special Deposits (132-134)</t>
  </si>
  <si>
    <t>Cash (131)</t>
  </si>
  <si>
    <t xml:space="preserve">                    CURRENT AND ACCRUED ASSETS</t>
  </si>
  <si>
    <t>TOTAL Other Property and Investments</t>
  </si>
  <si>
    <t>Long-Term Portion of Derivative Assets - Hedges (176)</t>
  </si>
  <si>
    <t>Long-Term Portion of Derivative Assets (175)</t>
  </si>
  <si>
    <t>Special Funds Non-major (129)</t>
  </si>
  <si>
    <t>Other Special Funds (128)</t>
  </si>
  <si>
    <t>Amortization Fund - Federal (127)</t>
  </si>
  <si>
    <t>Depreciation Funds (126)</t>
  </si>
  <si>
    <t>Sinking Funds (125)</t>
  </si>
  <si>
    <t>Other Investments (124)</t>
  </si>
  <si>
    <t>Noncurrent Portion of Allowances</t>
  </si>
  <si>
    <t>Investments in Subsidiary Companies (123.1)</t>
  </si>
  <si>
    <t>Investments in Associated Companies (123)</t>
  </si>
  <si>
    <t>(Less) Accum. Prov. For Depr. And Amort. (122)</t>
  </si>
  <si>
    <t>Nonutility Property (121)</t>
  </si>
  <si>
    <t xml:space="preserve">                    OTHER PROPERTY AND INVESTMENTS</t>
  </si>
  <si>
    <t>Gas Stored Underground - Noncurrent (117) [Acct 116 =0]</t>
  </si>
  <si>
    <t>Net Utility Plant</t>
  </si>
  <si>
    <t>Net Nuclear Fuel</t>
  </si>
  <si>
    <t>(Less) Accum. Prov For Amort of Nucl Fuel Assemblies (120.5)</t>
  </si>
  <si>
    <t>Nuclear Fuel Under Capital Leases (120.6)</t>
  </si>
  <si>
    <t>Spent Nuclear Fuel (120.4)</t>
  </si>
  <si>
    <t>Nuclear Fuel Assemblies in Reactor (120.3)</t>
  </si>
  <si>
    <t>Nuclear Fuel Materials and Assemblies-Stock Account (120.2)</t>
  </si>
  <si>
    <t>Nuclear Fuel in Process of Ref, Conv, Enrich, &amp; Fab. (120.1)</t>
  </si>
  <si>
    <t>(Less) Accum. Prov. For Depr. Amort. Depl. (108, 111, 115)</t>
  </si>
  <si>
    <t>TOTAL Utility Plant</t>
  </si>
  <si>
    <t>Construction Work in Progress (107)</t>
  </si>
  <si>
    <t>Utility Plant (101-106, 114)</t>
  </si>
  <si>
    <t>12 mo (lower)</t>
  </si>
  <si>
    <t xml:space="preserve">                    UTILITY PLANT</t>
  </si>
  <si>
    <t>Non-utility</t>
  </si>
  <si>
    <t>Other States</t>
  </si>
  <si>
    <t>Washington</t>
  </si>
  <si>
    <t>check figures</t>
  </si>
  <si>
    <t>Investments Allocated</t>
  </si>
  <si>
    <t>Invested Capital</t>
  </si>
  <si>
    <t>Investments</t>
  </si>
  <si>
    <t>Current Liability</t>
  </si>
  <si>
    <t>Current Asset</t>
  </si>
  <si>
    <t>12 mo +higher</t>
  </si>
  <si>
    <t>12-mo avg</t>
  </si>
  <si>
    <t>AMA</t>
  </si>
  <si>
    <t>Title of Account</t>
  </si>
  <si>
    <t>Line</t>
  </si>
  <si>
    <t>W</t>
  </si>
  <si>
    <t>V</t>
  </si>
  <si>
    <t>U</t>
  </si>
  <si>
    <t>T</t>
  </si>
  <si>
    <t>S</t>
  </si>
  <si>
    <t>R</t>
  </si>
  <si>
    <t>Q</t>
  </si>
  <si>
    <t>P</t>
  </si>
  <si>
    <t>O</t>
  </si>
  <si>
    <t>N</t>
  </si>
  <si>
    <t>M</t>
  </si>
  <si>
    <t>L</t>
  </si>
  <si>
    <t>K</t>
  </si>
  <si>
    <t>J</t>
  </si>
  <si>
    <t>I</t>
  </si>
  <si>
    <t>H</t>
  </si>
  <si>
    <t>G</t>
  </si>
  <si>
    <t>F</t>
  </si>
  <si>
    <t>E</t>
  </si>
  <si>
    <t>D</t>
  </si>
  <si>
    <t>C</t>
  </si>
  <si>
    <t>B</t>
  </si>
  <si>
    <t>A</t>
  </si>
  <si>
    <t>-</t>
  </si>
  <si>
    <t>186M</t>
  </si>
  <si>
    <t>108MP</t>
  </si>
  <si>
    <t>PacifiCorp</t>
  </si>
  <si>
    <t>WCA Average of Monthly Averages</t>
  </si>
  <si>
    <t>(000's)</t>
  </si>
  <si>
    <t>Bridger Total</t>
  </si>
  <si>
    <t>Actual</t>
  </si>
  <si>
    <t>Description</t>
  </si>
  <si>
    <t>FERC Account</t>
  </si>
  <si>
    <t>PacifiCorp Share (66.67%) AMA</t>
  </si>
  <si>
    <t>Structure, Equipment, Mine Dev.</t>
  </si>
  <si>
    <t>2 Materials &amp; Supplies</t>
  </si>
  <si>
    <t>4 Pit Inventory</t>
  </si>
  <si>
    <t>Deferred Long Wall Costs</t>
  </si>
  <si>
    <t>Reclamation Liability</t>
  </si>
  <si>
    <t>Accumulated Depreciation</t>
  </si>
  <si>
    <t>Bonus Bid / Lease Payable</t>
  </si>
  <si>
    <t>TOTAL RATE BASE</t>
  </si>
  <si>
    <t>PacifiCorp Share (66.67%)</t>
  </si>
  <si>
    <t>Pro Forma</t>
  </si>
  <si>
    <t>June 2011 - 2012 AMA Balance</t>
  </si>
  <si>
    <t>Ref 8.1</t>
  </si>
  <si>
    <t>June 2012 - 2013 AMA Balance</t>
  </si>
  <si>
    <t>Results of Operations - June 2012</t>
  </si>
  <si>
    <t>Bridger Mine Rate Base</t>
  </si>
  <si>
    <t>JBE Factor</t>
  </si>
  <si>
    <t>Current Assets</t>
  </si>
  <si>
    <t>PacifiCorp Share</t>
  </si>
  <si>
    <t>Ratio of total</t>
  </si>
  <si>
    <t>Capital allocated</t>
  </si>
  <si>
    <t>Vsn</t>
  </si>
  <si>
    <t>F.Yr</t>
  </si>
  <si>
    <t>Profit Ctr</t>
  </si>
  <si>
    <t>Account</t>
  </si>
  <si>
    <t>JARS</t>
  </si>
  <si>
    <t>Factor</t>
  </si>
  <si>
    <t>FERC Acct</t>
  </si>
  <si>
    <t>Locatn</t>
  </si>
  <si>
    <t>Secondary</t>
  </si>
  <si>
    <t>CoCode</t>
  </si>
  <si>
    <t>Beg Bel</t>
  </si>
  <si>
    <t>Jan</t>
  </si>
  <si>
    <t>Feb</t>
  </si>
  <si>
    <t>Mar</t>
  </si>
  <si>
    <t>Apr</t>
  </si>
  <si>
    <t>May</t>
  </si>
  <si>
    <t>Jun</t>
  </si>
  <si>
    <t>Jul</t>
  </si>
  <si>
    <t>Aug</t>
  </si>
  <si>
    <t>Sep</t>
  </si>
  <si>
    <t>Oct</t>
  </si>
  <si>
    <t>Nov</t>
  </si>
  <si>
    <t>Dec</t>
  </si>
  <si>
    <t>DUMMY</t>
  </si>
  <si>
    <t>SG</t>
  </si>
  <si>
    <t>Mer</t>
  </si>
  <si>
    <t>Method</t>
  </si>
  <si>
    <t>Prim GrCd</t>
  </si>
  <si>
    <t>Old IDN</t>
  </si>
  <si>
    <t>Chg by</t>
  </si>
  <si>
    <t>Ch Time</t>
  </si>
  <si>
    <t>Valid From</t>
  </si>
  <si>
    <t>Valid To</t>
  </si>
  <si>
    <t>Change Date</t>
  </si>
  <si>
    <t>0</t>
  </si>
  <si>
    <t>06</t>
  </si>
  <si>
    <t>NUTIL</t>
  </si>
  <si>
    <t>REGA</t>
  </si>
  <si>
    <t>00000001</t>
  </si>
  <si>
    <t>P96744</t>
  </si>
  <si>
    <t>10:32:07</t>
  </si>
  <si>
    <t>X</t>
  </si>
  <si>
    <t>00000000</t>
  </si>
  <si>
    <t>P23042</t>
  </si>
  <si>
    <t>14:34:39</t>
  </si>
  <si>
    <t>P75380</t>
  </si>
  <si>
    <t>16:09:36</t>
  </si>
  <si>
    <t>P21027</t>
  </si>
  <si>
    <t>15:16:57</t>
  </si>
  <si>
    <t>WYP</t>
  </si>
  <si>
    <t>12:39:37</t>
  </si>
  <si>
    <t>UT</t>
  </si>
  <si>
    <t>P73643</t>
  </si>
  <si>
    <t>10:33:29</t>
  </si>
  <si>
    <t>MISC</t>
  </si>
  <si>
    <t>08:55:40</t>
  </si>
  <si>
    <t>P76009</t>
  </si>
  <si>
    <t>15:07:11</t>
  </si>
  <si>
    <t>P16303</t>
  </si>
  <si>
    <t>13:44:53</t>
  </si>
  <si>
    <t>SO</t>
  </si>
  <si>
    <t>17:00:06</t>
  </si>
  <si>
    <t>15:39:38</t>
  </si>
  <si>
    <t>15:03:03</t>
  </si>
  <si>
    <t>09:04:33</t>
  </si>
  <si>
    <t>20:37:18</t>
  </si>
  <si>
    <t>14:42:25</t>
  </si>
  <si>
    <t>JBE</t>
  </si>
  <si>
    <t>17:02:43</t>
  </si>
  <si>
    <t>NUTL</t>
  </si>
  <si>
    <t>14:00:36</t>
  </si>
  <si>
    <t>P75877</t>
  </si>
  <si>
    <t>09:12:11</t>
  </si>
  <si>
    <t>P10133</t>
  </si>
  <si>
    <t>10:53:12</t>
  </si>
  <si>
    <t>13:53:59</t>
  </si>
  <si>
    <t>Pension Impact</t>
  </si>
  <si>
    <t>FERC</t>
  </si>
  <si>
    <t>Account Description</t>
  </si>
  <si>
    <t>Return on Rate Base</t>
  </si>
  <si>
    <t>Jun'12 AMA</t>
  </si>
  <si>
    <t>WA Allocated</t>
  </si>
  <si>
    <t>2006 Transition Plan - CA</t>
  </si>
  <si>
    <t>CA</t>
  </si>
  <si>
    <t>Included in Rate Base</t>
  </si>
  <si>
    <t>2006 Transition Plan - OR</t>
  </si>
  <si>
    <t>OTHER</t>
  </si>
  <si>
    <t>Has Carrying Charge</t>
  </si>
  <si>
    <t>Alternative Rate For Energy (CARE) - CA</t>
  </si>
  <si>
    <t>ARO/Reg Diff - HTR Plant Landfill Exp.</t>
  </si>
  <si>
    <t>ARO Recovered in 108</t>
  </si>
  <si>
    <t>Asset Retirement Obligations Regulatory Difference</t>
  </si>
  <si>
    <t>BPA Idaho Balancing Account</t>
  </si>
  <si>
    <t>Not Earning Return</t>
  </si>
  <si>
    <t>BPA Oregon Balancing Account</t>
  </si>
  <si>
    <t>Chehalis Generating Facility Deferral - WA</t>
  </si>
  <si>
    <t>WA</t>
  </si>
  <si>
    <t>Cholla Plant Transaction Costs</t>
  </si>
  <si>
    <t>CAGE</t>
  </si>
  <si>
    <t>IDU</t>
  </si>
  <si>
    <t>OR</t>
  </si>
  <si>
    <t>Contra Pension Reg Asset MMT &amp; CTG - WY</t>
  </si>
  <si>
    <t>Deferral of Interest on Uncertain Tax Positions -ID</t>
  </si>
  <si>
    <t>Deferral of Interest on Uncertain Tax Positions -UT</t>
  </si>
  <si>
    <t>Deferral of Interest on Uncertain Tax Positions -WY</t>
  </si>
  <si>
    <t>Deferred  Excess RECs in Rates - WY 2010-2011</t>
  </si>
  <si>
    <t>Deferred  Excess RECs in Rates - WY 2011-2012</t>
  </si>
  <si>
    <t>Deferred Exc RECs in Rates-UT 2010-Aug 2011</t>
  </si>
  <si>
    <t>Deferred Exc RECs in Rates-UT Sep'11-Dec 2011</t>
  </si>
  <si>
    <t>Deferred Exc RECs in Rates-WA</t>
  </si>
  <si>
    <t>Deferred Excess Net Power Costs - ID 2010</t>
  </si>
  <si>
    <t>Deferred Excess Net Power Costs - ID 2011</t>
  </si>
  <si>
    <t>Deferred Excess Net Power Costs - ID 2012</t>
  </si>
  <si>
    <t>Deferred Excess Net Power Costs - OR</t>
  </si>
  <si>
    <t>Deferred Excess Net Power Costs - UT</t>
  </si>
  <si>
    <t>Deferred Excess Net Power Costs - WA Hydro</t>
  </si>
  <si>
    <t>Deferred Excess Net Power Costs - WY 2010</t>
  </si>
  <si>
    <t>Deferred Excess Net Power Costs - WY 2011</t>
  </si>
  <si>
    <t>Deferred Excess Net Power Costs - WY 2012</t>
  </si>
  <si>
    <t>Deferred Excess Net Power Costs/ECAC - CA</t>
  </si>
  <si>
    <t>Deferred Excess NPC - ID 2011 Agrium</t>
  </si>
  <si>
    <t>Deferred Excess NPC - ID 2011 Monsanto</t>
  </si>
  <si>
    <t>Deferred Income Taxes Electric</t>
  </si>
  <si>
    <t>Deferred Independent Evaluator Fee - OR</t>
  </si>
  <si>
    <t>Deferred Independent Evaluator Fee - UT</t>
  </si>
  <si>
    <t>Deferred Intervenor Funding Grants - CA</t>
  </si>
  <si>
    <t>Deferred Intervenor Funding Grants - ID</t>
  </si>
  <si>
    <t>Deferred Intervenor Funding Grants - OR</t>
  </si>
  <si>
    <t>Deferred Overburden Cost - ID</t>
  </si>
  <si>
    <t>Deferred Overburden Cost - WY</t>
  </si>
  <si>
    <t>Derivative Net Regulatory Asset</t>
  </si>
  <si>
    <t>DSM Regulatory Asset Actuals - UT</t>
  </si>
  <si>
    <t>DSM Regulatory Asset Actuals- CA</t>
  </si>
  <si>
    <t>DSM Regulatory Assets Accruals - CA</t>
  </si>
  <si>
    <t>Energy Balancing Account - UT 2012</t>
  </si>
  <si>
    <t>Energy Balancing Account - UT Oct-Dec 2011</t>
  </si>
  <si>
    <t>Environmental Costs</t>
  </si>
  <si>
    <t>Environmental Costs - WA</t>
  </si>
  <si>
    <t>Goodnoe Hills Settlement - WY</t>
  </si>
  <si>
    <t>Lake Side Settlement - WY</t>
  </si>
  <si>
    <t>Pension/Other Postretirement</t>
  </si>
  <si>
    <t>Post Employment Costs</t>
  </si>
  <si>
    <t>Powerdale Decommissioning - CA</t>
  </si>
  <si>
    <t>Powerdale Decommissioning - ID</t>
  </si>
  <si>
    <t>Powerdale Decommissioning - OR</t>
  </si>
  <si>
    <t>Powerdale Decommissioning - WA</t>
  </si>
  <si>
    <t>REC and SO2 Revenue Requirement - WY</t>
  </si>
  <si>
    <t>Reg Asset - Environmental Costs</t>
  </si>
  <si>
    <t>Reg Asset - Post-Ret MMT - WY</t>
  </si>
  <si>
    <t>Reg Asset - UT Major Plant Additions</t>
  </si>
  <si>
    <t>Reg Asset - WY Def Advertising Costs</t>
  </si>
  <si>
    <t>RegA-Naughton Unit 3</t>
  </si>
  <si>
    <t>Regulatory Asset- Frozen MTM</t>
  </si>
  <si>
    <t>Regulatory Assets - Reclassifications</t>
  </si>
  <si>
    <t>Renewable Adjustment Clause - OR</t>
  </si>
  <si>
    <t>Renewable Energy Credit Balancine Account - UT 2012</t>
  </si>
  <si>
    <t>Renewable Energy Credit Balancine Account - WY 2012</t>
  </si>
  <si>
    <t>RTO Grid West N/R - ID</t>
  </si>
  <si>
    <t>RTO Grid West N/R - OR</t>
  </si>
  <si>
    <t>SB 408 Reg Asset - MCBIT (Even Year #2)</t>
  </si>
  <si>
    <t>SB 408 Reg Asset - MCBIT (Odd Year #1)</t>
  </si>
  <si>
    <t>SB 408 Regulatory Asset - MCBIT</t>
  </si>
  <si>
    <t>SB 408 Regulatory Asset - OR</t>
  </si>
  <si>
    <t>Solar Feed-In Tariff Deferral - CA</t>
  </si>
  <si>
    <t>Solar Feed-In Tariff Deferral - OR</t>
  </si>
  <si>
    <t>Storm Damage Deferral - CA</t>
  </si>
  <si>
    <t>Tax Adj on Postretirement Benefits - CA</t>
  </si>
  <si>
    <t>Tax Adj on Postretirement Benefits - ID</t>
  </si>
  <si>
    <t>Tax Adj on Postretirement Benefits - OR</t>
  </si>
  <si>
    <t>Tax Adj on Postretirement Benefits - UT</t>
  </si>
  <si>
    <t>Tax Adj on Postretirement Benefits - WY</t>
  </si>
  <si>
    <t>Tax Revenue Requirement Adjustment - WY</t>
  </si>
  <si>
    <t>WYU</t>
  </si>
  <si>
    <t>Trail Mountain Mine Unrecovered Investment</t>
  </si>
  <si>
    <t>CAEE</t>
  </si>
  <si>
    <t>SE</t>
  </si>
  <si>
    <t>Washington Colstrip #3</t>
  </si>
  <si>
    <t>Deferred Longwall Costs</t>
  </si>
  <si>
    <t>Other Current Deferred Charges</t>
  </si>
  <si>
    <t>Lake Side Maint. Prepayment - Current</t>
  </si>
  <si>
    <t>Currant Creek Maint Prepayment - Current</t>
  </si>
  <si>
    <t>Mining Depreciation Clearing</t>
  </si>
  <si>
    <t>Pension Intangible Asset</t>
  </si>
  <si>
    <t>BETC Super Good Cents</t>
  </si>
  <si>
    <t>BETC Wz Tax Credit Loan Program</t>
  </si>
  <si>
    <t>BETC Energy Finanswer</t>
  </si>
  <si>
    <t>BETC Industrial Finanswer</t>
  </si>
  <si>
    <t>BETC Cash Rebate/Incentive</t>
  </si>
  <si>
    <t>Ferron Water Assessment</t>
  </si>
  <si>
    <t>North West Power Pool</t>
  </si>
  <si>
    <t>BETC_Commercial Retrofit</t>
  </si>
  <si>
    <t>BETC-Industrial Retro fit</t>
  </si>
  <si>
    <t>BETC-Commercial Small Retro Fit</t>
  </si>
  <si>
    <t>BETC-Industrial Small Retro fit</t>
  </si>
  <si>
    <t>Deferred Coal Costs - Wyodak Settlement</t>
  </si>
  <si>
    <t>Deferred Coal Costs - Naughton Contract Settlement</t>
  </si>
  <si>
    <t>Deferred Montana Colstrip Plant Costs</t>
  </si>
  <si>
    <t>Deferred Development Costs</t>
  </si>
  <si>
    <t>Sales of Electric Utility Facilities &amp; Properties</t>
  </si>
  <si>
    <t>Property Damage Repairs - Insurance Losses</t>
  </si>
  <si>
    <t>Emission Reduction Credits Purchased</t>
  </si>
  <si>
    <t>Deferred Cost - Lease Incentives</t>
  </si>
  <si>
    <t>Deferred Financing Costs</t>
  </si>
  <si>
    <t>Deferred S-3 Shelf Registration Costs</t>
  </si>
  <si>
    <t>Unamortized Credit Agreement Costs</t>
  </si>
  <si>
    <t>Unamortized PCRB LOC/SBBPA Costs</t>
  </si>
  <si>
    <t>Unamortized PCRB Mode Conversion Costs</t>
  </si>
  <si>
    <t>Unamortized '94 Series Restructuring Costs</t>
  </si>
  <si>
    <t>TGS Buyout</t>
  </si>
  <si>
    <t>Lakeview Buyout</t>
  </si>
  <si>
    <t>Buffalo Settlement</t>
  </si>
  <si>
    <t>Joseph Settlement</t>
  </si>
  <si>
    <t>Tri-State Firm Wheeling</t>
  </si>
  <si>
    <t>Mead-Phoenix-Availability &amp; Trans Charge</t>
  </si>
  <si>
    <t>Bogus Creek Settlement</t>
  </si>
  <si>
    <t>SERP Intangible Asset</t>
  </si>
  <si>
    <t>Firth Cogeneration Buyout</t>
  </si>
  <si>
    <t>Wholesale Option Purchases</t>
  </si>
  <si>
    <t>Hermiston Swap</t>
  </si>
  <si>
    <t>CAGW</t>
  </si>
  <si>
    <t>Lacomb Irrigation</t>
  </si>
  <si>
    <t>Bogus Creek</t>
  </si>
  <si>
    <t>Point-to-Point Transmission Reservations</t>
  </si>
  <si>
    <t>Deferred Aquila Streamflow Hedge Costs</t>
  </si>
  <si>
    <t>Jim Boyd Hydro Buyout</t>
  </si>
  <si>
    <t>Pac Energy Study Deposit-Due from Transm</t>
  </si>
  <si>
    <t>Transm Study Deposit-Due to Pac Energy</t>
  </si>
  <si>
    <t>LGIA LT Transmission Prepaid</t>
  </si>
  <si>
    <t>LT Lease Commissions Prepaid</t>
  </si>
  <si>
    <t>BPA LT Transm Prepaid - Wine Country</t>
  </si>
  <si>
    <t>Pac Energy Svc Deposit-Due from Transm</t>
  </si>
  <si>
    <t>Transm Svc Deposit-Due to Pac Energy</t>
  </si>
  <si>
    <t>LT Lake Side Maint. Prepayment</t>
  </si>
  <si>
    <t>LT Chehalis CSA Maint. Prepayment</t>
  </si>
  <si>
    <t>LT Currant Creek CSA Maint Prepayment</t>
  </si>
  <si>
    <t>LT Prepaid IBEW 57 Pension Contribution</t>
  </si>
  <si>
    <t>Frozen MTM Asset – Noncurrent</t>
  </si>
  <si>
    <t>Project Development Security Deposits</t>
  </si>
  <si>
    <t>Miscellaneous Security Deposits</t>
  </si>
  <si>
    <t>Employee Housing Security Deposits</t>
  </si>
  <si>
    <t>Weather Derivative Liability - Non Current</t>
  </si>
  <si>
    <t>Noncurrent Liability - Frozen MTM</t>
  </si>
  <si>
    <t>Reg Liab - Mine Reclamation Costs</t>
  </si>
  <si>
    <t>Envir Liab - Non Current</t>
  </si>
  <si>
    <t>Envir Liab - Centralia Plant</t>
  </si>
  <si>
    <t>Envir Liab - Centralia Mine (J.O.)</t>
  </si>
  <si>
    <t>Envir Liab - Centralia Mine (PCorp)</t>
  </si>
  <si>
    <t>Deferred Credits - Other</t>
  </si>
  <si>
    <t>Unearned Joint Use Pole Contact Revenue</t>
  </si>
  <si>
    <t>Deferred Revenue - Lease Incentives</t>
  </si>
  <si>
    <t>Oregon DSM Loans NPV Unearned Income</t>
  </si>
  <si>
    <t>Deferred Revenue-Cowlitz/Lewis River O&amp;M</t>
  </si>
  <si>
    <t>Def Rev-Duke/Hermiston Gas Sale Novation</t>
  </si>
  <si>
    <t>CAEW</t>
  </si>
  <si>
    <t>Oth Def Cr - Cogeneration Bonds-Sunnyside</t>
  </si>
  <si>
    <t>Deferred Compensation - PPL</t>
  </si>
  <si>
    <t>Deferred Revenue - Other</t>
  </si>
  <si>
    <t>401K Administration Costs</t>
  </si>
  <si>
    <t>Deseret Mine Reclamation</t>
  </si>
  <si>
    <t>Trapper Mine Contract Obligation</t>
  </si>
  <si>
    <t>Western Coal Carriers Benefits Obligation</t>
  </si>
  <si>
    <t>Pension Administrative Expense</t>
  </si>
  <si>
    <t>Comp Reduct - Credit</t>
  </si>
  <si>
    <t>Exec Def Comp Reduction Plan - Stock Index</t>
  </si>
  <si>
    <t>Stock Incentive Plan 2001</t>
  </si>
  <si>
    <t>Stock Incentive Plan 2002</t>
  </si>
  <si>
    <t>Stock Incentive Plan 2002 -PPM</t>
  </si>
  <si>
    <t>Redding Contract</t>
  </si>
  <si>
    <t>MCI - F.O.G. Wire Lease</t>
  </si>
  <si>
    <t>Transmission Service Deposits - Third Party</t>
  </si>
  <si>
    <t>Foote Creek Contract</t>
  </si>
  <si>
    <t>WY Joint Powers Water Board Settlement</t>
  </si>
  <si>
    <t>Working Capital Deposit-UAMPS</t>
  </si>
  <si>
    <t>Working Capital Deposit-DG&amp;T</t>
  </si>
  <si>
    <t>Working Capital Deposit-UMPA-Plant M&amp;S</t>
  </si>
  <si>
    <t>Transm Const Security Deposits</t>
  </si>
  <si>
    <t>L-T Accrued Settlement Provisions</t>
  </si>
  <si>
    <t>Other Deferred Credits - C&amp;T</t>
  </si>
  <si>
    <t>Other Deferred Credits</t>
  </si>
  <si>
    <t>2010 Protocol Deferral - OR</t>
  </si>
  <si>
    <t>Asset Retirement Obligations Reg. Difference</t>
  </si>
  <si>
    <t>TROJP</t>
  </si>
  <si>
    <t>Blue Sky - CA</t>
  </si>
  <si>
    <t>Blue Sky - ID</t>
  </si>
  <si>
    <t>Blue Sky - OR</t>
  </si>
  <si>
    <t>Blue Sky - UT</t>
  </si>
  <si>
    <t>Blue Sky - WA</t>
  </si>
  <si>
    <t>Blue Sky - WY</t>
  </si>
  <si>
    <t>BPA Washington Balancing Account</t>
  </si>
  <si>
    <t>Gain on Sale of Assets - OR</t>
  </si>
  <si>
    <t>Income Tax Reg. Liab. - WA Flow Through</t>
  </si>
  <si>
    <t>Injuries and Damages Reserve - OR</t>
  </si>
  <si>
    <t>Investment Tax Credit Regulatory Liability</t>
  </si>
  <si>
    <t>Misc. Regulatory Liabilities - OR</t>
  </si>
  <si>
    <t>OR Energy Conservation Charge</t>
  </si>
  <si>
    <t>Powerdale Decom Costs Giveback - UT</t>
  </si>
  <si>
    <t>Property Insurance Reserve - ID</t>
  </si>
  <si>
    <t>Property Insurance Reserve - OR</t>
  </si>
  <si>
    <t>Property Insurance Reserve - UT</t>
  </si>
  <si>
    <t>Property Insurance Reserve - WY</t>
  </si>
  <si>
    <t>Regulatory Liability - Reclassifications</t>
  </si>
  <si>
    <t>Renewable Energy Credit Sales Deferral</t>
  </si>
  <si>
    <t>SMUD Revenue Imputation</t>
  </si>
  <si>
    <t>Tax Revenue Requirement Adj. - UT</t>
  </si>
  <si>
    <t>Utah Home Energy Lifeline</t>
  </si>
  <si>
    <t>Washington Low Income Program</t>
  </si>
  <si>
    <t>Reg Liability - WA A&amp;G Credit</t>
  </si>
  <si>
    <t>Chk Total (ISWC)</t>
  </si>
  <si>
    <t>Account Review (FERC 182, 186, 253, 254, 283)</t>
  </si>
  <si>
    <t>SNP</t>
  </si>
  <si>
    <t>GPS</t>
  </si>
  <si>
    <t>DTL 100.120 RA Income Tax Prop Flow-thru</t>
  </si>
  <si>
    <t>DTL 105.400 ARO Reg Assets</t>
  </si>
  <si>
    <t>DTL 120.205 Trapper Mining Stock Basis</t>
  </si>
  <si>
    <t>DTL 210.100 Prepaid Taxes - OR PUC</t>
  </si>
  <si>
    <t>DTL 210.120 Prepaid Taxes - UT PUC</t>
  </si>
  <si>
    <t>DTL 210.130 Prepaid Taxes - ID PUC</t>
  </si>
  <si>
    <t>DTL 210.180 Prepaid Membership Fees - EEI,WSCC</t>
  </si>
  <si>
    <t>DTL 210.200 Prepaid Property Taxes</t>
  </si>
  <si>
    <t>DTL 320.270 Reg Asset FAS 158 Pension</t>
  </si>
  <si>
    <t>DTL 320.280 Reg Asset FAS 158 Post-Ret</t>
  </si>
  <si>
    <t>DTL 320.290 LT Ppd IBEW 57 Pension Contr</t>
  </si>
  <si>
    <t>DTL 415.300 Environmental Clean-up Accrual</t>
  </si>
  <si>
    <t>DTL 415.301 Environmental Clean-up Accrl</t>
  </si>
  <si>
    <t>DTL 415.406 RA Utah ECAM</t>
  </si>
  <si>
    <t>DTL 415.500 Cholla Plt Transact Costs-APS Amort</t>
  </si>
  <si>
    <t>DTL 415.501 Cholla Plant Transaction Costs - ID</t>
  </si>
  <si>
    <t>DTL 415.502 Cholla Plant Transaction Costs - OR</t>
  </si>
  <si>
    <t>DTL 415.503 Cholla Plant Transaction Costs - WA</t>
  </si>
  <si>
    <t>DTL 415.510 WA Disallowed Colstrip #3-Write-off</t>
  </si>
  <si>
    <t>DTL 415.680 Deferred Intervener Funding Grants</t>
  </si>
  <si>
    <t>DTL 415.701 CA Deferred Intervenor Funding</t>
  </si>
  <si>
    <t>DTL 415.702 Reg Asset-Lake Side Liq. Damages-WY</t>
  </si>
  <si>
    <t>DTL 415.703 Goodnoe Hills Liquidation Damages-WY</t>
  </si>
  <si>
    <t>DTL 415.800 RTO Grid West Note Receivable</t>
  </si>
  <si>
    <t>DTL 415.803 RTO Grid West N/R-W/O-WA</t>
  </si>
  <si>
    <t>DTL 415.804 RTO Grid West N/R - OR</t>
  </si>
  <si>
    <t>DTL 415.820 Contra Pensn Reg Asset MMT &amp; CTG_OR</t>
  </si>
  <si>
    <t>DTL 415.821 Contra Pensn Reg Asset MMT &amp; CTG_WY</t>
  </si>
  <si>
    <t>DTL 415.822 Reg Asset _ Pension MMT_UT</t>
  </si>
  <si>
    <t>DTL 415.823 Contra Pensn Reg Asset CTG_UT</t>
  </si>
  <si>
    <t>DTL 415.824 Contra Pensn Reg Asset MMT &amp; CTG_CA</t>
  </si>
  <si>
    <t>DTL 415.825 Contra Pensn Reg Asset CTG_WA</t>
  </si>
  <si>
    <t>DTL 415.827 Reg Asset - FAS 158 Post - Ret_OR</t>
  </si>
  <si>
    <t>DTL 415.828 Reg Asset - FAS 158 Post - Ret_WY</t>
  </si>
  <si>
    <t>DTL 415.829 Reg Asset - Post - Ret MMT_UT</t>
  </si>
  <si>
    <t>DTL 415.831 Reg Asset - Post - Ret MMT_CA</t>
  </si>
  <si>
    <t>DTL 415.834 NonCurr Asset Frozen MTM</t>
  </si>
  <si>
    <t>DTL 415.836 Curr Asset Frozen MTM</t>
  </si>
  <si>
    <t>DTL 415.837 RA - Frozen MTM</t>
  </si>
  <si>
    <t>DTL 415.840 Reg Asset - Deferred OR Ind Eval Fees</t>
  </si>
  <si>
    <t>DTL 415.850 Unrecovered Plant-Powerdale</t>
  </si>
  <si>
    <t>DTL 415.851 Powerdale Decom Cost Amort-CA</t>
  </si>
  <si>
    <t>DTL 415.852 Powerdale Decom Cost Amort-ID</t>
  </si>
  <si>
    <t>DTL 415.853 Powerdale Decom Cost Amort-OR</t>
  </si>
  <si>
    <t>DTL 415.854 Powerdale Decom Cost Amort-WA</t>
  </si>
  <si>
    <t>DTL 415.855 Reg Asset-CA-Jan10 Storm Costs</t>
  </si>
  <si>
    <t>DTL 415.856 Powerdale Decom Cost Amort-WY</t>
  </si>
  <si>
    <t>DTL 415.857 Reg Asset-ID-Def Overburden Cost</t>
  </si>
  <si>
    <t>DTL 415.858 Reg Asset-WY-Def Overburden Cost</t>
  </si>
  <si>
    <t>DTL 415.859 Reg Asset-WY Def Advertising Cost</t>
  </si>
  <si>
    <t>DTL 415.865 Reg Asset-UT Major Plant Additions</t>
  </si>
  <si>
    <t>DTL 415.866 Reg Asset-OR Solar Feed-In Tariff</t>
  </si>
  <si>
    <t>DTL 415.867 Reg Asset - CA Solar Feed-in</t>
  </si>
  <si>
    <t>DTL 415.870 Deferred Excess Net Power Costs-CA</t>
  </si>
  <si>
    <t>DTL 415.873 Deferred Excess NPC-WA Hydro Deferral</t>
  </si>
  <si>
    <t>DTL 415.874 Deferred Net Power Costs-WY 09</t>
  </si>
  <si>
    <t>DTL 415.876 Deferred Net Power Costs-OR</t>
  </si>
  <si>
    <t>DTL 415.880 Deferred UT Independent Evaluation Fee</t>
  </si>
  <si>
    <t>DTL 415.881 Def of Excess RECs UT</t>
  </si>
  <si>
    <t>DTL 415.882 Def of Excess RECs WA</t>
  </si>
  <si>
    <t>DTL 415.883 Def of Excess RECs WY</t>
  </si>
  <si>
    <t>DTL 415.892 Deferred Net Power Costs - ID 09</t>
  </si>
  <si>
    <t>DTL 415.893 OR MEHC Transition Service Costs</t>
  </si>
  <si>
    <t>DTL 415.895 OR RCAC Sep-Dec 07</t>
  </si>
  <si>
    <t>DTL 415.896 WA - Chehalis Plant Rev Req</t>
  </si>
  <si>
    <t>DTL 415.897 Transition Severance Cost CA</t>
  </si>
  <si>
    <t>DTL 415.898 Deferred Coal Cost Naughton</t>
  </si>
  <si>
    <t>DTL 415.900 OR SB 408 Recovery</t>
  </si>
  <si>
    <t>DTL 425.100 Deferred Regulatory Expense</t>
  </si>
  <si>
    <t>DTL 425.125 Deferred Coal Cost-Arch</t>
  </si>
  <si>
    <t>DTL 425.250 TGS Buyout</t>
  </si>
  <si>
    <t>DTL 425.280 Joseph Settlement</t>
  </si>
  <si>
    <t>DTL 425.310 Hydro Relicensing Obligation</t>
  </si>
  <si>
    <t>DTL 425.360 Hermiston Swap</t>
  </si>
  <si>
    <t>DTL 425.380 Idaho Customer Balancing Account</t>
  </si>
  <si>
    <t>DTL 430.100 Weatherization</t>
  </si>
  <si>
    <t>DTL 430.110 Reg Asset Balance Reclass</t>
  </si>
  <si>
    <t>DTL 430.112 Reg Asset - Other - Balance Reclass</t>
  </si>
  <si>
    <t>DTL 430.113 Reg Asset - Def NPC Balance Reclass</t>
  </si>
  <si>
    <t>DTL 430.114 RA Fed Int Exp (UT)</t>
  </si>
  <si>
    <t>DTL 430.115 RA Fed Int Exp (WY)</t>
  </si>
  <si>
    <t>DTL 430.116 RA Fed Int Exp (ID)</t>
  </si>
  <si>
    <t>DTL 451.705 RA Tax Rev Req Adj - WY</t>
  </si>
  <si>
    <t>DTL 505.125 Accrued Royalties</t>
  </si>
  <si>
    <t>DTL 505.180 Accrued Insur Premium Tax</t>
  </si>
  <si>
    <t>DTL 505.800 State Tax Ded on Fed TR</t>
  </si>
  <si>
    <t>DTL 705.240 CA Energy Program</t>
  </si>
  <si>
    <t>DTL 720.841 RA Tax Adj on PR Benefit-CA</t>
  </si>
  <si>
    <t>DTL 720.842 RA Tax Adj on PR Benefit-ID</t>
  </si>
  <si>
    <t>DTL 720.843 RA Tax Adj on PR Benefit-OR</t>
  </si>
  <si>
    <t>DTL 720.844 RA Tax Adj on PR Benefit-UT</t>
  </si>
  <si>
    <t>DTL 720.846 RA Tax Adj on PR Benefit-WY</t>
  </si>
  <si>
    <t>DTL 730.170 Regulatory assets - FAS 133</t>
  </si>
  <si>
    <t>DTL 740.100 Post Merger Loss-Reacq Debt - Addback</t>
  </si>
  <si>
    <t>DTL 910.935 Unrealized Gain or Loss-Sec</t>
  </si>
  <si>
    <t>DTL Federal Benefit of Federal Interest - IRHI</t>
  </si>
  <si>
    <t>DTL Federal Benefit of State Interest - IRHI</t>
  </si>
  <si>
    <t>DTL Federal Benefit of State Tax - IRHI</t>
  </si>
  <si>
    <t>DTL Interim Provision Reg Assets/Liab</t>
  </si>
  <si>
    <t>DTL PMI Deferred Tax Reclass to DTA</t>
  </si>
  <si>
    <t>DTL Rate Diff-Federal Benefit of State Tax - IRHI</t>
  </si>
  <si>
    <t>DTL State Benefit of Federal Interest - IRHI</t>
  </si>
  <si>
    <t>DTL State Benefit of State Interest - IRHI</t>
  </si>
  <si>
    <t>DTL 105.241 Safe Harbor Leases - Malin</t>
  </si>
  <si>
    <t>DTL BETC Purchased Gain Fed Detriment</t>
  </si>
  <si>
    <t>Adjustments to working capital calculation</t>
  </si>
  <si>
    <t>Total balances</t>
  </si>
  <si>
    <t>Remaining investments</t>
  </si>
  <si>
    <t>Total Other Regulatory Assets (182.3)</t>
  </si>
  <si>
    <t>Pension/Other Postretirement Reg Assets</t>
  </si>
  <si>
    <t>Remaining other regulatory assets</t>
  </si>
  <si>
    <t>Frozen mark balances</t>
  </si>
  <si>
    <t>Current asset</t>
  </si>
  <si>
    <t>Noncurrent asset</t>
  </si>
  <si>
    <t>Reg asset</t>
  </si>
  <si>
    <t>Current liability</t>
  </si>
  <si>
    <t>Non-current liability</t>
  </si>
  <si>
    <t>GL Account</t>
  </si>
  <si>
    <t>Check</t>
  </si>
  <si>
    <t>Current Asset/Liabilty</t>
  </si>
  <si>
    <t>Deferred Tax Assets</t>
  </si>
  <si>
    <t>Applicable GL Account</t>
  </si>
  <si>
    <t>FAS 158</t>
  </si>
  <si>
    <t>Carrying charge with union</t>
  </si>
  <si>
    <t>Investor Supplied Working Capital (ISWC)</t>
  </si>
  <si>
    <t>Gross Adjustments</t>
  </si>
  <si>
    <t>Adjusted balances</t>
  </si>
  <si>
    <t>Impact to WA ISWC</t>
  </si>
  <si>
    <t>Retiree Trust Contri</t>
  </si>
  <si>
    <t>FAS 106-Contra Liab</t>
  </si>
  <si>
    <t>FAS 158 PR Liab Medi</t>
  </si>
  <si>
    <t>FAS 158 PR Liab Reg</t>
  </si>
  <si>
    <t>FAS 158 Post-Rt Liab</t>
  </si>
  <si>
    <t>FAS 106-Cntr L-Med S</t>
  </si>
  <si>
    <t>FAS 158 Contra PR</t>
  </si>
  <si>
    <t>PR Liab-Early Retire</t>
  </si>
  <si>
    <t>FAS 158 Pen Liab</t>
  </si>
  <si>
    <t>Adjustments:</t>
  </si>
  <si>
    <t xml:space="preserve">   Reclassify pension and OPEB from investments to current (2)</t>
  </si>
  <si>
    <t>WA investment allocation %</t>
  </si>
  <si>
    <t>By placing the pension and other postretirement liability and associated regulatory asset in investments, the net difference (representing contributions in excess of expense) inappropriately impacts the net working capital calculation. For example, if the liability exceeded the regulatory asset, then PacifiCorp would have actually collected more expense in rates than contributions made to its pension and other postretirement plan.  This would result in an increase to net working capital rate base addition even though no investor contributions have been made. When the regulatory asset exceeds the liability, there is a decrease to the working capital rate base addition even though the investors have supplied capital to the pension and other postretirement plans. 
Placing the pension and other postretirement liabilities and regulatory assets in current assets and liabilities, rather than investments more appropriately reflects the economics of the balances.</t>
  </si>
  <si>
    <t>2) Reclassified the amounts related to pension and other postretirement obligations from investments to current assets and liabilities.</t>
  </si>
  <si>
    <t>Unadjusted balances</t>
  </si>
  <si>
    <t>Incremental increase to rate base</t>
  </si>
  <si>
    <t>Assets Current</t>
  </si>
  <si>
    <t>Assets Noncurrent</t>
  </si>
  <si>
    <t>Liabilities Current</t>
  </si>
  <si>
    <t>Liabilities Noncurrent</t>
  </si>
  <si>
    <t>Regulatory Asset</t>
  </si>
  <si>
    <t>Net derivative position</t>
  </si>
  <si>
    <t xml:space="preserve"> Net Collaterial</t>
  </si>
  <si>
    <t>Difference</t>
  </si>
  <si>
    <t>FAS 133 Derivative Net Asset-Current</t>
  </si>
  <si>
    <t>SFAS 133 Trading Asset - Current</t>
  </si>
  <si>
    <t>FAS 133 Deriv Net Asset-Current - Hedges</t>
  </si>
  <si>
    <t>FAS 133 Deriv Margining Asset - Current</t>
  </si>
  <si>
    <t>Net current asset</t>
  </si>
  <si>
    <t>FAS 133 Derivative Net Asset-NonCurrent</t>
  </si>
  <si>
    <t>SFAS 133 Trading Asset - NonCurrent</t>
  </si>
  <si>
    <t>FAS 133 Deriv Net Asset-NonCurrent - Hedges</t>
  </si>
  <si>
    <t>FAS 133 Deriv Margining Asset - NonCurrent</t>
  </si>
  <si>
    <t>Net noncurrent assets</t>
  </si>
  <si>
    <t>FAS 133 Derivative Net Liability-Current</t>
  </si>
  <si>
    <t>SFAS 133 Trading Liability - Current</t>
  </si>
  <si>
    <t>FAS 133 Deriv Net Liability-Current - Hedges</t>
  </si>
  <si>
    <t>FAS 133 Frozen MTM Deriv Liab - Current</t>
  </si>
  <si>
    <t>FAS 133 Deriv Margining Liab - Current</t>
  </si>
  <si>
    <t>Net current liabilities</t>
  </si>
  <si>
    <t>FAS 133 Derivative Net Liability-NonCurrent</t>
  </si>
  <si>
    <t>SFAS 133 Trading Liability - NonCurrent</t>
  </si>
  <si>
    <t>FAS 133 Deriv Net Liability-NonCurr - Hedges</t>
  </si>
  <si>
    <t>FAS 133 Frozen MTM Deriv Liab - NonCur</t>
  </si>
  <si>
    <t>FAS 133 Deriv Margining Liab - NonCurrent</t>
  </si>
  <si>
    <t>FAS 133 Derivative Net Regulatory Asset</t>
  </si>
  <si>
    <t>Asset - Current</t>
  </si>
  <si>
    <t>Derivative Contract Asset - Current</t>
  </si>
  <si>
    <t>139901</t>
  </si>
  <si>
    <t>139901 FAS 133 Derivative Net Asset-Current</t>
  </si>
  <si>
    <t>139903</t>
  </si>
  <si>
    <t>139903 SFAS 133 Trading Asset - Current</t>
  </si>
  <si>
    <t>139911</t>
  </si>
  <si>
    <t>139911 FAS 133 Deriv Net Asset-Current - Hedges</t>
  </si>
  <si>
    <t>139915</t>
  </si>
  <si>
    <t>139915 FAS 133 Deriv Margining Asset - Current</t>
  </si>
  <si>
    <t>Asset - Noncurrent</t>
  </si>
  <si>
    <t>Derivative Contract Asset - Noncurrent</t>
  </si>
  <si>
    <t>185901</t>
  </si>
  <si>
    <t>185901 FAS 133 Derivative Net Asset-NonCurrent</t>
  </si>
  <si>
    <t>185903</t>
  </si>
  <si>
    <t>185903 SFAS 133 Trading Asset - NonCurrent</t>
  </si>
  <si>
    <t>185911</t>
  </si>
  <si>
    <t>185911 FAS 133 Deriv Net Asset-NonCurrent - Hedges</t>
  </si>
  <si>
    <t>185915</t>
  </si>
  <si>
    <t>185915 FAS 133 Deriv Margining Asset - NonCurrent</t>
  </si>
  <si>
    <t>Liability - Current</t>
  </si>
  <si>
    <t>Derivative Contract Liability - Current</t>
  </si>
  <si>
    <t>248901</t>
  </si>
  <si>
    <t>248901 FAS 133 Derivative Net Liability-Current</t>
  </si>
  <si>
    <t>248903</t>
  </si>
  <si>
    <t>248903 SFAS 133 Trading Liability - Current</t>
  </si>
  <si>
    <t>248911</t>
  </si>
  <si>
    <t>248911 FAS 133 Deriv Net Liability-Current - Hedges</t>
  </si>
  <si>
    <t>248912</t>
  </si>
  <si>
    <t>248912 FAS 133 Frozen MTM Deriv Liab - Current</t>
  </si>
  <si>
    <t>248915</t>
  </si>
  <si>
    <t>248915 FAS 133 Deriv Margining Liab - Current</t>
  </si>
  <si>
    <t>Liability - Noncurrent</t>
  </si>
  <si>
    <t>Derivative Contract Liability - Noncurrent</t>
  </si>
  <si>
    <t>283901</t>
  </si>
  <si>
    <t>283901 FAS 133 Derivative Net Liability-NonCurrent</t>
  </si>
  <si>
    <t>283903</t>
  </si>
  <si>
    <t>283903 SFAS 133 Trading Liability - NonCurrent</t>
  </si>
  <si>
    <t>283911</t>
  </si>
  <si>
    <t>283911 FAS 133 Deriv Net Liability-NonCurr - Hedges</t>
  </si>
  <si>
    <t>283912</t>
  </si>
  <si>
    <t>283912 FAS 133 Frozen MTM Deriv Liab - NonCur</t>
  </si>
  <si>
    <t>283915</t>
  </si>
  <si>
    <t>283915 FAS 133 Deriv Margining Liab - NonCurrent</t>
  </si>
  <si>
    <t>186901</t>
  </si>
  <si>
    <t>186901 FAS 133 Derivative Net Regulatory Asset</t>
  </si>
  <si>
    <t>1) Reclassified the derivative assets and liabilities from current assets and liabilities to investments.</t>
  </si>
  <si>
    <t>All derivative instruments were originally classified as either current assets or current liabilities and are net of any cash collateral outstanding. However, the associated regulatory asset for the derivative instruments, which is not included in rate base, was recorded in the investments column. PacifiCorp believes that the regulatory asset should be recorded in same column as the derivative instruments, either current assets or investments, to properly reflect the offset. 
As the net balance sheet amount of the derivative accounts (i.e., instruments, cash collateral outstanding and regulatory asset) primarily represents the net amount of cash collateral posted or received, PacifiCorp believes that all derivative associated accounts should be recorded in the investment column.  This position is based on some amount of interest being applied to all cash collateral posted or received. This approach is consistent with the treatment of temporary investments.</t>
  </si>
  <si>
    <t>None of the investments reclassified to current assets and liabilities have been allocated to WA. Therefore, the WA investment allocation percentage has increased as the amount of total company-wide investments has been reduced while the amount of WA allocated investments has remained constant.
In addition, PacifiCorp include in the WA allocated investments WA's share of balances, that are not currently earning a return, that were classified as "non-utility" only as a result of being recovered outside the GRC. As no return is provided on those amounts, WA's share of those balance should be included in the WA allocated investment to allow for PacifiCorp to be compensated for PacifiCorp's financing costs.</t>
  </si>
  <si>
    <t>Basic approach, only make changes to the larger items</t>
  </si>
  <si>
    <t xml:space="preserve">   Reclassify derivative assets and liabilities from current to investments (1)</t>
  </si>
  <si>
    <t>Pension and Postretirement Welfare liabilities</t>
  </si>
  <si>
    <t>Collateral Received</t>
  </si>
  <si>
    <t>Collateral Pledged</t>
  </si>
  <si>
    <t>Amounts related the frozen marks include a current asset, non-current asset, current liability, non-current liability and an offsetting net regulatory asset as these are non-cash accounts that do not impact the P/L. PacifiCorp believes that all amounts related to the frozen marks should be included in either the current or investment column and not impact the new working capital adjustment. 
Historically only the current asset and current liability were classified as current in the working capital analysis. To be consistent with treatment of derivative, the current portions should be moved from current assets and liabilities to investments.</t>
  </si>
  <si>
    <t>Investor Supplied Working Capital (ISWC) Model</t>
  </si>
  <si>
    <t>As approved in Docket UE-100749</t>
  </si>
  <si>
    <t>Adjustment based on increase to WA investment allocation % based on reduction in overall investments (5)</t>
  </si>
  <si>
    <t>5) Adjustment based on change to WA investment allocation  %</t>
  </si>
  <si>
    <t>Amounts to be reclassified from investments to current assets</t>
  </si>
  <si>
    <t>Account Review (FAS 133 derivative balances)</t>
  </si>
  <si>
    <t>Account Review (frozen mark, pension, deferred taxes balances)</t>
  </si>
  <si>
    <t>Updated for 12ME June 2012 AMA</t>
  </si>
  <si>
    <t>As approved in Docket UE-100749 with Proposed Modifications</t>
  </si>
  <si>
    <t>Impact of modifications</t>
  </si>
  <si>
    <t xml:space="preserve">   Reclassify deferred taxes of pension and OPEB from investments to current (3)</t>
  </si>
  <si>
    <t xml:space="preserve">   Reclassify current frozen mark accounts from current to investment (4)</t>
  </si>
  <si>
    <t>3) Reclassified the deferred taxes of pension and OPEB from investments to current assets and liabilities</t>
  </si>
  <si>
    <t>Under the current model, all accumulated deferred income tax balances are included in the investments column. In conjunction with reclassifying pension and OBEP liabilities and their associated regulatory asset balances to the current assets and current liabilities columns, the associated accumulated deferred income taxes should also be reclassified to the current assets and current liabilities columns.</t>
  </si>
  <si>
    <t>4) Reclassified the regulatory asset and non-current portion of frozen MTM asset and liability from investments to current assets and liabilities.</t>
  </si>
</sst>
</file>

<file path=xl/styles.xml><?xml version="1.0" encoding="utf-8"?>
<styleSheet xmlns="http://schemas.openxmlformats.org/spreadsheetml/2006/main">
  <numFmts count="19">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409]mmm\-yy;@"/>
    <numFmt numFmtId="168" formatCode="mm/dd/yyyy"/>
    <numFmt numFmtId="169" formatCode="0.0"/>
    <numFmt numFmtId="170" formatCode="_-* #,##0\ &quot;F&quot;_-;\-* #,##0\ &quot;F&quot;_-;_-* &quot;-&quot;\ &quot;F&quot;_-;_-@_-"/>
    <numFmt numFmtId="171" formatCode="&quot;$&quot;###0;[Red]\(&quot;$&quot;###0\)"/>
    <numFmt numFmtId="172" formatCode="&quot;$&quot;#,##0\ ;\(&quot;$&quot;#,##0\)"/>
    <numFmt numFmtId="173" formatCode="########\-###\-###"/>
    <numFmt numFmtId="174" formatCode="#,##0.000;[Red]\-#,##0.000"/>
    <numFmt numFmtId="175" formatCode="#,##0.0_);\(#,##0.0\);\-\ ;"/>
    <numFmt numFmtId="176" formatCode="#,##0.0000"/>
    <numFmt numFmtId="177" formatCode="mmm\ dd\,\ yyyy"/>
    <numFmt numFmtId="178" formatCode="General_)"/>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2"/>
      <name val="Times New Roman"/>
      <family val="1"/>
    </font>
    <font>
      <sz val="12"/>
      <color rgb="FFFF0000"/>
      <name val="Times New Roman"/>
      <family val="1"/>
    </font>
    <font>
      <b/>
      <sz val="12"/>
      <color indexed="8"/>
      <name val="Times New Roman"/>
      <family val="1"/>
    </font>
    <font>
      <sz val="10"/>
      <color indexed="8"/>
      <name val="Arial"/>
      <family val="2"/>
    </font>
    <font>
      <sz val="12"/>
      <color indexed="8"/>
      <name val="Times New Roman"/>
      <family val="1"/>
    </font>
    <font>
      <b/>
      <sz val="8"/>
      <color indexed="81"/>
      <name val="Tahoma"/>
      <family val="2"/>
    </font>
    <font>
      <sz val="8"/>
      <color indexed="81"/>
      <name val="Tahoma"/>
      <family val="2"/>
    </font>
    <font>
      <b/>
      <sz val="10"/>
      <name val="Arial"/>
      <family val="2"/>
    </font>
    <font>
      <b/>
      <sz val="11"/>
      <color theme="1"/>
      <name val="Calibri"/>
      <family val="2"/>
      <scheme val="minor"/>
    </font>
    <font>
      <b/>
      <sz val="14"/>
      <color theme="1"/>
      <name val="Calibri"/>
      <family val="2"/>
      <scheme val="minor"/>
    </font>
    <font>
      <sz val="10"/>
      <color theme="1"/>
      <name val="Calibri"/>
      <family val="2"/>
      <scheme val="minor"/>
    </font>
    <font>
      <b/>
      <sz val="9"/>
      <name val="Arial"/>
      <family val="2"/>
    </font>
    <font>
      <sz val="9"/>
      <name val="Arial"/>
      <family val="2"/>
    </font>
    <font>
      <sz val="9"/>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39"/>
      <name val="Arial"/>
      <family val="2"/>
    </font>
    <font>
      <b/>
      <sz val="10"/>
      <color indexed="8"/>
      <name val="Arial"/>
      <family val="2"/>
    </font>
    <font>
      <b/>
      <sz val="12"/>
      <color indexed="8"/>
      <name val="Arial"/>
      <family val="2"/>
    </font>
    <font>
      <sz val="10"/>
      <color indexed="8"/>
      <name val="Arial"/>
      <family val="2"/>
    </font>
    <font>
      <b/>
      <sz val="16"/>
      <color indexed="23"/>
      <name val="Arial"/>
      <family val="2"/>
    </font>
    <font>
      <sz val="10"/>
      <color indexed="10"/>
      <name val="Arial"/>
      <family val="2"/>
    </font>
    <font>
      <u/>
      <sz val="10"/>
      <color indexed="12"/>
      <name val="Arial"/>
      <family val="2"/>
    </font>
    <font>
      <b/>
      <sz val="12"/>
      <color indexed="8"/>
      <name val="Arial"/>
      <family val="2"/>
    </font>
    <font>
      <b/>
      <sz val="16"/>
      <color indexed="23"/>
      <name val="Arial"/>
      <family val="2"/>
    </font>
    <font>
      <b/>
      <sz val="8"/>
      <color theme="1"/>
      <name val="Garamond"/>
      <family val="1"/>
    </font>
    <font>
      <sz val="8"/>
      <color theme="1"/>
      <name val="Garamond"/>
      <family val="1"/>
    </font>
    <font>
      <sz val="7"/>
      <color theme="1"/>
      <name val="Garamond"/>
      <family val="1"/>
    </font>
    <font>
      <sz val="8"/>
      <name val="Garamond"/>
      <family val="1"/>
    </font>
    <font>
      <b/>
      <sz val="8"/>
      <color indexed="8"/>
      <name val="Garamond"/>
      <family val="1"/>
    </font>
    <font>
      <sz val="8"/>
      <color indexed="8"/>
      <name val="Garamond"/>
      <family val="1"/>
    </font>
    <font>
      <sz val="11"/>
      <color theme="1"/>
      <name val="Arial"/>
      <family val="2"/>
    </font>
    <font>
      <sz val="10"/>
      <name val="Courier"/>
      <family val="3"/>
    </font>
    <font>
      <sz val="10"/>
      <color indexed="8"/>
      <name val="Helv"/>
    </font>
    <font>
      <sz val="12"/>
      <color indexed="24"/>
      <name val="Arial"/>
      <family val="2"/>
    </font>
    <font>
      <sz val="10"/>
      <name val="Helv"/>
    </font>
    <font>
      <sz val="10"/>
      <color indexed="24"/>
      <name val="Courier New"/>
      <family val="3"/>
    </font>
    <font>
      <sz val="8"/>
      <name val="Helv"/>
    </font>
    <font>
      <sz val="7"/>
      <name val="Arial"/>
      <family val="2"/>
    </font>
    <font>
      <sz val="8"/>
      <name val="Arial"/>
      <family val="2"/>
    </font>
    <font>
      <b/>
      <sz val="16"/>
      <name val="Times New Roman"/>
      <family val="1"/>
    </font>
    <font>
      <b/>
      <sz val="12"/>
      <name val="Arial"/>
      <family val="2"/>
    </font>
    <font>
      <b/>
      <sz val="8"/>
      <name val="Arial"/>
      <family val="2"/>
    </font>
    <font>
      <sz val="11"/>
      <color indexed="8"/>
      <name val="TimesNewRomanPS"/>
    </font>
    <font>
      <sz val="10"/>
      <color indexed="11"/>
      <name val="Geneva"/>
      <family val="2"/>
    </font>
    <font>
      <sz val="8"/>
      <color indexed="18"/>
      <name val="Arial"/>
      <family val="2"/>
    </font>
    <font>
      <b/>
      <sz val="8"/>
      <color indexed="8"/>
      <name val="Arial"/>
      <family val="2"/>
    </font>
    <font>
      <b/>
      <sz val="14"/>
      <name val="Arial"/>
      <family val="2"/>
    </font>
    <font>
      <sz val="12"/>
      <name val="Arial MT"/>
    </font>
    <font>
      <sz val="10"/>
      <name val="LinePrinter"/>
    </font>
    <font>
      <sz val="8"/>
      <color indexed="12"/>
      <name val="Arial"/>
      <family val="2"/>
    </font>
  </fonts>
  <fills count="71">
    <fill>
      <patternFill patternType="none"/>
    </fill>
    <fill>
      <patternFill patternType="gray125"/>
    </fill>
    <fill>
      <patternFill patternType="solid">
        <fgColor indexed="23"/>
        <bgColor indexed="0"/>
      </patternFill>
    </fill>
    <fill>
      <patternFill patternType="solid">
        <fgColor indexed="41"/>
      </patternFill>
    </fill>
    <fill>
      <patternFill patternType="solid">
        <fgColor rgb="FFFFFF00"/>
        <bgColor indexed="64"/>
      </patternFill>
    </fill>
    <fill>
      <patternFill patternType="solid">
        <fgColor indexed="19"/>
        <bgColor indexed="64"/>
      </patternFill>
    </fill>
    <fill>
      <patternFill patternType="solid">
        <fgColor indexed="43"/>
        <bgColor indexed="64"/>
      </patternFill>
    </fill>
    <fill>
      <patternFill patternType="solid">
        <fgColor theme="4" tint="0.79998168889431442"/>
        <bgColor theme="4" tint="0.7999816888943144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indexed="9"/>
        <bgColor indexed="41"/>
      </patternFill>
    </fill>
    <fill>
      <patternFill patternType="solid">
        <fgColor indexed="9"/>
        <bgColor indexed="40"/>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rgb="FFFF999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medium">
        <color indexed="64"/>
      </left>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n">
        <color theme="4" tint="0.39997558519241921"/>
      </bottom>
      <diagonal/>
    </border>
    <border>
      <left/>
      <right style="medium">
        <color indexed="64"/>
      </right>
      <top style="medium">
        <color indexed="64"/>
      </top>
      <bottom style="medium">
        <color indexed="64"/>
      </bottom>
      <diagonal/>
    </border>
    <border>
      <left/>
      <right/>
      <top style="thin">
        <color theme="4"/>
      </top>
      <bottom style="thin">
        <color theme="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8"/>
      </right>
      <top/>
      <bottom style="thin">
        <color indexed="8"/>
      </bottom>
      <diagonal/>
    </border>
    <border>
      <left/>
      <right style="medium">
        <color indexed="64"/>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8"/>
      </left>
      <right style="medium">
        <color indexed="64"/>
      </right>
      <top/>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hair">
        <color indexed="64"/>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349">
    <xf numFmtId="0" fontId="0" fillId="0" borderId="0"/>
    <xf numFmtId="43" fontId="12" fillId="0" borderId="0" applyFont="0" applyFill="0" applyBorder="0" applyAlignment="0" applyProtection="0"/>
    <xf numFmtId="9" fontId="12" fillId="0" borderId="0" applyFont="0" applyFill="0" applyBorder="0" applyAlignment="0" applyProtection="0"/>
    <xf numFmtId="0" fontId="17" fillId="0" borderId="0"/>
    <xf numFmtId="4" fontId="17" fillId="3" borderId="7" applyNumberFormat="0" applyProtection="0">
      <alignment horizontal="right" vertical="center"/>
    </xf>
    <xf numFmtId="0" fontId="12" fillId="0" borderId="0"/>
    <xf numFmtId="0" fontId="11" fillId="0" borderId="0"/>
    <xf numFmtId="43" fontId="11" fillId="0" borderId="0" applyFont="0" applyFill="0" applyBorder="0" applyAlignment="0" applyProtection="0"/>
    <xf numFmtId="0" fontId="12" fillId="0" borderId="0"/>
    <xf numFmtId="0" fontId="10" fillId="0" borderId="0"/>
    <xf numFmtId="4" fontId="17" fillId="0" borderId="7" applyNumberFormat="0" applyProtection="0">
      <alignment horizontal="left" vertical="center" indent="1"/>
    </xf>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2" fillId="0" borderId="0"/>
    <xf numFmtId="0" fontId="9" fillId="8" borderId="24" applyNumberFormat="0" applyFont="0" applyAlignment="0" applyProtection="0"/>
    <xf numFmtId="0" fontId="9" fillId="8" borderId="24" applyNumberFormat="0" applyFont="0" applyAlignment="0" applyProtection="0"/>
    <xf numFmtId="0" fontId="9" fillId="8" borderId="24" applyNumberFormat="0" applyFont="0" applyAlignment="0" applyProtection="0"/>
    <xf numFmtId="0" fontId="9" fillId="0" borderId="0"/>
    <xf numFmtId="0" fontId="29" fillId="0" borderId="0" applyNumberFormat="0" applyFill="0" applyBorder="0" applyAlignment="0" applyProtection="0"/>
    <xf numFmtId="0" fontId="30" fillId="0" borderId="39" applyNumberFormat="0" applyFill="0" applyAlignment="0" applyProtection="0"/>
    <xf numFmtId="0" fontId="31" fillId="0" borderId="40" applyNumberFormat="0" applyFill="0" applyAlignment="0" applyProtection="0"/>
    <xf numFmtId="0" fontId="32" fillId="0" borderId="41"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42" applyNumberFormat="0" applyAlignment="0" applyProtection="0"/>
    <xf numFmtId="0" fontId="37" fillId="28" borderId="43" applyNumberFormat="0" applyAlignment="0" applyProtection="0"/>
    <xf numFmtId="0" fontId="38" fillId="28" borderId="42" applyNumberFormat="0" applyAlignment="0" applyProtection="0"/>
    <xf numFmtId="0" fontId="39" fillId="0" borderId="44" applyNumberFormat="0" applyFill="0" applyAlignment="0" applyProtection="0"/>
    <xf numFmtId="0" fontId="40" fillId="29" borderId="4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2" fillId="0" borderId="46" applyNumberFormat="0" applyFill="0" applyAlignment="0" applyProtection="0"/>
    <xf numFmtId="0" fontId="43" fillId="30"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43" fillId="33" borderId="0" applyNumberFormat="0" applyBorder="0" applyAlignment="0" applyProtection="0"/>
    <xf numFmtId="0" fontId="43" fillId="34"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3" fillId="41" borderId="0" applyNumberFormat="0" applyBorder="0" applyAlignment="0" applyProtection="0"/>
    <xf numFmtId="0" fontId="8" fillId="0" borderId="0"/>
    <xf numFmtId="0" fontId="8" fillId="8" borderId="24" applyNumberFormat="0" applyFont="0" applyAlignment="0" applyProtection="0"/>
    <xf numFmtId="0" fontId="28" fillId="0" borderId="0"/>
    <xf numFmtId="43" fontId="28" fillId="0" borderId="0" applyFont="0" applyFill="0" applyBorder="0" applyAlignment="0" applyProtection="0"/>
    <xf numFmtId="4" fontId="17" fillId="6" borderId="47" applyNumberFormat="0" applyProtection="0">
      <alignment vertical="center"/>
    </xf>
    <xf numFmtId="4" fontId="44" fillId="6" borderId="47" applyNumberFormat="0" applyProtection="0">
      <alignment vertical="center"/>
    </xf>
    <xf numFmtId="4" fontId="17" fillId="6" borderId="47" applyNumberFormat="0" applyProtection="0">
      <alignment horizontal="left" vertical="center" indent="1"/>
    </xf>
    <xf numFmtId="4" fontId="17" fillId="6" borderId="47" applyNumberFormat="0" applyProtection="0">
      <alignment horizontal="left" vertical="center" indent="1"/>
    </xf>
    <xf numFmtId="0" fontId="28" fillId="42" borderId="47" applyNumberFormat="0" applyProtection="0">
      <alignment horizontal="left" vertical="center" indent="1"/>
    </xf>
    <xf numFmtId="4" fontId="17" fillId="43" borderId="47" applyNumberFormat="0" applyProtection="0">
      <alignment horizontal="right" vertical="center"/>
    </xf>
    <xf numFmtId="4" fontId="17" fillId="44" borderId="47" applyNumberFormat="0" applyProtection="0">
      <alignment horizontal="right" vertical="center"/>
    </xf>
    <xf numFmtId="4" fontId="17" fillId="45" borderId="47" applyNumberFormat="0" applyProtection="0">
      <alignment horizontal="right" vertical="center"/>
    </xf>
    <xf numFmtId="4" fontId="17" fillId="46" borderId="47" applyNumberFormat="0" applyProtection="0">
      <alignment horizontal="right" vertical="center"/>
    </xf>
    <xf numFmtId="4" fontId="17" fillId="47" borderId="47" applyNumberFormat="0" applyProtection="0">
      <alignment horizontal="right" vertical="center"/>
    </xf>
    <xf numFmtId="4" fontId="17" fillId="48" borderId="47" applyNumberFormat="0" applyProtection="0">
      <alignment horizontal="right" vertical="center"/>
    </xf>
    <xf numFmtId="4" fontId="17" fillId="49" borderId="47" applyNumberFormat="0" applyProtection="0">
      <alignment horizontal="right" vertical="center"/>
    </xf>
    <xf numFmtId="4" fontId="17" fillId="50" borderId="47" applyNumberFormat="0" applyProtection="0">
      <alignment horizontal="right" vertical="center"/>
    </xf>
    <xf numFmtId="4" fontId="17" fillId="51" borderId="47" applyNumberFormat="0" applyProtection="0">
      <alignment horizontal="right" vertical="center"/>
    </xf>
    <xf numFmtId="4" fontId="45" fillId="52" borderId="47" applyNumberFormat="0" applyProtection="0">
      <alignment horizontal="left" vertical="center" indent="1"/>
    </xf>
    <xf numFmtId="4" fontId="17" fillId="53" borderId="48" applyNumberFormat="0" applyProtection="0">
      <alignment horizontal="left" vertical="center" indent="1"/>
    </xf>
    <xf numFmtId="4" fontId="46" fillId="54" borderId="0" applyNumberFormat="0" applyProtection="0">
      <alignment horizontal="left" vertical="center" indent="1"/>
    </xf>
    <xf numFmtId="0" fontId="28" fillId="42" borderId="47" applyNumberFormat="0" applyProtection="0">
      <alignment horizontal="left" vertical="center" indent="1"/>
    </xf>
    <xf numFmtId="4" fontId="47" fillId="53" borderId="47" applyNumberFormat="0" applyProtection="0">
      <alignment horizontal="left" vertical="center" indent="1"/>
    </xf>
    <xf numFmtId="4" fontId="47" fillId="55" borderId="47" applyNumberFormat="0" applyProtection="0">
      <alignment horizontal="left" vertical="center" indent="1"/>
    </xf>
    <xf numFmtId="0" fontId="28" fillId="55" borderId="47" applyNumberFormat="0" applyProtection="0">
      <alignment horizontal="left" vertical="center" indent="1"/>
    </xf>
    <xf numFmtId="0" fontId="28" fillId="55" borderId="47" applyNumberFormat="0" applyProtection="0">
      <alignment horizontal="left" vertical="center" indent="1"/>
    </xf>
    <xf numFmtId="0" fontId="28" fillId="56" borderId="47" applyNumberFormat="0" applyProtection="0">
      <alignment horizontal="left" vertical="center" indent="1"/>
    </xf>
    <xf numFmtId="0" fontId="28" fillId="56" borderId="47" applyNumberFormat="0" applyProtection="0">
      <alignment horizontal="left" vertical="center" indent="1"/>
    </xf>
    <xf numFmtId="0" fontId="28" fillId="57" borderId="47" applyNumberFormat="0" applyProtection="0">
      <alignment horizontal="left" vertical="center" indent="1"/>
    </xf>
    <xf numFmtId="0" fontId="28" fillId="57" borderId="47" applyNumberFormat="0" applyProtection="0">
      <alignment horizontal="left" vertical="center" indent="1"/>
    </xf>
    <xf numFmtId="0" fontId="28" fillId="42" borderId="47" applyNumberFormat="0" applyProtection="0">
      <alignment horizontal="left" vertical="center" indent="1"/>
    </xf>
    <xf numFmtId="0" fontId="28" fillId="42" borderId="47" applyNumberFormat="0" applyProtection="0">
      <alignment horizontal="left" vertical="center" indent="1"/>
    </xf>
    <xf numFmtId="4" fontId="17" fillId="58" borderId="47" applyNumberFormat="0" applyProtection="0">
      <alignment vertical="center"/>
    </xf>
    <xf numFmtId="4" fontId="44" fillId="58" borderId="47" applyNumberFormat="0" applyProtection="0">
      <alignment vertical="center"/>
    </xf>
    <xf numFmtId="4" fontId="17" fillId="58" borderId="47" applyNumberFormat="0" applyProtection="0">
      <alignment horizontal="left" vertical="center" indent="1"/>
    </xf>
    <xf numFmtId="4" fontId="17" fillId="58" borderId="47" applyNumberFormat="0" applyProtection="0">
      <alignment horizontal="left" vertical="center" indent="1"/>
    </xf>
    <xf numFmtId="4" fontId="17" fillId="53" borderId="47" applyNumberFormat="0" applyProtection="0">
      <alignment horizontal="right" vertical="center"/>
    </xf>
    <xf numFmtId="4" fontId="44" fillId="53" borderId="47" applyNumberFormat="0" applyProtection="0">
      <alignment horizontal="right" vertical="center"/>
    </xf>
    <xf numFmtId="0" fontId="28" fillId="42" borderId="47" applyNumberFormat="0" applyProtection="0">
      <alignment horizontal="left" vertical="center" indent="1"/>
    </xf>
    <xf numFmtId="0" fontId="28" fillId="42" borderId="47" applyNumberFormat="0" applyProtection="0">
      <alignment horizontal="left" vertical="center" indent="1"/>
    </xf>
    <xf numFmtId="0" fontId="48" fillId="0" borderId="0"/>
    <xf numFmtId="4" fontId="49" fillId="53" borderId="47" applyNumberFormat="0" applyProtection="0">
      <alignment horizontal="right" vertical="center"/>
    </xf>
    <xf numFmtId="43" fontId="12" fillId="0" borderId="0" applyFont="0" applyFill="0" applyBorder="0" applyAlignment="0" applyProtection="0"/>
    <xf numFmtId="0" fontId="50" fillId="0" borderId="0" applyNumberFormat="0" applyFill="0" applyBorder="0" applyAlignment="0" applyProtection="0">
      <alignment vertical="top"/>
      <protection locked="0"/>
    </xf>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2" fillId="42" borderId="47" applyNumberFormat="0" applyProtection="0">
      <alignment horizontal="left" vertical="center" indent="1"/>
    </xf>
    <xf numFmtId="0" fontId="8" fillId="13"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4" fontId="17" fillId="0" borderId="7" applyNumberFormat="0" applyProtection="0">
      <alignment horizontal="left" vertical="center" indent="1"/>
    </xf>
    <xf numFmtId="0" fontId="8" fillId="0" borderId="0"/>
    <xf numFmtId="43" fontId="8" fillId="0" borderId="0" applyFont="0" applyFill="0" applyBorder="0" applyAlignment="0" applyProtection="0"/>
    <xf numFmtId="0" fontId="8" fillId="0" borderId="0"/>
    <xf numFmtId="4" fontId="51" fillId="54" borderId="0" applyNumberFormat="0" applyProtection="0">
      <alignment horizontal="left" vertical="center" indent="1"/>
    </xf>
    <xf numFmtId="0" fontId="12" fillId="42" borderId="47" applyNumberFormat="0" applyProtection="0">
      <alignment horizontal="left" vertical="center" indent="1"/>
    </xf>
    <xf numFmtId="4" fontId="17" fillId="53" borderId="47" applyNumberFormat="0" applyProtection="0">
      <alignment horizontal="left" vertical="center" indent="1"/>
    </xf>
    <xf numFmtId="4" fontId="17" fillId="55" borderId="47" applyNumberFormat="0" applyProtection="0">
      <alignment horizontal="left" vertical="center" indent="1"/>
    </xf>
    <xf numFmtId="0" fontId="12" fillId="55" borderId="47" applyNumberFormat="0" applyProtection="0">
      <alignment horizontal="left" vertical="center" indent="1"/>
    </xf>
    <xf numFmtId="0" fontId="12" fillId="55" borderId="47" applyNumberFormat="0" applyProtection="0">
      <alignment horizontal="left" vertical="center" indent="1"/>
    </xf>
    <xf numFmtId="0" fontId="12" fillId="56" borderId="47" applyNumberFormat="0" applyProtection="0">
      <alignment horizontal="left" vertical="center" indent="1"/>
    </xf>
    <xf numFmtId="0" fontId="12" fillId="56" borderId="47" applyNumberFormat="0" applyProtection="0">
      <alignment horizontal="left" vertical="center" indent="1"/>
    </xf>
    <xf numFmtId="0" fontId="12" fillId="57" borderId="47" applyNumberFormat="0" applyProtection="0">
      <alignment horizontal="left" vertical="center" indent="1"/>
    </xf>
    <xf numFmtId="0" fontId="12" fillId="57" borderId="47" applyNumberFormat="0" applyProtection="0">
      <alignment horizontal="left" vertical="center" indent="1"/>
    </xf>
    <xf numFmtId="0" fontId="12" fillId="42" borderId="47" applyNumberFormat="0" applyProtection="0">
      <alignment horizontal="left" vertical="center" indent="1"/>
    </xf>
    <xf numFmtId="0" fontId="12" fillId="42" borderId="47" applyNumberFormat="0" applyProtection="0">
      <alignment horizontal="left" vertical="center" indent="1"/>
    </xf>
    <xf numFmtId="4" fontId="17" fillId="3" borderId="7" applyNumberFormat="0" applyProtection="0">
      <alignment horizontal="right" vertical="center"/>
    </xf>
    <xf numFmtId="9" fontId="12" fillId="0" borderId="0" applyFont="0" applyFill="0" applyBorder="0" applyAlignment="0" applyProtection="0"/>
    <xf numFmtId="0" fontId="12" fillId="42" borderId="47" applyNumberFormat="0" applyProtection="0">
      <alignment horizontal="left" vertical="center" indent="1"/>
    </xf>
    <xf numFmtId="0" fontId="12" fillId="42" borderId="47" applyNumberFormat="0" applyProtection="0">
      <alignment horizontal="left" vertical="center" indent="1"/>
    </xf>
    <xf numFmtId="0" fontId="52" fillId="0" borderId="0"/>
    <xf numFmtId="0" fontId="8" fillId="19" borderId="0" applyNumberFormat="0" applyBorder="0" applyAlignment="0" applyProtection="0"/>
    <xf numFmtId="0" fontId="8" fillId="1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8" borderId="24" applyNumberFormat="0" applyFont="0" applyAlignment="0" applyProtection="0"/>
    <xf numFmtId="0" fontId="8" fillId="8" borderId="24" applyNumberFormat="0" applyFont="0" applyAlignment="0" applyProtection="0"/>
    <xf numFmtId="0" fontId="8" fillId="8" borderId="24" applyNumberFormat="0" applyFont="0" applyAlignment="0" applyProtection="0"/>
    <xf numFmtId="0" fontId="8" fillId="0" borderId="0"/>
    <xf numFmtId="0" fontId="5" fillId="0" borderId="0"/>
    <xf numFmtId="0" fontId="5" fillId="19"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8" borderId="24" applyNumberFormat="0" applyFont="0" applyAlignment="0" applyProtection="0"/>
    <xf numFmtId="0" fontId="5" fillId="20" borderId="0" applyNumberFormat="0" applyBorder="0" applyAlignment="0" applyProtection="0"/>
    <xf numFmtId="0" fontId="4" fillId="0" borderId="0"/>
    <xf numFmtId="0" fontId="4" fillId="8" borderId="24" applyNumberFormat="0" applyFont="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 fillId="8" borderId="24" applyNumberFormat="0" applyFont="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 fillId="8" borderId="24" applyNumberFormat="0" applyFont="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43" fontId="12" fillId="0" borderId="0" applyFont="0" applyFill="0" applyBorder="0" applyAlignment="0" applyProtection="0"/>
    <xf numFmtId="43" fontId="59" fillId="0" borderId="0" applyFont="0" applyFill="0" applyBorder="0" applyAlignment="0" applyProtection="0"/>
    <xf numFmtId="0" fontId="60"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 fontId="61" fillId="0" borderId="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9" fillId="0" borderId="0" applyFont="0" applyFill="0" applyBorder="0" applyAlignment="0" applyProtection="0"/>
    <xf numFmtId="3" fontId="62" fillId="0" borderId="0" applyFont="0" applyFill="0" applyBorder="0" applyAlignment="0" applyProtection="0"/>
    <xf numFmtId="0" fontId="63" fillId="0" borderId="0"/>
    <xf numFmtId="0" fontId="63" fillId="0" borderId="0"/>
    <xf numFmtId="3" fontId="64" fillId="0" borderId="0" applyFont="0" applyFill="0" applyBorder="0" applyAlignment="0" applyProtection="0"/>
    <xf numFmtId="0" fontId="63" fillId="0" borderId="0"/>
    <xf numFmtId="44" fontId="12" fillId="0" borderId="0" applyFont="0" applyFill="0" applyBorder="0" applyAlignment="0" applyProtection="0"/>
    <xf numFmtId="44" fontId="12" fillId="0" borderId="0" applyFont="0" applyFill="0" applyBorder="0" applyAlignment="0" applyProtection="0"/>
    <xf numFmtId="171" fontId="65" fillId="0" borderId="0" applyFont="0" applyFill="0" applyBorder="0" applyProtection="0">
      <alignment horizontal="right"/>
    </xf>
    <xf numFmtId="5" fontId="63" fillId="0" borderId="0"/>
    <xf numFmtId="172" fontId="62" fillId="0" borderId="0" applyFont="0" applyFill="0" applyBorder="0" applyAlignment="0" applyProtection="0"/>
    <xf numFmtId="0" fontId="62" fillId="0" borderId="0" applyFont="0" applyFill="0" applyBorder="0" applyAlignment="0" applyProtection="0"/>
    <xf numFmtId="0" fontId="63" fillId="0" borderId="0"/>
    <xf numFmtId="0" fontId="64" fillId="0" borderId="0" applyFont="0" applyFill="0" applyBorder="0" applyAlignment="0" applyProtection="0"/>
    <xf numFmtId="2" fontId="62" fillId="0" borderId="0" applyFont="0" applyFill="0" applyBorder="0" applyAlignment="0" applyProtection="0"/>
    <xf numFmtId="0" fontId="66" fillId="0" borderId="0" applyFont="0" applyFill="0" applyBorder="0" applyAlignment="0" applyProtection="0">
      <alignment horizontal="left"/>
    </xf>
    <xf numFmtId="38" fontId="67" fillId="57" borderId="0" applyNumberFormat="0" applyBorder="0" applyAlignment="0" applyProtection="0"/>
    <xf numFmtId="0" fontId="68" fillId="0" borderId="0"/>
    <xf numFmtId="0" fontId="69" fillId="0" borderId="25" applyNumberFormat="0" applyAlignment="0" applyProtection="0">
      <alignment horizontal="left" vertical="center"/>
    </xf>
    <xf numFmtId="0" fontId="69" fillId="0" borderId="4">
      <alignment horizontal="left" vertical="center"/>
    </xf>
    <xf numFmtId="10" fontId="67" fillId="58" borderId="1" applyNumberFormat="0" applyBorder="0" applyAlignment="0" applyProtection="0"/>
    <xf numFmtId="173" fontId="12" fillId="0" borderId="0"/>
    <xf numFmtId="169" fontId="70" fillId="0" borderId="0" applyNumberFormat="0" applyFill="0" applyBorder="0" applyAlignment="0" applyProtection="0"/>
    <xf numFmtId="37" fontId="71" fillId="0" borderId="0" applyNumberFormat="0" applyFill="0" applyBorder="0"/>
    <xf numFmtId="0" fontId="67" fillId="0" borderId="53" applyNumberFormat="0" applyBorder="0" applyAlignment="0"/>
    <xf numFmtId="174" fontId="12" fillId="0" borderId="0"/>
    <xf numFmtId="0" fontId="12" fillId="0" borderId="0"/>
    <xf numFmtId="37" fontId="63" fillId="0" borderId="0"/>
    <xf numFmtId="175" fontId="13" fillId="0" borderId="0" applyFont="0" applyFill="0" applyBorder="0" applyProtection="0"/>
    <xf numFmtId="12" fontId="69" fillId="56" borderId="3">
      <alignment horizontal="left"/>
    </xf>
    <xf numFmtId="0" fontId="63" fillId="0" borderId="0"/>
    <xf numFmtId="0" fontId="63" fillId="0" borderId="0"/>
    <xf numFmtId="10" fontId="12" fillId="0" borderId="0" applyFont="0" applyFill="0" applyBorder="0" applyAlignment="0" applyProtection="0"/>
    <xf numFmtId="9" fontId="12" fillId="0" borderId="0" applyFont="0" applyFill="0" applyBorder="0" applyAlignment="0" applyProtection="0"/>
    <xf numFmtId="9" fontId="72" fillId="0" borderId="0"/>
    <xf numFmtId="4" fontId="45" fillId="6" borderId="7" applyNumberFormat="0" applyProtection="0">
      <alignment horizontal="left" vertical="center" indent="1"/>
    </xf>
    <xf numFmtId="4" fontId="45" fillId="6" borderId="7" applyNumberFormat="0" applyProtection="0">
      <alignment horizontal="left" vertical="center" indent="1"/>
    </xf>
    <xf numFmtId="4" fontId="45" fillId="6" borderId="7" applyNumberFormat="0" applyProtection="0">
      <alignment horizontal="left" vertical="center" indent="1"/>
    </xf>
    <xf numFmtId="4" fontId="45" fillId="6" borderId="7" applyNumberFormat="0" applyProtection="0">
      <alignment horizontal="left" vertical="center" indent="1"/>
    </xf>
    <xf numFmtId="4" fontId="45" fillId="63" borderId="7" applyNumberFormat="0" applyProtection="0"/>
    <xf numFmtId="4" fontId="45" fillId="63" borderId="7" applyNumberFormat="0" applyProtection="0"/>
    <xf numFmtId="4" fontId="45" fillId="63" borderId="7" applyNumberFormat="0" applyProtection="0"/>
    <xf numFmtId="4" fontId="17" fillId="3" borderId="0" applyNumberFormat="0" applyProtection="0">
      <alignment horizontal="left" indent="1"/>
    </xf>
    <xf numFmtId="4" fontId="17" fillId="3" borderId="0" applyNumberFormat="0" applyProtection="0">
      <alignment horizontal="left" indent="1"/>
    </xf>
    <xf numFmtId="4" fontId="17" fillId="3" borderId="0" applyNumberFormat="0" applyProtection="0">
      <alignment horizontal="left" indent="1"/>
    </xf>
    <xf numFmtId="4" fontId="17" fillId="3" borderId="0" applyNumberFormat="0" applyProtection="0">
      <alignment horizontal="left" indent="1"/>
    </xf>
    <xf numFmtId="4" fontId="46" fillId="54" borderId="0" applyNumberFormat="0" applyProtection="0">
      <alignment horizontal="left" vertical="center" indent="1"/>
    </xf>
    <xf numFmtId="4" fontId="46" fillId="54" borderId="0" applyNumberFormat="0" applyProtection="0">
      <alignment horizontal="left" vertical="center" indent="1"/>
    </xf>
    <xf numFmtId="4" fontId="73" fillId="64" borderId="0" applyNumberFormat="0" applyProtection="0">
      <alignment horizontal="left" indent="1"/>
    </xf>
    <xf numFmtId="4" fontId="73" fillId="64" borderId="0" applyNumberFormat="0" applyProtection="0">
      <alignment horizontal="left" indent="1"/>
    </xf>
    <xf numFmtId="4" fontId="73" fillId="64" borderId="0" applyNumberFormat="0" applyProtection="0">
      <alignment horizontal="left" indent="1"/>
    </xf>
    <xf numFmtId="4" fontId="73" fillId="64" borderId="0" applyNumberFormat="0" applyProtection="0">
      <alignment horizontal="left" indent="1"/>
    </xf>
    <xf numFmtId="4" fontId="73" fillId="64" borderId="0" applyNumberFormat="0" applyProtection="0">
      <alignment horizontal="left" indent="1"/>
    </xf>
    <xf numFmtId="4" fontId="73" fillId="64" borderId="0" applyNumberFormat="0" applyProtection="0">
      <alignment horizontal="left" indent="1"/>
    </xf>
    <xf numFmtId="4" fontId="73" fillId="64" borderId="0" applyNumberFormat="0" applyProtection="0">
      <alignment horizontal="left" indent="1"/>
    </xf>
    <xf numFmtId="4" fontId="74" fillId="65" borderId="0" applyNumberFormat="0" applyProtection="0"/>
    <xf numFmtId="4" fontId="74" fillId="65" borderId="0" applyNumberFormat="0" applyProtection="0"/>
    <xf numFmtId="4" fontId="74" fillId="65" borderId="0" applyNumberFormat="0" applyProtection="0"/>
    <xf numFmtId="4" fontId="74" fillId="65" borderId="0" applyNumberFormat="0" applyProtection="0"/>
    <xf numFmtId="4" fontId="74" fillId="65" borderId="0" applyNumberFormat="0" applyProtection="0"/>
    <xf numFmtId="4" fontId="74" fillId="65" borderId="0" applyNumberFormat="0" applyProtection="0"/>
    <xf numFmtId="4" fontId="74" fillId="65" borderId="0" applyNumberFormat="0" applyProtection="0"/>
    <xf numFmtId="0" fontId="12" fillId="54" borderId="7" applyNumberFormat="0" applyProtection="0">
      <alignment horizontal="left" vertical="center" indent="1"/>
    </xf>
    <xf numFmtId="0" fontId="12" fillId="54" borderId="7" applyNumberFormat="0" applyProtection="0">
      <alignment horizontal="left" vertical="center" indent="1"/>
    </xf>
    <xf numFmtId="0" fontId="12" fillId="54" borderId="7" applyNumberFormat="0" applyProtection="0">
      <alignment horizontal="left" vertical="top" indent="1"/>
    </xf>
    <xf numFmtId="0" fontId="12" fillId="54" borderId="7" applyNumberFormat="0" applyProtection="0">
      <alignment horizontal="left" vertical="top" indent="1"/>
    </xf>
    <xf numFmtId="0" fontId="12" fillId="63" borderId="7" applyNumberFormat="0" applyProtection="0">
      <alignment horizontal="left" vertical="center" indent="1"/>
    </xf>
    <xf numFmtId="0" fontId="12" fillId="63" borderId="7" applyNumberFormat="0" applyProtection="0">
      <alignment horizontal="left" vertical="center" indent="1"/>
    </xf>
    <xf numFmtId="0" fontId="12" fillId="63" borderId="7" applyNumberFormat="0" applyProtection="0">
      <alignment horizontal="left" vertical="top" indent="1"/>
    </xf>
    <xf numFmtId="0" fontId="12" fillId="63" borderId="7" applyNumberFormat="0" applyProtection="0">
      <alignment horizontal="left" vertical="top" indent="1"/>
    </xf>
    <xf numFmtId="0" fontId="12" fillId="62" borderId="7" applyNumberFormat="0" applyProtection="0">
      <alignment horizontal="left" vertical="center" indent="1"/>
    </xf>
    <xf numFmtId="0" fontId="12" fillId="62" borderId="7" applyNumberFormat="0" applyProtection="0">
      <alignment horizontal="left" vertical="center" indent="1"/>
    </xf>
    <xf numFmtId="0" fontId="12" fillId="62" borderId="7" applyNumberFormat="0" applyProtection="0">
      <alignment horizontal="left" vertical="top" indent="1"/>
    </xf>
    <xf numFmtId="0" fontId="12" fillId="62" borderId="7" applyNumberFormat="0" applyProtection="0">
      <alignment horizontal="left" vertical="top" indent="1"/>
    </xf>
    <xf numFmtId="0" fontId="12" fillId="66" borderId="7" applyNumberFormat="0" applyProtection="0">
      <alignment horizontal="left" vertical="center" indent="1"/>
    </xf>
    <xf numFmtId="0" fontId="12" fillId="66" borderId="7" applyNumberFormat="0" applyProtection="0">
      <alignment horizontal="left" vertical="center" indent="1"/>
    </xf>
    <xf numFmtId="0" fontId="12" fillId="66" borderId="7" applyNumberFormat="0" applyProtection="0">
      <alignment horizontal="left" vertical="top" indent="1"/>
    </xf>
    <xf numFmtId="0" fontId="12" fillId="66" borderId="7" applyNumberFormat="0" applyProtection="0">
      <alignment horizontal="left" vertical="top" indent="1"/>
    </xf>
    <xf numFmtId="4" fontId="17" fillId="0" borderId="7" applyNumberFormat="0" applyProtection="0">
      <alignment horizontal="right" vertical="center"/>
    </xf>
    <xf numFmtId="4" fontId="17" fillId="0" borderId="7" applyNumberFormat="0" applyProtection="0">
      <alignment horizontal="right" vertical="center"/>
    </xf>
    <xf numFmtId="4" fontId="17" fillId="0" borderId="7" applyNumberFormat="0" applyProtection="0">
      <alignment horizontal="left" vertical="center" indent="1"/>
    </xf>
    <xf numFmtId="0" fontId="17" fillId="63" borderId="7" applyNumberFormat="0" applyProtection="0">
      <alignment horizontal="left" vertical="top"/>
    </xf>
    <xf numFmtId="0" fontId="17" fillId="63" borderId="7" applyNumberFormat="0" applyProtection="0">
      <alignment horizontal="left" vertical="top"/>
    </xf>
    <xf numFmtId="0" fontId="17" fillId="63" borderId="7" applyNumberFormat="0" applyProtection="0">
      <alignment horizontal="left" vertical="top"/>
    </xf>
    <xf numFmtId="4" fontId="75" fillId="67" borderId="0" applyNumberFormat="0" applyProtection="0">
      <alignment horizontal="left"/>
    </xf>
    <xf numFmtId="4" fontId="75" fillId="67" borderId="0" applyNumberFormat="0" applyProtection="0">
      <alignment horizontal="left"/>
    </xf>
    <xf numFmtId="4" fontId="75" fillId="67" borderId="0" applyNumberFormat="0" applyProtection="0">
      <alignment horizontal="left"/>
    </xf>
    <xf numFmtId="4" fontId="75" fillId="67" borderId="0" applyNumberFormat="0" applyProtection="0">
      <alignment horizontal="left"/>
    </xf>
    <xf numFmtId="4" fontId="75" fillId="67" borderId="0" applyNumberFormat="0" applyProtection="0">
      <alignment horizontal="left"/>
    </xf>
    <xf numFmtId="4" fontId="75" fillId="67" borderId="0" applyNumberFormat="0" applyProtection="0">
      <alignment horizontal="left"/>
    </xf>
    <xf numFmtId="4" fontId="75" fillId="67" borderId="0" applyNumberFormat="0" applyProtection="0">
      <alignment horizontal="left"/>
    </xf>
    <xf numFmtId="37" fontId="76" fillId="68" borderId="0" applyNumberFormat="0" applyFont="0" applyBorder="0" applyAlignment="0" applyProtection="0"/>
    <xf numFmtId="176" fontId="12" fillId="0" borderId="54">
      <alignment horizontal="justify" vertical="top" wrapText="1"/>
    </xf>
    <xf numFmtId="0" fontId="12" fillId="0" borderId="0">
      <alignment horizontal="left" wrapText="1"/>
    </xf>
    <xf numFmtId="177" fontId="12" fillId="0" borderId="0" applyFill="0" applyBorder="0" applyAlignment="0" applyProtection="0">
      <alignment wrapText="1"/>
    </xf>
    <xf numFmtId="0" fontId="21" fillId="0" borderId="0" applyNumberFormat="0" applyFill="0" applyBorder="0">
      <alignment horizontal="center" wrapText="1"/>
    </xf>
    <xf numFmtId="0" fontId="21" fillId="0" borderId="0" applyNumberFormat="0" applyFill="0" applyBorder="0">
      <alignment horizontal="center" wrapText="1"/>
    </xf>
    <xf numFmtId="0" fontId="21" fillId="0" borderId="1">
      <alignment horizontal="center" vertical="center" wrapText="1"/>
    </xf>
    <xf numFmtId="0" fontId="63" fillId="0" borderId="55"/>
    <xf numFmtId="178" fontId="77" fillId="0" borderId="0">
      <alignment horizontal="left"/>
    </xf>
    <xf numFmtId="0" fontId="63" fillId="0" borderId="56"/>
    <xf numFmtId="37" fontId="67" fillId="6" borderId="0" applyNumberFormat="0" applyBorder="0" applyAlignment="0" applyProtection="0"/>
    <xf numFmtId="37" fontId="67" fillId="0" borderId="0"/>
    <xf numFmtId="3" fontId="78" fillId="69" borderId="57" applyProtection="0"/>
  </cellStyleXfs>
  <cellXfs count="317">
    <xf numFmtId="0" fontId="0" fillId="0" borderId="0" xfId="0"/>
    <xf numFmtId="0" fontId="13" fillId="0" borderId="0" xfId="0" applyFont="1"/>
    <xf numFmtId="164" fontId="13" fillId="0" borderId="0" xfId="1" applyNumberFormat="1" applyFont="1"/>
    <xf numFmtId="0" fontId="13" fillId="0" borderId="0" xfId="0" applyFont="1" applyAlignment="1"/>
    <xf numFmtId="164" fontId="13" fillId="0" borderId="0" xfId="0" applyNumberFormat="1" applyFont="1" applyAlignment="1"/>
    <xf numFmtId="164" fontId="13" fillId="0" borderId="0" xfId="1" applyNumberFormat="1" applyFont="1" applyAlignment="1"/>
    <xf numFmtId="9" fontId="13" fillId="0" borderId="0" xfId="2" applyFont="1" applyAlignment="1"/>
    <xf numFmtId="164" fontId="13" fillId="0" borderId="0" xfId="1" applyNumberFormat="1" applyFont="1" applyFill="1" applyAlignment="1"/>
    <xf numFmtId="10" fontId="13" fillId="0" borderId="0" xfId="2" applyNumberFormat="1" applyFont="1" applyAlignment="1"/>
    <xf numFmtId="10" fontId="13" fillId="0" borderId="0" xfId="2" applyNumberFormat="1" applyFont="1" applyFill="1" applyAlignment="1"/>
    <xf numFmtId="10" fontId="13" fillId="0" borderId="0" xfId="0" applyNumberFormat="1" applyFont="1" applyFill="1" applyAlignment="1"/>
    <xf numFmtId="164" fontId="14" fillId="0" borderId="1" xfId="0" applyNumberFormat="1" applyFont="1" applyFill="1" applyBorder="1" applyAlignment="1"/>
    <xf numFmtId="0" fontId="14" fillId="0" borderId="0" xfId="0" applyFont="1" applyAlignment="1"/>
    <xf numFmtId="164" fontId="14" fillId="0" borderId="0" xfId="1" applyNumberFormat="1" applyFont="1" applyAlignment="1"/>
    <xf numFmtId="164" fontId="15" fillId="0" borderId="0" xfId="0" applyNumberFormat="1" applyFont="1" applyAlignment="1"/>
    <xf numFmtId="165" fontId="13" fillId="0" borderId="0" xfId="2" applyNumberFormat="1" applyFont="1" applyAlignment="1"/>
    <xf numFmtId="164" fontId="16" fillId="0" borderId="0" xfId="1" applyNumberFormat="1" applyFont="1" applyFill="1" applyBorder="1" applyAlignment="1">
      <alignment horizontal="right"/>
    </xf>
    <xf numFmtId="0" fontId="18" fillId="0" borderId="2" xfId="3" applyFont="1" applyFill="1" applyBorder="1" applyAlignment="1"/>
    <xf numFmtId="0" fontId="16" fillId="0" borderId="2" xfId="3" applyFont="1" applyFill="1" applyBorder="1" applyAlignment="1"/>
    <xf numFmtId="0" fontId="18" fillId="0" borderId="2" xfId="3" applyFont="1" applyFill="1" applyBorder="1" applyAlignment="1">
      <alignment horizontal="right"/>
    </xf>
    <xf numFmtId="0" fontId="13" fillId="0" borderId="0" xfId="0" applyFont="1" applyFill="1" applyAlignment="1"/>
    <xf numFmtId="164" fontId="13" fillId="0" borderId="0" xfId="0" applyNumberFormat="1" applyFont="1" applyFill="1" applyAlignment="1"/>
    <xf numFmtId="0" fontId="13" fillId="0" borderId="0" xfId="0" applyFont="1" applyAlignment="1">
      <alignment horizontal="right"/>
    </xf>
    <xf numFmtId="164" fontId="14" fillId="0" borderId="3" xfId="0" applyNumberFormat="1" applyFont="1" applyBorder="1" applyAlignment="1"/>
    <xf numFmtId="164" fontId="14" fillId="0" borderId="3" xfId="0" applyNumberFormat="1" applyFont="1" applyFill="1" applyBorder="1" applyAlignment="1"/>
    <xf numFmtId="164" fontId="14" fillId="0" borderId="0" xfId="0" applyNumberFormat="1" applyFont="1" applyFill="1" applyAlignment="1"/>
    <xf numFmtId="164" fontId="16" fillId="0" borderId="2" xfId="1" applyNumberFormat="1" applyFont="1" applyFill="1" applyBorder="1" applyAlignment="1">
      <alignment horizontal="right"/>
    </xf>
    <xf numFmtId="164" fontId="13" fillId="0" borderId="0" xfId="0" applyNumberFormat="1" applyFont="1" applyBorder="1" applyAlignment="1"/>
    <xf numFmtId="164" fontId="18" fillId="0" borderId="2" xfId="1" applyNumberFormat="1" applyFont="1" applyFill="1" applyBorder="1" applyAlignment="1">
      <alignment horizontal="right"/>
    </xf>
    <xf numFmtId="164" fontId="13" fillId="0" borderId="4" xfId="0" applyNumberFormat="1" applyFont="1" applyBorder="1" applyAlignment="1"/>
    <xf numFmtId="0" fontId="18" fillId="2" borderId="5" xfId="3" applyFont="1" applyFill="1" applyBorder="1" applyAlignment="1">
      <alignment horizontal="center"/>
    </xf>
    <xf numFmtId="164" fontId="13" fillId="0" borderId="0" xfId="1" applyNumberFormat="1" applyFont="1" applyBorder="1" applyAlignment="1"/>
    <xf numFmtId="164" fontId="18" fillId="0" borderId="0" xfId="1" applyNumberFormat="1" applyFont="1" applyFill="1" applyBorder="1" applyAlignment="1">
      <alignment horizontal="right"/>
    </xf>
    <xf numFmtId="164" fontId="13" fillId="0" borderId="4" xfId="1" applyNumberFormat="1" applyFont="1" applyBorder="1" applyAlignment="1"/>
    <xf numFmtId="164" fontId="14" fillId="0" borderId="0" xfId="0" applyNumberFormat="1" applyFont="1" applyAlignment="1"/>
    <xf numFmtId="164" fontId="13" fillId="0" borderId="0" xfId="0" applyNumberFormat="1" applyFont="1" applyAlignment="1">
      <alignment horizontal="right"/>
    </xf>
    <xf numFmtId="164" fontId="14" fillId="0" borderId="6" xfId="0" applyNumberFormat="1" applyFont="1" applyBorder="1" applyAlignment="1"/>
    <xf numFmtId="164" fontId="14" fillId="0" borderId="6" xfId="0" applyNumberFormat="1" applyFont="1" applyFill="1" applyBorder="1" applyAlignment="1"/>
    <xf numFmtId="164" fontId="13" fillId="0" borderId="6" xfId="0" applyNumberFormat="1" applyFont="1" applyBorder="1" applyAlignment="1"/>
    <xf numFmtId="0" fontId="15" fillId="0" borderId="0" xfId="0" applyFont="1" applyAlignment="1"/>
    <xf numFmtId="164" fontId="13" fillId="0" borderId="0" xfId="0" applyNumberFormat="1" applyFont="1" applyFill="1" applyBorder="1" applyAlignment="1"/>
    <xf numFmtId="164" fontId="13" fillId="0" borderId="4" xfId="0" applyNumberFormat="1" applyFont="1" applyFill="1" applyBorder="1" applyAlignment="1"/>
    <xf numFmtId="164" fontId="15" fillId="0" borderId="0" xfId="0" applyNumberFormat="1" applyFont="1" applyFill="1" applyAlignment="1"/>
    <xf numFmtId="166" fontId="13" fillId="0" borderId="0" xfId="2" applyNumberFormat="1" applyFont="1" applyAlignment="1"/>
    <xf numFmtId="167" fontId="18" fillId="0" borderId="5" xfId="1" applyNumberFormat="1" applyFont="1" applyFill="1" applyBorder="1" applyAlignment="1">
      <alignment horizontal="center" wrapText="1"/>
    </xf>
    <xf numFmtId="0" fontId="18" fillId="0" borderId="0" xfId="3" applyFont="1" applyFill="1" applyBorder="1" applyAlignment="1">
      <alignment horizontal="center"/>
    </xf>
    <xf numFmtId="0" fontId="13" fillId="0" borderId="0" xfId="0" applyFont="1" applyFill="1" applyBorder="1" applyAlignment="1">
      <alignment horizontal="center"/>
    </xf>
    <xf numFmtId="0" fontId="18" fillId="0" borderId="5" xfId="3" applyFont="1" applyFill="1" applyBorder="1" applyAlignment="1">
      <alignment horizontal="center"/>
    </xf>
    <xf numFmtId="164" fontId="18" fillId="4" borderId="2" xfId="1" applyNumberFormat="1" applyFont="1" applyFill="1" applyBorder="1" applyAlignment="1">
      <alignment horizontal="right"/>
    </xf>
    <xf numFmtId="0" fontId="21" fillId="0" borderId="0" xfId="5" applyFont="1"/>
    <xf numFmtId="0" fontId="12" fillId="0" borderId="0" xfId="0" applyFont="1"/>
    <xf numFmtId="10" fontId="12" fillId="0" borderId="0" xfId="0" applyNumberFormat="1" applyFont="1"/>
    <xf numFmtId="0" fontId="21" fillId="0" borderId="0" xfId="5" applyFont="1" applyAlignment="1">
      <alignment horizontal="center"/>
    </xf>
    <xf numFmtId="14" fontId="21" fillId="0" borderId="0" xfId="5" applyNumberFormat="1" applyFont="1" applyAlignment="1">
      <alignment horizontal="center"/>
    </xf>
    <xf numFmtId="14" fontId="12" fillId="0" borderId="0" xfId="0" applyNumberFormat="1" applyFont="1" applyAlignment="1">
      <alignment horizontal="center"/>
    </xf>
    <xf numFmtId="0" fontId="21" fillId="0" borderId="10" xfId="5" applyFont="1" applyBorder="1" applyAlignment="1">
      <alignment horizontal="center" vertical="center" wrapText="1"/>
    </xf>
    <xf numFmtId="0" fontId="21" fillId="0" borderId="11" xfId="5" applyFont="1" applyBorder="1" applyAlignment="1">
      <alignment horizontal="center" vertical="center" wrapText="1"/>
    </xf>
    <xf numFmtId="167" fontId="21" fillId="0" borderId="11" xfId="5" applyNumberFormat="1" applyFont="1" applyBorder="1" applyAlignment="1">
      <alignment horizontal="center" vertical="center" wrapText="1"/>
    </xf>
    <xf numFmtId="0" fontId="12" fillId="0" borderId="8" xfId="5" applyFont="1" applyBorder="1" applyAlignment="1">
      <alignment horizontal="left" indent="1"/>
    </xf>
    <xf numFmtId="0" fontId="12" fillId="0" borderId="12" xfId="5" applyFont="1" applyBorder="1" applyAlignment="1">
      <alignment horizontal="center"/>
    </xf>
    <xf numFmtId="41" fontId="12" fillId="0" borderId="12" xfId="0" applyNumberFormat="1" applyFont="1" applyBorder="1"/>
    <xf numFmtId="0" fontId="12" fillId="0" borderId="13" xfId="5" applyFont="1" applyBorder="1" applyAlignment="1">
      <alignment horizontal="left"/>
    </xf>
    <xf numFmtId="0" fontId="12" fillId="0" borderId="14" xfId="5" applyFont="1" applyBorder="1" applyAlignment="1">
      <alignment horizontal="left"/>
    </xf>
    <xf numFmtId="41" fontId="12" fillId="0" borderId="14" xfId="0" applyNumberFormat="1" applyFont="1" applyBorder="1"/>
    <xf numFmtId="41" fontId="12" fillId="0" borderId="0" xfId="0" applyNumberFormat="1" applyFont="1"/>
    <xf numFmtId="0" fontId="12" fillId="0" borderId="8" xfId="0" applyFont="1" applyBorder="1"/>
    <xf numFmtId="0" fontId="12" fillId="0" borderId="0" xfId="0" applyFont="1" applyBorder="1"/>
    <xf numFmtId="0" fontId="12" fillId="0" borderId="15" xfId="0" applyFont="1" applyBorder="1"/>
    <xf numFmtId="0" fontId="21" fillId="0" borderId="16" xfId="5" applyFont="1" applyBorder="1" applyAlignment="1">
      <alignment horizontal="center" vertical="center" wrapText="1"/>
    </xf>
    <xf numFmtId="0" fontId="21" fillId="0" borderId="17" xfId="5" applyFont="1" applyBorder="1" applyAlignment="1">
      <alignment horizontal="center" vertical="center" wrapText="1"/>
    </xf>
    <xf numFmtId="41" fontId="12" fillId="0" borderId="18" xfId="0" applyNumberFormat="1" applyFont="1" applyBorder="1"/>
    <xf numFmtId="0" fontId="12" fillId="0" borderId="0" xfId="0" applyFont="1" applyAlignment="1">
      <alignment horizontal="center"/>
    </xf>
    <xf numFmtId="41" fontId="21" fillId="0" borderId="18" xfId="0" applyNumberFormat="1" applyFont="1" applyBorder="1"/>
    <xf numFmtId="0" fontId="21" fillId="0" borderId="0" xfId="0" applyFont="1"/>
    <xf numFmtId="0" fontId="12" fillId="0" borderId="0" xfId="0" applyFont="1" applyAlignment="1">
      <alignment horizontal="right"/>
    </xf>
    <xf numFmtId="10" fontId="12" fillId="0" borderId="0" xfId="2" applyNumberFormat="1" applyFont="1"/>
    <xf numFmtId="166" fontId="12" fillId="0" borderId="0" xfId="2" applyNumberFormat="1" applyFont="1"/>
    <xf numFmtId="164" fontId="12" fillId="0" borderId="9" xfId="1" applyNumberFormat="1" applyFont="1" applyBorder="1"/>
    <xf numFmtId="164" fontId="12" fillId="0" borderId="0" xfId="1" applyNumberFormat="1" applyFont="1" applyBorder="1"/>
    <xf numFmtId="0" fontId="13" fillId="0" borderId="0" xfId="0" applyFont="1" applyAlignment="1">
      <alignment horizontal="center"/>
    </xf>
    <xf numFmtId="0" fontId="12" fillId="5" borderId="0" xfId="8" applyNumberFormat="1" applyFill="1"/>
    <xf numFmtId="0" fontId="12" fillId="5" borderId="0" xfId="8" applyNumberFormat="1" applyFont="1" applyFill="1"/>
    <xf numFmtId="0" fontId="12" fillId="6" borderId="0" xfId="8" applyFont="1" applyFill="1" applyAlignment="1">
      <alignment horizontal="left"/>
    </xf>
    <xf numFmtId="0" fontId="12" fillId="0" borderId="0" xfId="8"/>
    <xf numFmtId="0" fontId="12" fillId="6" borderId="0" xfId="8" applyNumberFormat="1" applyFill="1"/>
    <xf numFmtId="164" fontId="0" fillId="0" borderId="0" xfId="1" applyNumberFormat="1" applyFont="1"/>
    <xf numFmtId="0" fontId="12" fillId="0" borderId="0" xfId="8" applyNumberFormat="1"/>
    <xf numFmtId="0" fontId="12" fillId="5" borderId="0" xfId="8" applyFill="1"/>
    <xf numFmtId="0" fontId="12" fillId="6" borderId="0" xfId="8" applyFill="1" applyAlignment="1">
      <alignment horizontal="left"/>
    </xf>
    <xf numFmtId="49" fontId="12" fillId="6" borderId="0" xfId="8" applyNumberFormat="1" applyFill="1"/>
    <xf numFmtId="168" fontId="12" fillId="0" borderId="0" xfId="8" applyNumberFormat="1"/>
    <xf numFmtId="0" fontId="14" fillId="4" borderId="10" xfId="0" applyFont="1" applyFill="1" applyBorder="1" applyAlignment="1"/>
    <xf numFmtId="164" fontId="14" fillId="4" borderId="22" xfId="0" applyNumberFormat="1" applyFont="1" applyFill="1" applyBorder="1" applyAlignment="1"/>
    <xf numFmtId="0" fontId="23" fillId="0" borderId="0" xfId="9" applyFont="1"/>
    <xf numFmtId="0" fontId="10" fillId="0" borderId="0" xfId="9"/>
    <xf numFmtId="0" fontId="22" fillId="0" borderId="0" xfId="9" applyFont="1"/>
    <xf numFmtId="0" fontId="22" fillId="7" borderId="21" xfId="9" applyFont="1" applyFill="1" applyBorder="1"/>
    <xf numFmtId="0" fontId="22" fillId="7" borderId="21" xfId="9" applyFont="1" applyFill="1" applyBorder="1" applyAlignment="1">
      <alignment horizontal="center"/>
    </xf>
    <xf numFmtId="0" fontId="10" fillId="0" borderId="0" xfId="9" applyFont="1"/>
    <xf numFmtId="164" fontId="10" fillId="0" borderId="0" xfId="9" applyNumberFormat="1" applyFont="1"/>
    <xf numFmtId="0" fontId="10" fillId="0" borderId="21" xfId="9" applyFont="1" applyBorder="1"/>
    <xf numFmtId="0" fontId="22" fillId="0" borderId="23" xfId="9" applyFont="1" applyBorder="1"/>
    <xf numFmtId="164" fontId="22" fillId="0" borderId="23" xfId="9" applyNumberFormat="1" applyFont="1" applyBorder="1"/>
    <xf numFmtId="0" fontId="10" fillId="0" borderId="0" xfId="9" applyFont="1" applyBorder="1"/>
    <xf numFmtId="164" fontId="10" fillId="0" borderId="0" xfId="9" applyNumberFormat="1" applyFont="1" applyBorder="1"/>
    <xf numFmtId="0" fontId="24" fillId="0" borderId="0" xfId="9" applyFont="1"/>
    <xf numFmtId="164" fontId="24" fillId="0" borderId="0" xfId="1" applyNumberFormat="1" applyFont="1"/>
    <xf numFmtId="164" fontId="10" fillId="0" borderId="0" xfId="1" applyNumberFormat="1" applyFont="1"/>
    <xf numFmtId="0" fontId="25" fillId="0" borderId="0" xfId="0" applyFont="1"/>
    <xf numFmtId="0" fontId="26" fillId="0" borderId="0" xfId="0" applyFont="1"/>
    <xf numFmtId="0" fontId="26" fillId="0" borderId="26" xfId="0" applyFont="1" applyBorder="1"/>
    <xf numFmtId="0" fontId="26" fillId="0" borderId="27" xfId="0" applyFont="1" applyBorder="1" applyAlignment="1">
      <alignment horizontal="center"/>
    </xf>
    <xf numFmtId="0" fontId="26" fillId="0" borderId="27" xfId="0" applyFont="1" applyBorder="1"/>
    <xf numFmtId="0" fontId="0" fillId="0" borderId="28" xfId="0" applyFont="1" applyBorder="1"/>
    <xf numFmtId="0" fontId="26" fillId="0" borderId="29" xfId="0" applyFont="1" applyBorder="1" applyAlignment="1">
      <alignment horizontal="center" wrapText="1"/>
    </xf>
    <xf numFmtId="0" fontId="12" fillId="0" borderId="3" xfId="0" applyFont="1" applyBorder="1" applyAlignment="1">
      <alignment horizontal="center" wrapText="1"/>
    </xf>
    <xf numFmtId="4" fontId="12" fillId="0" borderId="29" xfId="0" applyNumberFormat="1" applyFont="1" applyBorder="1" applyAlignment="1">
      <alignment horizontal="center" wrapText="1"/>
    </xf>
    <xf numFmtId="0" fontId="0" fillId="0" borderId="0" xfId="0" applyFont="1"/>
    <xf numFmtId="167" fontId="27" fillId="0" borderId="30" xfId="1" applyNumberFormat="1" applyFont="1" applyFill="1" applyBorder="1" applyAlignment="1">
      <alignment horizontal="center" wrapText="1"/>
    </xf>
    <xf numFmtId="37" fontId="26" fillId="0" borderId="0" xfId="0" applyNumberFormat="1" applyFont="1" applyBorder="1"/>
    <xf numFmtId="37" fontId="12" fillId="0" borderId="31" xfId="35" applyNumberFormat="1" applyFont="1" applyBorder="1" applyAlignment="1">
      <alignment horizontal="right"/>
    </xf>
    <xf numFmtId="4" fontId="12" fillId="0" borderId="0" xfId="35" applyNumberFormat="1" applyFont="1" applyAlignment="1">
      <alignment horizontal="right"/>
    </xf>
    <xf numFmtId="167" fontId="27" fillId="0" borderId="32" xfId="1" applyNumberFormat="1" applyFont="1" applyFill="1" applyBorder="1" applyAlignment="1">
      <alignment horizontal="center" wrapText="1"/>
    </xf>
    <xf numFmtId="167" fontId="27" fillId="0" borderId="33" xfId="1" applyNumberFormat="1" applyFont="1" applyFill="1" applyBorder="1" applyAlignment="1">
      <alignment horizontal="center" wrapText="1"/>
    </xf>
    <xf numFmtId="0" fontId="21" fillId="0" borderId="10" xfId="0" applyFont="1" applyBorder="1" applyAlignment="1">
      <alignment horizontal="center"/>
    </xf>
    <xf numFmtId="37" fontId="21" fillId="0" borderId="10" xfId="0" applyNumberFormat="1" applyFont="1" applyBorder="1"/>
    <xf numFmtId="37" fontId="21" fillId="0" borderId="25" xfId="0" applyNumberFormat="1" applyFont="1" applyBorder="1"/>
    <xf numFmtId="37" fontId="21" fillId="0" borderId="22" xfId="0" applyNumberFormat="1" applyFont="1" applyBorder="1"/>
    <xf numFmtId="0" fontId="12" fillId="0" borderId="26" xfId="0" applyFont="1" applyBorder="1" applyAlignment="1">
      <alignment horizontal="center"/>
    </xf>
    <xf numFmtId="0" fontId="12" fillId="0" borderId="34" xfId="0" applyFont="1" applyBorder="1" applyAlignment="1">
      <alignment horizontal="center"/>
    </xf>
    <xf numFmtId="0" fontId="0" fillId="0" borderId="35" xfId="0" applyBorder="1"/>
    <xf numFmtId="0" fontId="0" fillId="0" borderId="8" xfId="0" applyBorder="1" applyAlignment="1">
      <alignment horizontal="center"/>
    </xf>
    <xf numFmtId="0" fontId="12" fillId="0" borderId="0" xfId="0" applyFont="1" applyBorder="1" applyAlignment="1">
      <alignment horizontal="center"/>
    </xf>
    <xf numFmtId="0" fontId="0" fillId="0" borderId="31" xfId="0" applyBorder="1"/>
    <xf numFmtId="0" fontId="12" fillId="0" borderId="0" xfId="0" applyFont="1" applyFill="1" applyBorder="1" applyAlignment="1">
      <alignment horizontal="center"/>
    </xf>
    <xf numFmtId="167" fontId="27" fillId="0" borderId="36" xfId="1" applyNumberFormat="1" applyFont="1" applyFill="1" applyBorder="1" applyAlignment="1">
      <alignment horizontal="center" wrapText="1"/>
    </xf>
    <xf numFmtId="37" fontId="0" fillId="0" borderId="35" xfId="0" applyNumberFormat="1" applyBorder="1" applyAlignment="1">
      <alignment horizontal="center"/>
    </xf>
    <xf numFmtId="37" fontId="0" fillId="0" borderId="31" xfId="0" applyNumberFormat="1" applyBorder="1" applyAlignment="1">
      <alignment horizontal="center"/>
    </xf>
    <xf numFmtId="0" fontId="21" fillId="0" borderId="38" xfId="0" applyFont="1" applyBorder="1" applyAlignment="1">
      <alignment horizontal="center"/>
    </xf>
    <xf numFmtId="37" fontId="21" fillId="0" borderId="22" xfId="0" applyNumberFormat="1" applyFont="1" applyBorder="1" applyAlignment="1">
      <alignment horizontal="center"/>
    </xf>
    <xf numFmtId="164" fontId="10" fillId="0" borderId="0" xfId="9" applyNumberFormat="1"/>
    <xf numFmtId="0" fontId="22" fillId="23" borderId="0" xfId="9" applyFont="1" applyFill="1" applyAlignment="1">
      <alignment horizontal="center"/>
    </xf>
    <xf numFmtId="0" fontId="22" fillId="23" borderId="0" xfId="9" applyFont="1" applyFill="1" applyAlignment="1">
      <alignment horizontal="center" wrapText="1"/>
    </xf>
    <xf numFmtId="37" fontId="13" fillId="0" borderId="0" xfId="0" applyNumberFormat="1" applyFont="1" applyFill="1" applyAlignment="1"/>
    <xf numFmtId="0" fontId="0" fillId="0" borderId="0" xfId="0" applyBorder="1" applyAlignment="1">
      <alignment horizontal="center"/>
    </xf>
    <xf numFmtId="0" fontId="12" fillId="0" borderId="35" xfId="0" applyFont="1" applyBorder="1" applyAlignment="1">
      <alignment horizontal="center"/>
    </xf>
    <xf numFmtId="0" fontId="0" fillId="0" borderId="26" xfId="0" applyBorder="1" applyAlignment="1">
      <alignment horizontal="center"/>
    </xf>
    <xf numFmtId="0" fontId="8" fillId="0" borderId="0" xfId="80" applyNumberFormat="1" applyAlignment="1">
      <alignment horizontal="center"/>
    </xf>
    <xf numFmtId="0" fontId="10" fillId="0" borderId="0" xfId="9" applyFont="1" applyFill="1"/>
    <xf numFmtId="0" fontId="10" fillId="0" borderId="0" xfId="9" applyFill="1"/>
    <xf numFmtId="164" fontId="10" fillId="0" borderId="0" xfId="9" applyNumberFormat="1" applyFont="1" applyFill="1"/>
    <xf numFmtId="0" fontId="7" fillId="0" borderId="0" xfId="9" applyFont="1"/>
    <xf numFmtId="0" fontId="7" fillId="0" borderId="0" xfId="9" applyFont="1" applyFill="1"/>
    <xf numFmtId="164" fontId="10" fillId="0" borderId="0" xfId="1" applyNumberFormat="1" applyFont="1" applyFill="1"/>
    <xf numFmtId="0" fontId="6" fillId="0" borderId="0" xfId="9" applyFont="1"/>
    <xf numFmtId="0" fontId="28" fillId="0" borderId="0" xfId="83" quotePrefix="1" applyNumberFormat="1" applyFont="1" applyFill="1" applyBorder="1" applyAlignment="1" applyProtection="1">
      <alignment horizontal="left" vertical="center" indent="1"/>
      <protection locked="0"/>
    </xf>
    <xf numFmtId="43" fontId="28" fillId="0" borderId="0" xfId="83" quotePrefix="1" applyFont="1" applyFill="1" applyBorder="1" applyAlignment="1" applyProtection="1">
      <alignment horizontal="left" vertical="center" indent="1"/>
      <protection locked="0"/>
    </xf>
    <xf numFmtId="0" fontId="53" fillId="0" borderId="0" xfId="188" applyFont="1"/>
    <xf numFmtId="0" fontId="54" fillId="0" borderId="0" xfId="188" applyFont="1"/>
    <xf numFmtId="0" fontId="54" fillId="0" borderId="51" xfId="188" applyFont="1" applyBorder="1"/>
    <xf numFmtId="0" fontId="54" fillId="0" borderId="0" xfId="188" applyFont="1" applyBorder="1" applyAlignment="1">
      <alignment horizontal="center"/>
    </xf>
    <xf numFmtId="0" fontId="54" fillId="0" borderId="27" xfId="188" applyFont="1" applyBorder="1"/>
    <xf numFmtId="0" fontId="54" fillId="0" borderId="0" xfId="188" applyFont="1" applyBorder="1"/>
    <xf numFmtId="0" fontId="54" fillId="0" borderId="10" xfId="188" applyFont="1" applyBorder="1" applyAlignment="1">
      <alignment horizontal="center"/>
    </xf>
    <xf numFmtId="0" fontId="54" fillId="0" borderId="25" xfId="188" applyFont="1" applyBorder="1" applyAlignment="1">
      <alignment horizontal="center"/>
    </xf>
    <xf numFmtId="0" fontId="54" fillId="0" borderId="22" xfId="188" applyFont="1" applyBorder="1" applyAlignment="1">
      <alignment horizontal="center"/>
    </xf>
    <xf numFmtId="0" fontId="54" fillId="0" borderId="52" xfId="188" applyFont="1" applyBorder="1"/>
    <xf numFmtId="0" fontId="54" fillId="0" borderId="26" xfId="188" applyFont="1" applyBorder="1" applyAlignment="1">
      <alignment horizontal="center"/>
    </xf>
    <xf numFmtId="0" fontId="54" fillId="0" borderId="34" xfId="188" applyFont="1" applyBorder="1" applyAlignment="1">
      <alignment horizontal="center"/>
    </xf>
    <xf numFmtId="0" fontId="54" fillId="0" borderId="35" xfId="188" applyFont="1" applyBorder="1"/>
    <xf numFmtId="0" fontId="54" fillId="0" borderId="35" xfId="188" applyFont="1" applyBorder="1" applyAlignment="1">
      <alignment horizontal="center"/>
    </xf>
    <xf numFmtId="0" fontId="54" fillId="0" borderId="51" xfId="188" applyFont="1" applyBorder="1" applyAlignment="1">
      <alignment horizontal="center"/>
    </xf>
    <xf numFmtId="0" fontId="54" fillId="0" borderId="8" xfId="188" applyFont="1" applyBorder="1"/>
    <xf numFmtId="0" fontId="54" fillId="0" borderId="31" xfId="188" applyFont="1" applyBorder="1"/>
    <xf numFmtId="0" fontId="54" fillId="0" borderId="8" xfId="188" applyFont="1" applyBorder="1" applyAlignment="1">
      <alignment horizontal="center"/>
    </xf>
    <xf numFmtId="0" fontId="54" fillId="0" borderId="31" xfId="188" applyFont="1" applyBorder="1" applyAlignment="1">
      <alignment horizontal="center"/>
    </xf>
    <xf numFmtId="0" fontId="54" fillId="0" borderId="0" xfId="188" applyFont="1" applyAlignment="1">
      <alignment horizontal="center"/>
    </xf>
    <xf numFmtId="0" fontId="54" fillId="0" borderId="52" xfId="188" applyFont="1" applyBorder="1" applyAlignment="1">
      <alignment horizontal="center"/>
    </xf>
    <xf numFmtId="2" fontId="55" fillId="0" borderId="8" xfId="188" applyNumberFormat="1" applyFont="1" applyBorder="1" applyAlignment="1">
      <alignment horizontal="center" wrapText="1"/>
    </xf>
    <xf numFmtId="2" fontId="55" fillId="0" borderId="0" xfId="188" applyNumberFormat="1" applyFont="1" applyBorder="1" applyAlignment="1">
      <alignment horizontal="center" wrapText="1"/>
    </xf>
    <xf numFmtId="2" fontId="55" fillId="0" borderId="31" xfId="188" applyNumberFormat="1" applyFont="1" applyBorder="1" applyAlignment="1">
      <alignment horizontal="center" wrapText="1"/>
    </xf>
    <xf numFmtId="2" fontId="55" fillId="0" borderId="0" xfId="188" applyNumberFormat="1" applyFont="1" applyAlignment="1">
      <alignment wrapText="1"/>
    </xf>
    <xf numFmtId="2" fontId="55" fillId="0" borderId="0" xfId="188" applyNumberFormat="1" applyFont="1" applyAlignment="1">
      <alignment horizontal="center" wrapText="1"/>
    </xf>
    <xf numFmtId="0" fontId="55" fillId="0" borderId="8" xfId="188" applyFont="1" applyBorder="1" applyAlignment="1">
      <alignment horizontal="center" wrapText="1"/>
    </xf>
    <xf numFmtId="0" fontId="55" fillId="0" borderId="0" xfId="188" applyFont="1" applyBorder="1" applyAlignment="1">
      <alignment horizontal="center" wrapText="1"/>
    </xf>
    <xf numFmtId="0" fontId="55" fillId="0" borderId="31" xfId="188" applyFont="1" applyBorder="1" applyAlignment="1">
      <alignment horizontal="center" wrapText="1"/>
    </xf>
    <xf numFmtId="0" fontId="55" fillId="0" borderId="0" xfId="188" applyFont="1" applyAlignment="1">
      <alignment horizontal="center" wrapText="1"/>
    </xf>
    <xf numFmtId="0" fontId="55" fillId="0" borderId="0" xfId="188" applyFont="1" applyAlignment="1">
      <alignment horizontal="center"/>
    </xf>
    <xf numFmtId="2" fontId="55" fillId="0" borderId="52" xfId="188" applyNumberFormat="1" applyFont="1" applyBorder="1" applyAlignment="1">
      <alignment horizontal="center" wrapText="1"/>
    </xf>
    <xf numFmtId="0" fontId="55" fillId="0" borderId="0" xfId="188" applyFont="1"/>
    <xf numFmtId="0" fontId="55" fillId="0" borderId="52" xfId="188" applyFont="1" applyBorder="1"/>
    <xf numFmtId="0" fontId="55" fillId="0" borderId="0" xfId="188" applyFont="1" applyBorder="1"/>
    <xf numFmtId="0" fontId="55" fillId="0" borderId="8" xfId="188" applyFont="1" applyBorder="1"/>
    <xf numFmtId="0" fontId="55" fillId="0" borderId="31" xfId="188" applyFont="1" applyBorder="1"/>
    <xf numFmtId="37" fontId="56" fillId="0" borderId="31" xfId="35" applyNumberFormat="1" applyFont="1" applyBorder="1" applyAlignment="1">
      <alignment horizontal="right"/>
    </xf>
    <xf numFmtId="37" fontId="56" fillId="0" borderId="0" xfId="35" applyNumberFormat="1" applyFont="1" applyAlignment="1">
      <alignment horizontal="right"/>
    </xf>
    <xf numFmtId="37" fontId="54" fillId="0" borderId="0" xfId="188" applyNumberFormat="1" applyFont="1" applyBorder="1"/>
    <xf numFmtId="37" fontId="54" fillId="0" borderId="31" xfId="188" applyNumberFormat="1" applyFont="1" applyBorder="1"/>
    <xf numFmtId="37" fontId="54" fillId="0" borderId="0" xfId="188" applyNumberFormat="1" applyFont="1"/>
    <xf numFmtId="37" fontId="54" fillId="0" borderId="52" xfId="188" applyNumberFormat="1" applyFont="1" applyBorder="1"/>
    <xf numFmtId="37" fontId="54" fillId="0" borderId="8" xfId="188" applyNumberFormat="1" applyFont="1" applyBorder="1"/>
    <xf numFmtId="37" fontId="54" fillId="0" borderId="29" xfId="188" applyNumberFormat="1" applyFont="1" applyBorder="1"/>
    <xf numFmtId="37" fontId="54" fillId="0" borderId="10" xfId="188" applyNumberFormat="1" applyFont="1" applyBorder="1"/>
    <xf numFmtId="2" fontId="54" fillId="0" borderId="25" xfId="188" applyNumberFormat="1" applyFont="1" applyBorder="1" applyAlignment="1">
      <alignment wrapText="1"/>
    </xf>
    <xf numFmtId="37" fontId="54" fillId="0" borderId="25" xfId="188" applyNumberFormat="1" applyFont="1" applyBorder="1"/>
    <xf numFmtId="37" fontId="54" fillId="0" borderId="22" xfId="188" applyNumberFormat="1" applyFont="1" applyBorder="1"/>
    <xf numFmtId="2" fontId="54" fillId="0" borderId="0" xfId="188" applyNumberFormat="1" applyFont="1" applyAlignment="1">
      <alignment wrapText="1"/>
    </xf>
    <xf numFmtId="0" fontId="54" fillId="0" borderId="25" xfId="188" applyFont="1" applyBorder="1"/>
    <xf numFmtId="37" fontId="54" fillId="0" borderId="27" xfId="188" applyNumberFormat="1" applyFont="1" applyBorder="1"/>
    <xf numFmtId="49" fontId="57" fillId="0" borderId="0" xfId="188" applyNumberFormat="1" applyFont="1" applyFill="1" applyBorder="1" applyAlignment="1">
      <alignment horizontal="left"/>
    </xf>
    <xf numFmtId="49" fontId="58" fillId="61" borderId="5" xfId="188" applyNumberFormat="1" applyFont="1" applyFill="1" applyBorder="1" applyAlignment="1">
      <alignment horizontal="left"/>
    </xf>
    <xf numFmtId="49" fontId="58" fillId="62" borderId="5" xfId="188" applyNumberFormat="1" applyFont="1" applyFill="1" applyBorder="1"/>
    <xf numFmtId="0" fontId="26" fillId="21" borderId="0" xfId="0" applyFont="1" applyFill="1"/>
    <xf numFmtId="0" fontId="25" fillId="21" borderId="0" xfId="0" applyFont="1" applyFill="1"/>
    <xf numFmtId="0" fontId="26" fillId="22" borderId="10" xfId="0" applyFont="1" applyFill="1" applyBorder="1"/>
    <xf numFmtId="0" fontId="26" fillId="22" borderId="25" xfId="0" applyFont="1" applyFill="1" applyBorder="1" applyAlignment="1">
      <alignment horizontal="center" wrapText="1"/>
    </xf>
    <xf numFmtId="0" fontId="26" fillId="22" borderId="22" xfId="0" applyFont="1" applyFill="1" applyBorder="1" applyAlignment="1">
      <alignment horizontal="center" wrapText="1"/>
    </xf>
    <xf numFmtId="0" fontId="26" fillId="21" borderId="8" xfId="0" applyFont="1" applyFill="1" applyBorder="1"/>
    <xf numFmtId="37" fontId="26" fillId="21" borderId="0" xfId="0" applyNumberFormat="1" applyFont="1" applyFill="1" applyBorder="1"/>
    <xf numFmtId="10" fontId="26" fillId="21" borderId="26" xfId="0" applyNumberFormat="1" applyFont="1" applyFill="1" applyBorder="1"/>
    <xf numFmtId="37" fontId="26" fillId="59" borderId="31" xfId="0" applyNumberFormat="1" applyFont="1" applyFill="1" applyBorder="1"/>
    <xf numFmtId="37" fontId="26" fillId="21" borderId="8" xfId="0" applyNumberFormat="1" applyFont="1" applyFill="1" applyBorder="1"/>
    <xf numFmtId="0" fontId="26" fillId="59" borderId="31" xfId="0" applyFont="1" applyFill="1" applyBorder="1"/>
    <xf numFmtId="0" fontId="26" fillId="21" borderId="0" xfId="0" applyFont="1" applyFill="1" applyBorder="1"/>
    <xf numFmtId="10" fontId="26" fillId="21" borderId="8" xfId="0" applyNumberFormat="1" applyFont="1" applyFill="1" applyBorder="1"/>
    <xf numFmtId="37" fontId="26" fillId="21" borderId="9" xfId="0" applyNumberFormat="1" applyFont="1" applyFill="1" applyBorder="1"/>
    <xf numFmtId="37" fontId="26" fillId="59" borderId="50" xfId="0" applyNumberFormat="1" applyFont="1" applyFill="1" applyBorder="1"/>
    <xf numFmtId="37" fontId="26" fillId="21" borderId="0" xfId="0" applyNumberFormat="1" applyFont="1" applyFill="1"/>
    <xf numFmtId="0" fontId="26" fillId="21" borderId="10" xfId="0" applyFont="1" applyFill="1" applyBorder="1"/>
    <xf numFmtId="37" fontId="25" fillId="60" borderId="25" xfId="0" applyNumberFormat="1" applyFont="1" applyFill="1" applyBorder="1"/>
    <xf numFmtId="37" fontId="25" fillId="60" borderId="22" xfId="0" applyNumberFormat="1" applyFont="1" applyFill="1" applyBorder="1"/>
    <xf numFmtId="10" fontId="26" fillId="21" borderId="0" xfId="0" applyNumberFormat="1" applyFont="1" applyFill="1" applyBorder="1"/>
    <xf numFmtId="37" fontId="25" fillId="0" borderId="0" xfId="0" applyNumberFormat="1" applyFont="1" applyFill="1" applyBorder="1"/>
    <xf numFmtId="0" fontId="26" fillId="21" borderId="0" xfId="0" applyFont="1" applyFill="1" applyBorder="1" applyAlignment="1">
      <alignment wrapText="1"/>
    </xf>
    <xf numFmtId="0" fontId="26" fillId="22" borderId="10" xfId="0" applyFont="1" applyFill="1" applyBorder="1" applyAlignment="1"/>
    <xf numFmtId="0" fontId="26" fillId="22" borderId="25" xfId="0" applyFont="1" applyFill="1" applyBorder="1" applyAlignment="1"/>
    <xf numFmtId="0" fontId="26" fillId="22" borderId="22" xfId="0" applyFont="1" applyFill="1" applyBorder="1" applyAlignment="1"/>
    <xf numFmtId="0" fontId="26" fillId="21" borderId="0" xfId="0" applyFont="1" applyFill="1" applyBorder="1" applyAlignment="1"/>
    <xf numFmtId="0" fontId="3" fillId="0" borderId="0" xfId="9" applyFont="1"/>
    <xf numFmtId="0" fontId="25" fillId="21" borderId="8" xfId="0" applyFont="1" applyFill="1" applyBorder="1"/>
    <xf numFmtId="0" fontId="26" fillId="0" borderId="0" xfId="0" applyFont="1" applyAlignment="1">
      <alignment horizontal="center"/>
    </xf>
    <xf numFmtId="10" fontId="10" fillId="0" borderId="0" xfId="2" applyNumberFormat="1" applyFont="1"/>
    <xf numFmtId="10" fontId="10" fillId="0" borderId="0" xfId="2" applyNumberFormat="1" applyFont="1" applyFill="1"/>
    <xf numFmtId="0" fontId="1" fillId="70" borderId="0" xfId="9" applyFont="1" applyFill="1"/>
    <xf numFmtId="0" fontId="10" fillId="70" borderId="0" xfId="9" applyFill="1"/>
    <xf numFmtId="10" fontId="10" fillId="70" borderId="0" xfId="2" applyNumberFormat="1" applyFont="1" applyFill="1"/>
    <xf numFmtId="164" fontId="10" fillId="70" borderId="0" xfId="1" applyNumberFormat="1" applyFont="1" applyFill="1"/>
    <xf numFmtId="0" fontId="10" fillId="70" borderId="0" xfId="9" applyFont="1" applyFill="1"/>
    <xf numFmtId="164" fontId="10" fillId="70" borderId="0" xfId="9" applyNumberFormat="1" applyFont="1" applyFill="1"/>
    <xf numFmtId="37" fontId="0" fillId="0" borderId="0" xfId="0" applyNumberFormat="1" applyFont="1" applyFill="1" applyBorder="1" applyAlignment="1">
      <alignment horizontal="right"/>
    </xf>
    <xf numFmtId="37" fontId="0" fillId="0" borderId="34" xfId="0" applyNumberFormat="1" applyFill="1" applyBorder="1"/>
    <xf numFmtId="37" fontId="0" fillId="0" borderId="0" xfId="0" applyNumberFormat="1" applyFill="1" applyBorder="1"/>
    <xf numFmtId="37" fontId="0" fillId="0" borderId="37" xfId="0" applyNumberFormat="1" applyFill="1" applyBorder="1"/>
    <xf numFmtId="0" fontId="26" fillId="0" borderId="10" xfId="0" applyFont="1" applyBorder="1" applyAlignment="1">
      <alignment horizontal="center" wrapText="1"/>
    </xf>
    <xf numFmtId="0" fontId="26" fillId="0" borderId="0" xfId="0" applyFont="1" applyBorder="1" applyAlignment="1"/>
    <xf numFmtId="4" fontId="12" fillId="0" borderId="0" xfId="0" applyNumberFormat="1" applyFont="1" applyBorder="1" applyAlignment="1">
      <alignment horizontal="center" wrapText="1"/>
    </xf>
    <xf numFmtId="37" fontId="21" fillId="0" borderId="0" xfId="0" applyNumberFormat="1" applyFont="1" applyBorder="1"/>
    <xf numFmtId="4" fontId="0" fillId="0" borderId="0" xfId="0" applyNumberFormat="1" applyFont="1" applyFill="1" applyBorder="1" applyAlignment="1">
      <alignment horizontal="right"/>
    </xf>
    <xf numFmtId="167" fontId="27" fillId="0" borderId="0" xfId="1" applyNumberFormat="1" applyFont="1" applyFill="1" applyBorder="1" applyAlignment="1">
      <alignment horizontal="center" wrapText="1"/>
    </xf>
    <xf numFmtId="0" fontId="26" fillId="0" borderId="0" xfId="0" applyFont="1" applyFill="1" applyBorder="1"/>
    <xf numFmtId="0" fontId="0" fillId="0" borderId="0" xfId="0" applyFill="1" applyBorder="1" applyAlignment="1">
      <alignment horizontal="center"/>
    </xf>
    <xf numFmtId="4" fontId="12" fillId="0" borderId="0" xfId="35" applyNumberFormat="1" applyFont="1" applyFill="1" applyBorder="1" applyAlignment="1">
      <alignment horizontal="right"/>
    </xf>
    <xf numFmtId="0" fontId="21" fillId="0" borderId="0" xfId="0" applyFont="1" applyFill="1" applyBorder="1" applyAlignment="1">
      <alignment horizontal="center"/>
    </xf>
    <xf numFmtId="37" fontId="21" fillId="0" borderId="0" xfId="0" applyNumberFormat="1" applyFont="1" applyFill="1" applyBorder="1"/>
    <xf numFmtId="37" fontId="0" fillId="0" borderId="35" xfId="0" applyNumberFormat="1" applyFill="1" applyBorder="1"/>
    <xf numFmtId="37" fontId="0" fillId="0" borderId="31" xfId="0" applyNumberFormat="1" applyFill="1" applyBorder="1"/>
    <xf numFmtId="37" fontId="0" fillId="0" borderId="49" xfId="0" applyNumberFormat="1" applyFill="1" applyBorder="1"/>
    <xf numFmtId="37" fontId="56" fillId="0" borderId="8" xfId="35" applyNumberFormat="1" applyFont="1" applyFill="1" applyBorder="1" applyAlignment="1">
      <alignment horizontal="right"/>
    </xf>
    <xf numFmtId="37" fontId="54" fillId="0" borderId="0" xfId="188" applyNumberFormat="1" applyFont="1" applyFill="1" applyBorder="1"/>
    <xf numFmtId="37" fontId="56" fillId="0" borderId="0" xfId="35" applyNumberFormat="1" applyFont="1" applyFill="1" applyBorder="1" applyAlignment="1">
      <alignment horizontal="right"/>
    </xf>
    <xf numFmtId="37" fontId="56" fillId="0" borderId="52" xfId="35" applyNumberFormat="1" applyFont="1" applyFill="1" applyBorder="1" applyAlignment="1">
      <alignment horizontal="right"/>
    </xf>
    <xf numFmtId="37" fontId="54" fillId="0" borderId="0" xfId="188" applyNumberFormat="1" applyFont="1" applyFill="1" applyBorder="1" applyAlignment="1">
      <alignment wrapText="1"/>
    </xf>
    <xf numFmtId="17" fontId="54" fillId="0" borderId="52" xfId="188" applyNumberFormat="1" applyFont="1" applyBorder="1" applyAlignment="1">
      <alignment horizontal="center"/>
    </xf>
    <xf numFmtId="17" fontId="54" fillId="0" borderId="29" xfId="188" applyNumberFormat="1" applyFont="1" applyBorder="1" applyAlignment="1">
      <alignment horizontal="center"/>
    </xf>
    <xf numFmtId="0" fontId="13" fillId="0" borderId="0" xfId="0" applyFont="1" applyFill="1"/>
    <xf numFmtId="0" fontId="14" fillId="0" borderId="0" xfId="0" applyFont="1" applyFill="1"/>
    <xf numFmtId="0" fontId="13" fillId="0" borderId="0" xfId="0" applyFont="1" applyFill="1" applyAlignment="1">
      <alignment horizontal="center"/>
    </xf>
    <xf numFmtId="9" fontId="13" fillId="0" borderId="0" xfId="2" applyFont="1" applyFill="1" applyAlignment="1"/>
    <xf numFmtId="166" fontId="13" fillId="0" borderId="0" xfId="2" applyNumberFormat="1" applyFont="1" applyFill="1" applyAlignment="1"/>
    <xf numFmtId="43" fontId="13" fillId="0" borderId="0" xfId="1" applyNumberFormat="1" applyFont="1" applyFill="1" applyAlignment="1"/>
    <xf numFmtId="0" fontId="15" fillId="0" borderId="0" xfId="0" applyFont="1" applyFill="1" applyAlignment="1"/>
    <xf numFmtId="164" fontId="13" fillId="0" borderId="6" xfId="0" applyNumberFormat="1" applyFont="1" applyFill="1" applyBorder="1" applyAlignment="1"/>
    <xf numFmtId="164" fontId="13" fillId="0" borderId="0" xfId="0" applyNumberFormat="1" applyFont="1" applyFill="1" applyAlignment="1">
      <alignment horizontal="right"/>
    </xf>
    <xf numFmtId="164" fontId="13" fillId="0" borderId="4" xfId="1" applyNumberFormat="1" applyFont="1" applyFill="1" applyBorder="1" applyAlignment="1"/>
    <xf numFmtId="164" fontId="13" fillId="0" borderId="0" xfId="1" applyNumberFormat="1" applyFont="1" applyFill="1" applyBorder="1" applyAlignment="1"/>
    <xf numFmtId="0" fontId="13" fillId="0" borderId="0" xfId="0" applyFont="1" applyFill="1" applyAlignment="1">
      <alignment horizontal="right"/>
    </xf>
    <xf numFmtId="165" fontId="13" fillId="0" borderId="0" xfId="2" applyNumberFormat="1" applyFont="1" applyFill="1" applyAlignment="1"/>
    <xf numFmtId="0" fontId="14" fillId="0" borderId="0" xfId="0" applyFont="1" applyFill="1" applyAlignment="1"/>
    <xf numFmtId="164" fontId="14" fillId="0" borderId="0" xfId="1" applyNumberFormat="1" applyFont="1" applyFill="1" applyAlignment="1"/>
    <xf numFmtId="37" fontId="13" fillId="0" borderId="0" xfId="1" applyNumberFormat="1" applyFont="1" applyFill="1" applyAlignment="1"/>
    <xf numFmtId="164" fontId="14" fillId="0" borderId="10" xfId="0" applyNumberFormat="1" applyFont="1" applyFill="1" applyBorder="1" applyAlignment="1"/>
    <xf numFmtId="164" fontId="14" fillId="0" borderId="22" xfId="0" applyNumberFormat="1" applyFont="1" applyFill="1" applyBorder="1" applyAlignment="1"/>
    <xf numFmtId="164" fontId="13" fillId="0" borderId="0" xfId="1" applyNumberFormat="1" applyFont="1" applyFill="1"/>
    <xf numFmtId="164" fontId="14" fillId="0" borderId="22" xfId="1" applyNumberFormat="1" applyFont="1" applyFill="1" applyBorder="1" applyAlignment="1"/>
    <xf numFmtId="0" fontId="26" fillId="22" borderId="10" xfId="0" applyFont="1" applyFill="1" applyBorder="1" applyAlignment="1">
      <alignment horizontal="center" wrapText="1"/>
    </xf>
    <xf numFmtId="37" fontId="26" fillId="59" borderId="35" xfId="0" applyNumberFormat="1" applyFont="1" applyFill="1" applyBorder="1"/>
    <xf numFmtId="10" fontId="26" fillId="21" borderId="10" xfId="0" applyNumberFormat="1" applyFont="1" applyFill="1" applyBorder="1"/>
    <xf numFmtId="37" fontId="26" fillId="21" borderId="31" xfId="0" applyNumberFormat="1" applyFont="1" applyFill="1" applyBorder="1"/>
    <xf numFmtId="0" fontId="13" fillId="0" borderId="0" xfId="0" applyFont="1" applyFill="1" applyAlignment="1">
      <alignment horizontal="center"/>
    </xf>
    <xf numFmtId="0" fontId="14" fillId="0" borderId="10" xfId="0" applyFont="1" applyFill="1" applyBorder="1" applyAlignment="1">
      <alignment horizontal="right"/>
    </xf>
    <xf numFmtId="0" fontId="14" fillId="0" borderId="25" xfId="0" applyFont="1" applyFill="1" applyBorder="1" applyAlignment="1">
      <alignment horizontal="right"/>
    </xf>
    <xf numFmtId="0" fontId="26" fillId="21" borderId="10" xfId="0" applyFont="1" applyFill="1" applyBorder="1" applyAlignment="1">
      <alignment horizontal="left" wrapText="1"/>
    </xf>
    <xf numFmtId="0" fontId="26" fillId="21" borderId="25" xfId="0" applyFont="1" applyFill="1" applyBorder="1" applyAlignment="1">
      <alignment horizontal="left" wrapText="1"/>
    </xf>
    <xf numFmtId="0" fontId="26" fillId="21" borderId="22" xfId="0" applyFont="1" applyFill="1" applyBorder="1" applyAlignment="1">
      <alignment horizontal="left" wrapText="1"/>
    </xf>
    <xf numFmtId="0" fontId="26" fillId="22" borderId="10" xfId="0" applyFont="1" applyFill="1" applyBorder="1" applyAlignment="1">
      <alignment horizontal="left"/>
    </xf>
    <xf numFmtId="0" fontId="26" fillId="22" borderId="25" xfId="0" applyFont="1" applyFill="1" applyBorder="1" applyAlignment="1">
      <alignment horizontal="left"/>
    </xf>
    <xf numFmtId="0" fontId="26" fillId="22" borderId="22" xfId="0" applyFont="1" applyFill="1" applyBorder="1" applyAlignment="1">
      <alignment horizontal="left"/>
    </xf>
    <xf numFmtId="0" fontId="24" fillId="0" borderId="10" xfId="9" applyFont="1" applyBorder="1" applyAlignment="1">
      <alignment horizontal="center"/>
    </xf>
    <xf numFmtId="0" fontId="24" fillId="0" borderId="22" xfId="9" applyFont="1" applyBorder="1" applyAlignment="1">
      <alignment horizontal="center"/>
    </xf>
    <xf numFmtId="0" fontId="54" fillId="0" borderId="10" xfId="188" applyFont="1" applyBorder="1" applyAlignment="1">
      <alignment horizontal="center"/>
    </xf>
    <xf numFmtId="0" fontId="54" fillId="0" borderId="25" xfId="188" applyFont="1" applyBorder="1" applyAlignment="1">
      <alignment horizontal="center"/>
    </xf>
    <xf numFmtId="0" fontId="54" fillId="0" borderId="22" xfId="188" applyFont="1" applyBorder="1" applyAlignment="1">
      <alignment horizontal="center"/>
    </xf>
    <xf numFmtId="0" fontId="21" fillId="0" borderId="16" xfId="5" applyFont="1" applyBorder="1" applyAlignment="1">
      <alignment horizontal="center" wrapText="1"/>
    </xf>
    <xf numFmtId="0" fontId="21" fillId="0" borderId="19" xfId="5" applyFont="1" applyBorder="1" applyAlignment="1">
      <alignment horizontal="center" wrapText="1"/>
    </xf>
    <xf numFmtId="0" fontId="21" fillId="0" borderId="10" xfId="5" applyFont="1" applyBorder="1" applyAlignment="1">
      <alignment horizontal="center" wrapText="1"/>
    </xf>
    <xf numFmtId="0" fontId="21" fillId="0" borderId="20" xfId="5" applyFont="1" applyBorder="1" applyAlignment="1">
      <alignment horizontal="center" wrapText="1"/>
    </xf>
    <xf numFmtId="0" fontId="13" fillId="0" borderId="0" xfId="0" applyFont="1" applyAlignment="1">
      <alignment horizontal="center"/>
    </xf>
  </cellXfs>
  <cellStyles count="349">
    <cellStyle name="20% - Accent1" xfId="57" builtinId="30" customBuiltin="1"/>
    <cellStyle name="20% - Accent1 2" xfId="11"/>
    <cellStyle name="20% - Accent1 2 2" xfId="134"/>
    <cellStyle name="20% - Accent1 3" xfId="12"/>
    <cellStyle name="20% - Accent1 3 2" xfId="133"/>
    <cellStyle name="20% - Accent1 4" xfId="185"/>
    <cellStyle name="20% - Accent1 5" xfId="190"/>
    <cellStyle name="20% - Accent1 6" xfId="203"/>
    <cellStyle name="20% - Accent1 7" xfId="216"/>
    <cellStyle name="20% - Accent2" xfId="61" builtinId="34" customBuiltin="1"/>
    <cellStyle name="20% - Accent2 2" xfId="13"/>
    <cellStyle name="20% - Accent2 2 2" xfId="132"/>
    <cellStyle name="20% - Accent2 3" xfId="14"/>
    <cellStyle name="20% - Accent2 3 2" xfId="131"/>
    <cellStyle name="20% - Accent2 4" xfId="183"/>
    <cellStyle name="20% - Accent2 5" xfId="192"/>
    <cellStyle name="20% - Accent2 6" xfId="205"/>
    <cellStyle name="20% - Accent2 7" xfId="218"/>
    <cellStyle name="20% - Accent3" xfId="65" builtinId="38" customBuiltin="1"/>
    <cellStyle name="20% - Accent3 2" xfId="15"/>
    <cellStyle name="20% - Accent3 2 2" xfId="130"/>
    <cellStyle name="20% - Accent3 3" xfId="16"/>
    <cellStyle name="20% - Accent3 3 2" xfId="129"/>
    <cellStyle name="20% - Accent3 4" xfId="181"/>
    <cellStyle name="20% - Accent3 5" xfId="194"/>
    <cellStyle name="20% - Accent3 6" xfId="207"/>
    <cellStyle name="20% - Accent3 7" xfId="220"/>
    <cellStyle name="20% - Accent4" xfId="69" builtinId="42" customBuiltin="1"/>
    <cellStyle name="20% - Accent4 2" xfId="17"/>
    <cellStyle name="20% - Accent4 2 2" xfId="127"/>
    <cellStyle name="20% - Accent4 3" xfId="18"/>
    <cellStyle name="20% - Accent4 3 2" xfId="126"/>
    <cellStyle name="20% - Accent4 4" xfId="179"/>
    <cellStyle name="20% - Accent4 5" xfId="196"/>
    <cellStyle name="20% - Accent4 6" xfId="209"/>
    <cellStyle name="20% - Accent4 7" xfId="222"/>
    <cellStyle name="20% - Accent5" xfId="73" builtinId="46" customBuiltin="1"/>
    <cellStyle name="20% - Accent5 2" xfId="19"/>
    <cellStyle name="20% - Accent5 2 2" xfId="125"/>
    <cellStyle name="20% - Accent5 3" xfId="20"/>
    <cellStyle name="20% - Accent5 3 2" xfId="124"/>
    <cellStyle name="20% - Accent5 4" xfId="177"/>
    <cellStyle name="20% - Accent5 5" xfId="198"/>
    <cellStyle name="20% - Accent5 6" xfId="211"/>
    <cellStyle name="20% - Accent5 7" xfId="224"/>
    <cellStyle name="20% - Accent6" xfId="77" builtinId="50" customBuiltin="1"/>
    <cellStyle name="20% - Accent6 2" xfId="21"/>
    <cellStyle name="20% - Accent6 2 2" xfId="156"/>
    <cellStyle name="20% - Accent6 3" xfId="22"/>
    <cellStyle name="20% - Accent6 3 2" xfId="157"/>
    <cellStyle name="20% - Accent6 4" xfId="175"/>
    <cellStyle name="20% - Accent6 5" xfId="200"/>
    <cellStyle name="20% - Accent6 6" xfId="213"/>
    <cellStyle name="20% - Accent6 7" xfId="226"/>
    <cellStyle name="40% - Accent1" xfId="58" builtinId="31" customBuiltin="1"/>
    <cellStyle name="40% - Accent1 2" xfId="23"/>
    <cellStyle name="40% - Accent1 2 2" xfId="158"/>
    <cellStyle name="40% - Accent1 3" xfId="24"/>
    <cellStyle name="40% - Accent1 3 2" xfId="159"/>
    <cellStyle name="40% - Accent1 4" xfId="184"/>
    <cellStyle name="40% - Accent1 5" xfId="191"/>
    <cellStyle name="40% - Accent1 6" xfId="204"/>
    <cellStyle name="40% - Accent1 7" xfId="217"/>
    <cellStyle name="40% - Accent2" xfId="62" builtinId="35" customBuiltin="1"/>
    <cellStyle name="40% - Accent2 2" xfId="25"/>
    <cellStyle name="40% - Accent2 2 2" xfId="160"/>
    <cellStyle name="40% - Accent2 3" xfId="26"/>
    <cellStyle name="40% - Accent2 3 2" xfId="161"/>
    <cellStyle name="40% - Accent2 4" xfId="182"/>
    <cellStyle name="40% - Accent2 5" xfId="193"/>
    <cellStyle name="40% - Accent2 6" xfId="206"/>
    <cellStyle name="40% - Accent2 7" xfId="219"/>
    <cellStyle name="40% - Accent3" xfId="66" builtinId="39" customBuiltin="1"/>
    <cellStyle name="40% - Accent3 2" xfId="27"/>
    <cellStyle name="40% - Accent3 2 2" xfId="162"/>
    <cellStyle name="40% - Accent3 3" xfId="28"/>
    <cellStyle name="40% - Accent3 3 2" xfId="163"/>
    <cellStyle name="40% - Accent3 4" xfId="180"/>
    <cellStyle name="40% - Accent3 5" xfId="195"/>
    <cellStyle name="40% - Accent3 6" xfId="208"/>
    <cellStyle name="40% - Accent3 7" xfId="221"/>
    <cellStyle name="40% - Accent4" xfId="70" builtinId="43" customBuiltin="1"/>
    <cellStyle name="40% - Accent4 2" xfId="29"/>
    <cellStyle name="40% - Accent4 2 2" xfId="164"/>
    <cellStyle name="40% - Accent4 3" xfId="30"/>
    <cellStyle name="40% - Accent4 3 2" xfId="165"/>
    <cellStyle name="40% - Accent4 4" xfId="178"/>
    <cellStyle name="40% - Accent4 5" xfId="197"/>
    <cellStyle name="40% - Accent4 6" xfId="210"/>
    <cellStyle name="40% - Accent4 7" xfId="223"/>
    <cellStyle name="40% - Accent5" xfId="74" builtinId="47" customBuiltin="1"/>
    <cellStyle name="40% - Accent5 2" xfId="31"/>
    <cellStyle name="40% - Accent5 2 2" xfId="166"/>
    <cellStyle name="40% - Accent5 3" xfId="32"/>
    <cellStyle name="40% - Accent5 3 2" xfId="167"/>
    <cellStyle name="40% - Accent5 4" xfId="176"/>
    <cellStyle name="40% - Accent5 5" xfId="199"/>
    <cellStyle name="40% - Accent5 6" xfId="212"/>
    <cellStyle name="40% - Accent5 7" xfId="225"/>
    <cellStyle name="40% - Accent6" xfId="78" builtinId="51" customBuiltin="1"/>
    <cellStyle name="40% - Accent6 2" xfId="33"/>
    <cellStyle name="40% - Accent6 2 2" xfId="168"/>
    <cellStyle name="40% - Accent6 3" xfId="34"/>
    <cellStyle name="40% - Accent6 3 2" xfId="169"/>
    <cellStyle name="40% - Accent6 4" xfId="187"/>
    <cellStyle name="40% - Accent6 5" xfId="201"/>
    <cellStyle name="40% - Accent6 6" xfId="214"/>
    <cellStyle name="40% - Accent6 7" xfId="227"/>
    <cellStyle name="60% - Accent1" xfId="59" builtinId="32" customBuiltin="1"/>
    <cellStyle name="60% - Accent2" xfId="63" builtinId="36" customBuiltin="1"/>
    <cellStyle name="60% - Accent3" xfId="67" builtinId="40" customBuiltin="1"/>
    <cellStyle name="60% - Accent4" xfId="71" builtinId="44" customBuiltin="1"/>
    <cellStyle name="60% - Accent5" xfId="75" builtinId="48" customBuiltin="1"/>
    <cellStyle name="60% - Accent6" xfId="79" builtinId="52" customBuiltin="1"/>
    <cellStyle name="Accent1" xfId="56" builtinId="29" customBuiltin="1"/>
    <cellStyle name="Accent2" xfId="60" builtinId="33" customBuiltin="1"/>
    <cellStyle name="Accent3" xfId="64" builtinId="37" customBuiltin="1"/>
    <cellStyle name="Accent4" xfId="68" builtinId="41" customBuiltin="1"/>
    <cellStyle name="Accent5" xfId="72" builtinId="45" customBuiltin="1"/>
    <cellStyle name="Accent6" xfId="76" builtinId="49" customBuiltin="1"/>
    <cellStyle name="Bad" xfId="46" builtinId="27" customBuiltin="1"/>
    <cellStyle name="Calculation" xfId="50" builtinId="22" customBuiltin="1"/>
    <cellStyle name="Check Cell" xfId="52" builtinId="23" customBuiltin="1"/>
    <cellStyle name="Column total in dollars" xfId="230"/>
    <cellStyle name="Comma" xfId="1" builtinId="3"/>
    <cellStyle name="Comma  - Style1" xfId="231"/>
    <cellStyle name="Comma  - Style2" xfId="232"/>
    <cellStyle name="Comma  - Style3" xfId="233"/>
    <cellStyle name="Comma  - Style4" xfId="234"/>
    <cellStyle name="Comma  - Style5" xfId="235"/>
    <cellStyle name="Comma  - Style6" xfId="236"/>
    <cellStyle name="Comma  - Style7" xfId="237"/>
    <cellStyle name="Comma  - Style8" xfId="238"/>
    <cellStyle name="Comma (0)" xfId="239"/>
    <cellStyle name="Comma [0] 2" xfId="240"/>
    <cellStyle name="Comma [0] 3" xfId="241"/>
    <cellStyle name="Comma 2" xfId="7"/>
    <cellStyle name="Comma 2 2" xfId="137"/>
    <cellStyle name="Comma 2 3" xfId="83"/>
    <cellStyle name="Comma 2 4" xfId="228"/>
    <cellStyle name="Comma 3" xfId="122"/>
    <cellStyle name="Comma 3 2" xfId="242"/>
    <cellStyle name="Comma 4" xfId="229"/>
    <cellStyle name="Comma 5" xfId="243"/>
    <cellStyle name="Comma 6" xfId="244"/>
    <cellStyle name="Comma 7" xfId="245"/>
    <cellStyle name="Comma0" xfId="246"/>
    <cellStyle name="Comma0 - Style3" xfId="247"/>
    <cellStyle name="Comma0 - Style4" xfId="248"/>
    <cellStyle name="Comma0_OMAG by BU" xfId="249"/>
    <cellStyle name="Comma1 - Style1" xfId="250"/>
    <cellStyle name="Currency 2" xfId="251"/>
    <cellStyle name="Currency 3" xfId="252"/>
    <cellStyle name="Currency No Comma" xfId="253"/>
    <cellStyle name="Currency(0)" xfId="254"/>
    <cellStyle name="Currency0" xfId="255"/>
    <cellStyle name="Date" xfId="256"/>
    <cellStyle name="Date - Style3" xfId="257"/>
    <cellStyle name="Date_OMAG by BU" xfId="258"/>
    <cellStyle name="Explanatory Text" xfId="54" builtinId="53" customBuiltin="1"/>
    <cellStyle name="Fixed" xfId="259"/>
    <cellStyle name="General" xfId="260"/>
    <cellStyle name="Good" xfId="45" builtinId="26" customBuiltin="1"/>
    <cellStyle name="Grey" xfId="261"/>
    <cellStyle name="header" xfId="262"/>
    <cellStyle name="Header1" xfId="263"/>
    <cellStyle name="Header2" xfId="264"/>
    <cellStyle name="Heading 1" xfId="41" builtinId="16" customBuiltin="1"/>
    <cellStyle name="Heading 2" xfId="42" builtinId="17" customBuiltin="1"/>
    <cellStyle name="Heading 3" xfId="43" builtinId="18" customBuiltin="1"/>
    <cellStyle name="Heading 4" xfId="44" builtinId="19" customBuiltin="1"/>
    <cellStyle name="Hyperlink 2" xfId="123"/>
    <cellStyle name="Input" xfId="48" builtinId="20" customBuiltin="1"/>
    <cellStyle name="Input [yellow]" xfId="265"/>
    <cellStyle name="Linked Cell" xfId="51" builtinId="24" customBuiltin="1"/>
    <cellStyle name="Marathon" xfId="266"/>
    <cellStyle name="MCP" xfId="267"/>
    <cellStyle name="Neutral" xfId="47" builtinId="28" customBuiltin="1"/>
    <cellStyle name="nONE" xfId="268"/>
    <cellStyle name="noninput" xfId="269"/>
    <cellStyle name="Normal" xfId="0" builtinId="0"/>
    <cellStyle name="Normal - Style1" xfId="270"/>
    <cellStyle name="Normal 2" xfId="6"/>
    <cellStyle name="Normal 2 2" xfId="35"/>
    <cellStyle name="Normal 2 3" xfId="39"/>
    <cellStyle name="Normal 2 3 2" xfId="173"/>
    <cellStyle name="Normal 2 4" xfId="138"/>
    <cellStyle name="Normal 2 5" xfId="82"/>
    <cellStyle name="Normal 3" xfId="8"/>
    <cellStyle name="Normal 4" xfId="9"/>
    <cellStyle name="Normal 4 2" xfId="136"/>
    <cellStyle name="Normal 4 4" xfId="271"/>
    <cellStyle name="Normal 5" xfId="80"/>
    <cellStyle name="Normal 6" xfId="174"/>
    <cellStyle name="Normal 7" xfId="188"/>
    <cellStyle name="Normal(0)" xfId="272"/>
    <cellStyle name="Normal_Bridger Coal Adjustment" xfId="5"/>
    <cellStyle name="Normal_Sheet1" xfId="3"/>
    <cellStyle name="Note 2" xfId="36"/>
    <cellStyle name="Note 2 2" xfId="170"/>
    <cellStyle name="Note 3" xfId="37"/>
    <cellStyle name="Note 3 2" xfId="171"/>
    <cellStyle name="Note 4" xfId="38"/>
    <cellStyle name="Note 4 2" xfId="172"/>
    <cellStyle name="Note 5" xfId="81"/>
    <cellStyle name="Note 6" xfId="186"/>
    <cellStyle name="Note 7" xfId="189"/>
    <cellStyle name="Note 8" xfId="202"/>
    <cellStyle name="Note 9" xfId="215"/>
    <cellStyle name="Number" xfId="273"/>
    <cellStyle name="Output" xfId="49" builtinId="21" customBuiltin="1"/>
    <cellStyle name="Password" xfId="274"/>
    <cellStyle name="Percen - Style1" xfId="275"/>
    <cellStyle name="Percen - Style2" xfId="276"/>
    <cellStyle name="Percent" xfId="2" builtinId="5"/>
    <cellStyle name="Percent [2]" xfId="277"/>
    <cellStyle name="Percent 2" xfId="152"/>
    <cellStyle name="Percent 3" xfId="278"/>
    <cellStyle name="Percent(0)" xfId="279"/>
    <cellStyle name="SAPBEXaggData" xfId="84"/>
    <cellStyle name="SAPBEXaggDataEmph" xfId="85"/>
    <cellStyle name="SAPBEXaggItem" xfId="86"/>
    <cellStyle name="SAPBEXaggItem 2" xfId="280"/>
    <cellStyle name="SAPBEXaggItem 3" xfId="281"/>
    <cellStyle name="SAPBEXaggItem 4" xfId="282"/>
    <cellStyle name="SAPBEXaggItem_Actuals 2007" xfId="283"/>
    <cellStyle name="SAPBEXaggItemX" xfId="87"/>
    <cellStyle name="SAPBEXchaText" xfId="88"/>
    <cellStyle name="SAPBEXchaText 2" xfId="128"/>
    <cellStyle name="SAPBEXchaText 3" xfId="284"/>
    <cellStyle name="SAPBEXchaText 4" xfId="285"/>
    <cellStyle name="SAPBEXchaText_Actuals 2007" xfId="286"/>
    <cellStyle name="SAPBEXexcBad7" xfId="89"/>
    <cellStyle name="SAPBEXexcBad8" xfId="90"/>
    <cellStyle name="SAPBEXexcBad9" xfId="91"/>
    <cellStyle name="SAPBEXexcCritical4" xfId="92"/>
    <cellStyle name="SAPBEXexcCritical5" xfId="93"/>
    <cellStyle name="SAPBEXexcCritical6" xfId="94"/>
    <cellStyle name="SAPBEXexcGood1" xfId="95"/>
    <cellStyle name="SAPBEXexcGood2" xfId="96"/>
    <cellStyle name="SAPBEXexcGood3" xfId="97"/>
    <cellStyle name="SAPBEXfilterDrill" xfId="98"/>
    <cellStyle name="SAPBEXfilterItem" xfId="99"/>
    <cellStyle name="SAPBEXfilterItem 2" xfId="287"/>
    <cellStyle name="SAPBEXfilterItem 3" xfId="288"/>
    <cellStyle name="SAPBEXfilterItem 4" xfId="289"/>
    <cellStyle name="SAPBEXfilterItem_Actuals 2007" xfId="290"/>
    <cellStyle name="SAPBEXfilterText" xfId="100"/>
    <cellStyle name="SAPBEXfilterText 2" xfId="139"/>
    <cellStyle name="SAPBEXfilterText 3" xfId="291"/>
    <cellStyle name="SAPBEXfilterText 4" xfId="292"/>
    <cellStyle name="SAPBEXformats" xfId="101"/>
    <cellStyle name="SAPBEXformats 2" xfId="140"/>
    <cellStyle name="SAPBEXheaderItem" xfId="102"/>
    <cellStyle name="SAPBEXheaderItem 2" xfId="141"/>
    <cellStyle name="SAPBEXheaderItem 3" xfId="293"/>
    <cellStyle name="SAPBEXheaderItem 4" xfId="294"/>
    <cellStyle name="SAPBEXheaderItem 5" xfId="295"/>
    <cellStyle name="SAPBEXheaderItem 6" xfId="296"/>
    <cellStyle name="SAPBEXheaderItem 7" xfId="297"/>
    <cellStyle name="SAPBEXheaderItem 8" xfId="298"/>
    <cellStyle name="SAPBEXheaderItem_Actuals 2007" xfId="299"/>
    <cellStyle name="SAPBEXheaderText" xfId="103"/>
    <cellStyle name="SAPBEXheaderText 2" xfId="142"/>
    <cellStyle name="SAPBEXheaderText 3" xfId="300"/>
    <cellStyle name="SAPBEXheaderText 4" xfId="301"/>
    <cellStyle name="SAPBEXheaderText 5" xfId="302"/>
    <cellStyle name="SAPBEXheaderText 6" xfId="303"/>
    <cellStyle name="SAPBEXheaderText 7" xfId="304"/>
    <cellStyle name="SAPBEXheaderText 8" xfId="305"/>
    <cellStyle name="SAPBEXheaderText_Actuals 2007" xfId="306"/>
    <cellStyle name="SAPBEXHLevel0" xfId="104"/>
    <cellStyle name="SAPBEXHLevel0 2" xfId="143"/>
    <cellStyle name="SAPBEXHLevel0 3" xfId="307"/>
    <cellStyle name="SAPBEXHLevel0 4" xfId="308"/>
    <cellStyle name="SAPBEXHLevel0X" xfId="105"/>
    <cellStyle name="SAPBEXHLevel0X 2" xfId="144"/>
    <cellStyle name="SAPBEXHLevel0X 3" xfId="309"/>
    <cellStyle name="SAPBEXHLevel0X 4" xfId="310"/>
    <cellStyle name="SAPBEXHLevel1" xfId="106"/>
    <cellStyle name="SAPBEXHLevel1 2" xfId="145"/>
    <cellStyle name="SAPBEXHLevel1 3" xfId="311"/>
    <cellStyle name="SAPBEXHLevel1 4" xfId="312"/>
    <cellStyle name="SAPBEXHLevel1X" xfId="107"/>
    <cellStyle name="SAPBEXHLevel1X 2" xfId="146"/>
    <cellStyle name="SAPBEXHLevel1X 3" xfId="313"/>
    <cellStyle name="SAPBEXHLevel1X 4" xfId="314"/>
    <cellStyle name="SAPBEXHLevel2" xfId="108"/>
    <cellStyle name="SAPBEXHLevel2 2" xfId="147"/>
    <cellStyle name="SAPBEXHLevel2 3" xfId="315"/>
    <cellStyle name="SAPBEXHLevel2 4" xfId="316"/>
    <cellStyle name="SAPBEXHLevel2X" xfId="109"/>
    <cellStyle name="SAPBEXHLevel2X 2" xfId="148"/>
    <cellStyle name="SAPBEXHLevel2X 3" xfId="317"/>
    <cellStyle name="SAPBEXHLevel2X 4" xfId="318"/>
    <cellStyle name="SAPBEXHLevel3" xfId="110"/>
    <cellStyle name="SAPBEXHLevel3 2" xfId="149"/>
    <cellStyle name="SAPBEXHLevel3 3" xfId="319"/>
    <cellStyle name="SAPBEXHLevel3 4" xfId="320"/>
    <cellStyle name="SAPBEXHLevel3X" xfId="111"/>
    <cellStyle name="SAPBEXHLevel3X 2" xfId="150"/>
    <cellStyle name="SAPBEXHLevel3X 3" xfId="321"/>
    <cellStyle name="SAPBEXHLevel3X 4" xfId="322"/>
    <cellStyle name="SAPBEXresData" xfId="112"/>
    <cellStyle name="SAPBEXresDataEmph" xfId="113"/>
    <cellStyle name="SAPBEXresItem" xfId="114"/>
    <cellStyle name="SAPBEXresItemX" xfId="115"/>
    <cellStyle name="SAPBEXstdData" xfId="4"/>
    <cellStyle name="SAPBEXstdData 2" xfId="151"/>
    <cellStyle name="SAPBEXstdData 3" xfId="116"/>
    <cellStyle name="SAPBEXstdData 4" xfId="323"/>
    <cellStyle name="SAPBEXstdData_Actuals 2007" xfId="324"/>
    <cellStyle name="SAPBEXstdDataEmph" xfId="117"/>
    <cellStyle name="SAPBEXstdItem" xfId="10"/>
    <cellStyle name="SAPBEXstdItem 2" xfId="153"/>
    <cellStyle name="SAPBEXstdItem 3" xfId="135"/>
    <cellStyle name="SAPBEXstdItem 4" xfId="118"/>
    <cellStyle name="SAPBEXstdItem_Actuals 2007" xfId="325"/>
    <cellStyle name="SAPBEXstdItemX" xfId="119"/>
    <cellStyle name="SAPBEXstdItemX 2" xfId="154"/>
    <cellStyle name="SAPBEXstdItemX 3" xfId="326"/>
    <cellStyle name="SAPBEXstdItemX 4" xfId="327"/>
    <cellStyle name="SAPBEXstdItemX_Actuals 2007" xfId="328"/>
    <cellStyle name="SAPBEXtitle" xfId="120"/>
    <cellStyle name="SAPBEXtitle 2" xfId="155"/>
    <cellStyle name="SAPBEXtitle 3" xfId="329"/>
    <cellStyle name="SAPBEXtitle 4" xfId="330"/>
    <cellStyle name="SAPBEXtitle 5" xfId="331"/>
    <cellStyle name="SAPBEXtitle 6" xfId="332"/>
    <cellStyle name="SAPBEXtitle 7" xfId="333"/>
    <cellStyle name="SAPBEXtitle 8" xfId="334"/>
    <cellStyle name="SAPBEXtitle_Actuals 2007" xfId="335"/>
    <cellStyle name="SAPBEXundefined" xfId="121"/>
    <cellStyle name="Shade" xfId="336"/>
    <cellStyle name="Special" xfId="337"/>
    <cellStyle name="Style 1" xfId="338"/>
    <cellStyle name="Style 27" xfId="339"/>
    <cellStyle name="Style 35" xfId="340"/>
    <cellStyle name="Style 36" xfId="341"/>
    <cellStyle name="Title" xfId="40" builtinId="15" customBuiltin="1"/>
    <cellStyle name="Titles" xfId="342"/>
    <cellStyle name="Total" xfId="55" builtinId="25" customBuiltin="1"/>
    <cellStyle name="Total2 - Style2" xfId="343"/>
    <cellStyle name="TRANSMISSION RELIABILITY PORTION OF PROJECT" xfId="344"/>
    <cellStyle name="Underl - Style4" xfId="345"/>
    <cellStyle name="Unprot" xfId="346"/>
    <cellStyle name="Unprot$" xfId="347"/>
    <cellStyle name="Unprotect" xfId="348"/>
    <cellStyle name="Warning Text" xfId="53" builtinId="11" customBuiltin="1"/>
  </cellStyles>
  <dxfs count="0"/>
  <tableStyles count="0" defaultTableStyle="TableStyleMedium9" defaultPivotStyle="PivotStyleLight16"/>
  <colors>
    <mruColors>
      <color rgb="FFFF9999"/>
      <color rgb="FF5AC67B"/>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p21566\LOCALS~1\Temp\xSAPtemp34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21895\Desktop\Defdebit-A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R\WA%20GRC%20June%202012%20Base\Models\WCA%20-%20June%202012\2013%20WA%20GRC%20JAM%20-%20WCA%20June%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R\WA%20GRC%20June%202012%20Base\8%20-%20Rate%20Base\Bridger\8.2%20Bridger%20Mine%20Adj%20-%20June%202012%20T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efreshError="1"/>
      <sheetData sheetId="5" refreshError="1">
        <row r="2419">
          <cell r="J2419">
            <v>21072969710.413433</v>
          </cell>
          <cell r="K2419">
            <v>1548916277.7611911</v>
          </cell>
        </row>
        <row r="2431">
          <cell r="J2431">
            <v>45307552.53582868</v>
          </cell>
          <cell r="K2431">
            <v>43755.273337945968</v>
          </cell>
        </row>
        <row r="2439">
          <cell r="J2439">
            <v>159175508.02000001</v>
          </cell>
          <cell r="K2439">
            <v>0</v>
          </cell>
        </row>
        <row r="2447">
          <cell r="J2447">
            <v>-107369235.182083</v>
          </cell>
          <cell r="K2447">
            <v>0</v>
          </cell>
        </row>
        <row r="2463">
          <cell r="J2463">
            <v>-5102146.236250001</v>
          </cell>
          <cell r="K2463">
            <v>0</v>
          </cell>
        </row>
        <row r="2567">
          <cell r="J2567">
            <v>173438651.2793259</v>
          </cell>
          <cell r="K2567">
            <v>13830508.039840424</v>
          </cell>
        </row>
        <row r="2582">
          <cell r="J2582">
            <v>81548519.994961098</v>
          </cell>
          <cell r="K2582">
            <v>4213626.3067053072</v>
          </cell>
        </row>
        <row r="2600">
          <cell r="J2600">
            <v>-6378.75</v>
          </cell>
          <cell r="K2600">
            <v>0</v>
          </cell>
        </row>
        <row r="2601">
          <cell r="J2601">
            <v>-919461.00500291109</v>
          </cell>
          <cell r="K2601">
            <v>-75312.464163753946</v>
          </cell>
        </row>
        <row r="2602">
          <cell r="J2602">
            <v>0</v>
          </cell>
          <cell r="K2602">
            <v>0</v>
          </cell>
        </row>
        <row r="2603">
          <cell r="J2603">
            <v>-5539840.3275000015</v>
          </cell>
          <cell r="K2603">
            <v>0</v>
          </cell>
        </row>
        <row r="2604">
          <cell r="J2604">
            <v>0</v>
          </cell>
          <cell r="K2604">
            <v>0</v>
          </cell>
        </row>
        <row r="2605">
          <cell r="J2605">
            <v>0</v>
          </cell>
          <cell r="K2605">
            <v>0</v>
          </cell>
        </row>
        <row r="2606">
          <cell r="J2606">
            <v>-2849851.2324999939</v>
          </cell>
          <cell r="K2606">
            <v>0</v>
          </cell>
        </row>
        <row r="2608">
          <cell r="J2608">
            <v>0</v>
          </cell>
          <cell r="K2608">
            <v>0</v>
          </cell>
        </row>
        <row r="2609">
          <cell r="J2609">
            <v>0</v>
          </cell>
          <cell r="K2609">
            <v>0</v>
          </cell>
        </row>
        <row r="2610">
          <cell r="J2610">
            <v>-19802.830000000002</v>
          </cell>
          <cell r="K2610">
            <v>0</v>
          </cell>
        </row>
        <row r="2611">
          <cell r="J2611">
            <v>-957122.21500000986</v>
          </cell>
          <cell r="K2611">
            <v>0</v>
          </cell>
        </row>
        <row r="2626">
          <cell r="J2626">
            <v>0</v>
          </cell>
          <cell r="K2626">
            <v>0</v>
          </cell>
        </row>
        <row r="2641">
          <cell r="K2641">
            <v>0</v>
          </cell>
        </row>
        <row r="2644">
          <cell r="J2644">
            <v>-6197897.2929632645</v>
          </cell>
          <cell r="K2644">
            <v>-455561.04037006554</v>
          </cell>
        </row>
        <row r="2645">
          <cell r="J2645">
            <v>-3166410.6092036958</v>
          </cell>
          <cell r="K2645">
            <v>-232739.14412963449</v>
          </cell>
        </row>
        <row r="2646">
          <cell r="J2646">
            <v>0</v>
          </cell>
          <cell r="K2646">
            <v>0</v>
          </cell>
        </row>
        <row r="2647">
          <cell r="J2647">
            <v>0</v>
          </cell>
          <cell r="K2647">
            <v>0</v>
          </cell>
        </row>
        <row r="2653">
          <cell r="J2653">
            <v>-1148309.5097638918</v>
          </cell>
          <cell r="K2653">
            <v>-335802.44440276822</v>
          </cell>
        </row>
        <row r="2656">
          <cell r="J2656">
            <v>0</v>
          </cell>
          <cell r="K2656">
            <v>0</v>
          </cell>
        </row>
        <row r="2657">
          <cell r="J2657">
            <v>-2594526.3789434503</v>
          </cell>
          <cell r="K2657">
            <v>-758864.59105654981</v>
          </cell>
        </row>
        <row r="2658">
          <cell r="J2658">
            <v>0</v>
          </cell>
          <cell r="K2658">
            <v>0</v>
          </cell>
        </row>
        <row r="2659">
          <cell r="J2659">
            <v>0</v>
          </cell>
          <cell r="K2659">
            <v>0</v>
          </cell>
        </row>
        <row r="2660">
          <cell r="J2660">
            <v>-42436032.477083333</v>
          </cell>
          <cell r="K2660">
            <v>85.71</v>
          </cell>
        </row>
        <row r="2669">
          <cell r="J2669">
            <v>-24686014.456909936</v>
          </cell>
          <cell r="K2669">
            <v>15641.902326607649</v>
          </cell>
        </row>
        <row r="2673">
          <cell r="J2673">
            <v>0</v>
          </cell>
          <cell r="K2673">
            <v>0</v>
          </cell>
        </row>
        <row r="2685">
          <cell r="J2685">
            <v>-12294463.955159487</v>
          </cell>
          <cell r="K2685">
            <v>-1087352.2898405076</v>
          </cell>
        </row>
        <row r="2704">
          <cell r="J2704">
            <v>145585178.76974773</v>
          </cell>
          <cell r="K2704">
            <v>7023759.1323354822</v>
          </cell>
        </row>
        <row r="2712">
          <cell r="J2712">
            <v>-137182430.91958165</v>
          </cell>
          <cell r="K2712">
            <v>-11999275.622084361</v>
          </cell>
        </row>
        <row r="2727">
          <cell r="J2727">
            <v>-2977434322.3142791</v>
          </cell>
          <cell r="K2727">
            <v>-195201077.47738743</v>
          </cell>
        </row>
        <row r="2745">
          <cell r="J2745">
            <v>-95547325.74372305</v>
          </cell>
          <cell r="K2745">
            <v>-7603672.7816935303</v>
          </cell>
        </row>
        <row r="2757">
          <cell r="J2757">
            <v>-3634189.791336</v>
          </cell>
          <cell r="K2757">
            <v>-546502.70866400003</v>
          </cell>
        </row>
        <row r="2972">
          <cell r="J2972">
            <v>-6493712832.0144043</v>
          </cell>
          <cell r="K2972">
            <v>-562034731.81183338</v>
          </cell>
        </row>
        <row r="3035">
          <cell r="J3035">
            <v>-444131267.19473106</v>
          </cell>
          <cell r="K3035">
            <v>-40890631.816101864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B1" t="str">
            <v>West Control Area</v>
          </cell>
        </row>
        <row r="2">
          <cell r="B2" t="str">
            <v>FACTOR</v>
          </cell>
          <cell r="C2" t="str">
            <v xml:space="preserve">   California</v>
          </cell>
          <cell r="D2" t="str">
            <v xml:space="preserve">      Oregon</v>
          </cell>
          <cell r="E2" t="str">
            <v>Washington</v>
          </cell>
        </row>
        <row r="3">
          <cell r="B3" t="str">
            <v>S</v>
          </cell>
          <cell r="C3" t="str">
            <v>-</v>
          </cell>
          <cell r="D3" t="str">
            <v>-</v>
          </cell>
          <cell r="E3" t="str">
            <v>-</v>
          </cell>
        </row>
        <row r="4">
          <cell r="B4" t="str">
            <v>SG</v>
          </cell>
          <cell r="C4">
            <v>1.5971860893345066E-2</v>
          </cell>
          <cell r="D4">
            <v>0.25983024335617166</v>
          </cell>
          <cell r="E4">
            <v>8.043396137671209E-2</v>
          </cell>
        </row>
        <row r="5">
          <cell r="B5" t="str">
            <v>SG-P</v>
          </cell>
          <cell r="C5">
            <v>1.5971860893345066E-2</v>
          </cell>
          <cell r="D5">
            <v>0.25983024335617166</v>
          </cell>
          <cell r="E5">
            <v>8.043396137671209E-2</v>
          </cell>
        </row>
        <row r="6">
          <cell r="B6" t="str">
            <v>SG-U</v>
          </cell>
          <cell r="C6">
            <v>1.5971860893345066E-2</v>
          </cell>
          <cell r="D6">
            <v>0.25983024335617166</v>
          </cell>
          <cell r="E6">
            <v>8.043396137671209E-2</v>
          </cell>
        </row>
        <row r="7">
          <cell r="B7" t="str">
            <v>DGP</v>
          </cell>
          <cell r="C7">
            <v>3.2867983740981939E-2</v>
          </cell>
          <cell r="D7">
            <v>0.53469638078330628</v>
          </cell>
          <cell r="E7">
            <v>0.16552248685399479</v>
          </cell>
        </row>
        <row r="8">
          <cell r="B8" t="str">
            <v>DGU</v>
          </cell>
          <cell r="C8">
            <v>0</v>
          </cell>
          <cell r="D8">
            <v>0</v>
          </cell>
          <cell r="E8">
            <v>0</v>
          </cell>
        </row>
        <row r="9">
          <cell r="B9" t="str">
            <v>SC</v>
          </cell>
          <cell r="C9">
            <v>1.6136917487827626E-2</v>
          </cell>
          <cell r="D9">
            <v>0.26540831807921861</v>
          </cell>
          <cell r="E9">
            <v>8.2009230111919268E-2</v>
          </cell>
        </row>
        <row r="10">
          <cell r="B10" t="str">
            <v>SE</v>
          </cell>
          <cell r="C10">
            <v>1.547669110989738E-2</v>
          </cell>
          <cell r="D10">
            <v>0.24309601918703092</v>
          </cell>
          <cell r="E10">
            <v>7.5708155171090558E-2</v>
          </cell>
        </row>
        <row r="11">
          <cell r="B11" t="str">
            <v>CAEW</v>
          </cell>
          <cell r="C11">
            <v>4.629846547821044E-2</v>
          </cell>
          <cell r="D11">
            <v>0.72722086215338066</v>
          </cell>
          <cell r="E11">
            <v>0.22648067236840891</v>
          </cell>
        </row>
        <row r="12">
          <cell r="B12" t="str">
            <v>CAEE</v>
          </cell>
          <cell r="C12">
            <v>0</v>
          </cell>
          <cell r="D12">
            <v>0</v>
          </cell>
          <cell r="E12">
            <v>0</v>
          </cell>
        </row>
        <row r="13">
          <cell r="B13" t="str">
            <v>DEP</v>
          </cell>
          <cell r="C13">
            <v>3.2475536175581896E-2</v>
          </cell>
          <cell r="D13">
            <v>0.51010086776234176</v>
          </cell>
          <cell r="E13">
            <v>0.15886231201403242</v>
          </cell>
        </row>
        <row r="14">
          <cell r="B14" t="str">
            <v>DEU</v>
          </cell>
          <cell r="C14">
            <v>0</v>
          </cell>
          <cell r="D14">
            <v>0</v>
          </cell>
          <cell r="E14">
            <v>0</v>
          </cell>
        </row>
        <row r="15">
          <cell r="B15" t="str">
            <v>SO</v>
          </cell>
          <cell r="C15">
            <v>2.0506575332851357E-2</v>
          </cell>
          <cell r="D15">
            <v>0.2420081329128084</v>
          </cell>
          <cell r="E15">
            <v>6.8469811870277855E-2</v>
          </cell>
        </row>
        <row r="16">
          <cell r="B16" t="str">
            <v>SO-P</v>
          </cell>
          <cell r="C16">
            <v>2.0506575332851357E-2</v>
          </cell>
          <cell r="D16">
            <v>0.2420081329128084</v>
          </cell>
          <cell r="E16">
            <v>6.8469811870277855E-2</v>
          </cell>
        </row>
        <row r="17">
          <cell r="B17" t="str">
            <v>SO-U</v>
          </cell>
          <cell r="C17">
            <v>2.0506575332851357E-2</v>
          </cell>
          <cell r="D17">
            <v>0.2420081329128084</v>
          </cell>
          <cell r="E17">
            <v>6.8469811870277855E-2</v>
          </cell>
        </row>
        <row r="18">
          <cell r="B18" t="str">
            <v>DOP</v>
          </cell>
          <cell r="C18">
            <v>0</v>
          </cell>
          <cell r="D18">
            <v>0</v>
          </cell>
          <cell r="E18">
            <v>0</v>
          </cell>
        </row>
        <row r="19">
          <cell r="B19" t="str">
            <v>DOU</v>
          </cell>
          <cell r="C19">
            <v>0</v>
          </cell>
          <cell r="D19">
            <v>0</v>
          </cell>
          <cell r="E19">
            <v>0</v>
          </cell>
        </row>
        <row r="20">
          <cell r="B20" t="str">
            <v>GPS</v>
          </cell>
          <cell r="C20">
            <v>2.050657533285136E-2</v>
          </cell>
          <cell r="D20">
            <v>0.24200813291280843</v>
          </cell>
          <cell r="E20">
            <v>6.8469811870277869E-2</v>
          </cell>
        </row>
        <row r="21">
          <cell r="B21" t="str">
            <v>SGPP</v>
          </cell>
          <cell r="C21">
            <v>0</v>
          </cell>
          <cell r="D21">
            <v>0</v>
          </cell>
          <cell r="E21">
            <v>0</v>
          </cell>
        </row>
        <row r="22">
          <cell r="B22" t="str">
            <v>SGPU</v>
          </cell>
          <cell r="C22">
            <v>0</v>
          </cell>
          <cell r="D22">
            <v>0</v>
          </cell>
          <cell r="E22">
            <v>0</v>
          </cell>
        </row>
        <row r="23">
          <cell r="B23" t="str">
            <v>SNP</v>
          </cell>
          <cell r="C23">
            <v>1.8057662305736712E-2</v>
          </cell>
          <cell r="D23">
            <v>0.21949486705971127</v>
          </cell>
          <cell r="E23">
            <v>6.272684867489163E-2</v>
          </cell>
        </row>
        <row r="24">
          <cell r="B24" t="str">
            <v>SSCCT</v>
          </cell>
          <cell r="C24">
            <v>0</v>
          </cell>
          <cell r="D24">
            <v>0</v>
          </cell>
          <cell r="E24">
            <v>0</v>
          </cell>
        </row>
        <row r="25">
          <cell r="B25" t="str">
            <v>SSECT</v>
          </cell>
          <cell r="C25">
            <v>0</v>
          </cell>
          <cell r="D25">
            <v>0</v>
          </cell>
          <cell r="E25">
            <v>0</v>
          </cell>
        </row>
        <row r="26">
          <cell r="B26" t="str">
            <v>SSCCH</v>
          </cell>
          <cell r="C26">
            <v>0</v>
          </cell>
          <cell r="D26">
            <v>0</v>
          </cell>
          <cell r="E26">
            <v>0</v>
          </cell>
        </row>
        <row r="27">
          <cell r="B27" t="str">
            <v>SSECH</v>
          </cell>
          <cell r="C27">
            <v>0</v>
          </cell>
          <cell r="D27">
            <v>0</v>
          </cell>
          <cell r="E27">
            <v>0</v>
          </cell>
        </row>
        <row r="28">
          <cell r="B28" t="str">
            <v>SSGCH</v>
          </cell>
          <cell r="C28">
            <v>0</v>
          </cell>
          <cell r="D28">
            <v>0</v>
          </cell>
          <cell r="E28">
            <v>0</v>
          </cell>
        </row>
        <row r="29">
          <cell r="B29" t="str">
            <v>SSCP</v>
          </cell>
          <cell r="C29">
            <v>0</v>
          </cell>
          <cell r="D29">
            <v>0</v>
          </cell>
          <cell r="E29">
            <v>0</v>
          </cell>
        </row>
        <row r="30">
          <cell r="B30" t="str">
            <v>SSEP</v>
          </cell>
          <cell r="C30">
            <v>0</v>
          </cell>
          <cell r="D30">
            <v>0</v>
          </cell>
          <cell r="E30">
            <v>0</v>
          </cell>
        </row>
        <row r="31">
          <cell r="B31" t="str">
            <v>SSGC</v>
          </cell>
          <cell r="C31">
            <v>0</v>
          </cell>
          <cell r="D31">
            <v>0</v>
          </cell>
          <cell r="E31">
            <v>0</v>
          </cell>
        </row>
        <row r="32">
          <cell r="B32" t="str">
            <v>SSGCT</v>
          </cell>
          <cell r="C32">
            <v>0</v>
          </cell>
          <cell r="D32">
            <v>0</v>
          </cell>
          <cell r="E32">
            <v>0</v>
          </cell>
        </row>
        <row r="33">
          <cell r="B33" t="str">
            <v>MC</v>
          </cell>
          <cell r="C33">
            <v>0</v>
          </cell>
          <cell r="D33">
            <v>0</v>
          </cell>
          <cell r="E33">
            <v>0</v>
          </cell>
        </row>
        <row r="34">
          <cell r="B34" t="str">
            <v>SNPD</v>
          </cell>
          <cell r="C34">
            <v>3.5150574861492298E-2</v>
          </cell>
          <cell r="D34">
            <v>0.27419474957222972</v>
          </cell>
          <cell r="E34">
            <v>6.4658033670252593E-2</v>
          </cell>
        </row>
        <row r="35">
          <cell r="B35" t="str">
            <v>CAGW</v>
          </cell>
          <cell r="C35">
            <v>4.5097469554722193E-2</v>
          </cell>
          <cell r="D35">
            <v>0.72863762943157784</v>
          </cell>
          <cell r="E35">
            <v>0.2262649010137</v>
          </cell>
        </row>
        <row r="36">
          <cell r="B36" t="str">
            <v>CAGE</v>
          </cell>
          <cell r="C36">
            <v>0</v>
          </cell>
          <cell r="D36">
            <v>0</v>
          </cell>
          <cell r="E36">
            <v>0</v>
          </cell>
        </row>
        <row r="37">
          <cell r="B37" t="str">
            <v>DNPGMP</v>
          </cell>
          <cell r="C37">
            <v>0</v>
          </cell>
          <cell r="D37">
            <v>0</v>
          </cell>
          <cell r="E37">
            <v>0</v>
          </cell>
        </row>
        <row r="38">
          <cell r="B38" t="str">
            <v>DNPGMU</v>
          </cell>
          <cell r="C38">
            <v>0</v>
          </cell>
          <cell r="D38">
            <v>0</v>
          </cell>
          <cell r="E38">
            <v>0</v>
          </cell>
        </row>
        <row r="39">
          <cell r="B39" t="str">
            <v>JBG</v>
          </cell>
          <cell r="C39">
            <v>4.4841558289520543E-2</v>
          </cell>
          <cell r="D39">
            <v>0.72450288352537784</v>
          </cell>
          <cell r="E39">
            <v>0.22498093236399827</v>
          </cell>
        </row>
        <row r="40">
          <cell r="B40" t="str">
            <v>JBE</v>
          </cell>
          <cell r="C40">
            <v>4.6035739010530326E-2</v>
          </cell>
          <cell r="D40">
            <v>0.72309415587136006</v>
          </cell>
          <cell r="E40">
            <v>0.22519547929700628</v>
          </cell>
          <cell r="X40">
            <v>0.22519547929700628</v>
          </cell>
        </row>
        <row r="41">
          <cell r="B41" t="str">
            <v>WRG</v>
          </cell>
          <cell r="C41">
            <v>9.9352017501849205E-3</v>
          </cell>
          <cell r="D41">
            <v>0.16052257305468229</v>
          </cell>
          <cell r="E41">
            <v>4.9847307681620052E-2</v>
          </cell>
        </row>
        <row r="42">
          <cell r="B42" t="str">
            <v>WRE</v>
          </cell>
          <cell r="C42">
            <v>1.0199787256174934E-2</v>
          </cell>
          <cell r="D42">
            <v>0.1602104520225949</v>
          </cell>
          <cell r="E42">
            <v>4.9894843207717421E-2</v>
          </cell>
        </row>
        <row r="43">
          <cell r="B43" t="str">
            <v>DNPPHP</v>
          </cell>
          <cell r="C43">
            <v>0</v>
          </cell>
          <cell r="D43">
            <v>0</v>
          </cell>
          <cell r="E43">
            <v>0</v>
          </cell>
        </row>
        <row r="44">
          <cell r="B44" t="str">
            <v>DNPPHU</v>
          </cell>
          <cell r="C44">
            <v>0</v>
          </cell>
          <cell r="D44">
            <v>0</v>
          </cell>
          <cell r="E44">
            <v>0</v>
          </cell>
        </row>
        <row r="45">
          <cell r="B45" t="str">
            <v>SNPPH-P</v>
          </cell>
          <cell r="C45">
            <v>3.5017668366229757E-2</v>
          </cell>
          <cell r="D45">
            <v>0.56577877026182455</v>
          </cell>
          <cell r="E45">
            <v>0.17569210301259344</v>
          </cell>
        </row>
        <row r="46">
          <cell r="B46" t="str">
            <v>SNPPH-U</v>
          </cell>
          <cell r="C46">
            <v>3.5017668366229757E-2</v>
          </cell>
          <cell r="D46">
            <v>0.56577877026182455</v>
          </cell>
          <cell r="E46">
            <v>0.17569210301259344</v>
          </cell>
        </row>
        <row r="47">
          <cell r="B47" t="str">
            <v>CN</v>
          </cell>
          <cell r="C47">
            <v>2.4696982500486811E-2</v>
          </cell>
          <cell r="D47">
            <v>0.30325158915902506</v>
          </cell>
          <cell r="E47">
            <v>6.9301032461305659E-2</v>
          </cell>
        </row>
        <row r="48">
          <cell r="B48" t="str">
            <v>CNP</v>
          </cell>
          <cell r="C48">
            <v>5.3300860897145447E-2</v>
          </cell>
          <cell r="D48">
            <v>0.65447553239691891</v>
          </cell>
          <cell r="E48">
            <v>0.14956502038966923</v>
          </cell>
        </row>
        <row r="49">
          <cell r="B49" t="str">
            <v>CNU</v>
          </cell>
          <cell r="C49">
            <v>0</v>
          </cell>
          <cell r="D49">
            <v>0</v>
          </cell>
          <cell r="E49">
            <v>0</v>
          </cell>
        </row>
        <row r="50">
          <cell r="B50" t="str">
            <v>WBTAX</v>
          </cell>
          <cell r="C50">
            <v>0</v>
          </cell>
          <cell r="D50">
            <v>0</v>
          </cell>
          <cell r="E50">
            <v>1</v>
          </cell>
        </row>
        <row r="51">
          <cell r="B51" t="str">
            <v>OPRV-ID</v>
          </cell>
          <cell r="C51">
            <v>0</v>
          </cell>
          <cell r="D51">
            <v>0</v>
          </cell>
          <cell r="E51">
            <v>0</v>
          </cell>
        </row>
        <row r="52">
          <cell r="B52" t="str">
            <v>OPRVWY</v>
          </cell>
          <cell r="C52">
            <v>0</v>
          </cell>
          <cell r="D52">
            <v>0</v>
          </cell>
          <cell r="E52">
            <v>0</v>
          </cell>
        </row>
        <row r="53">
          <cell r="B53" t="str">
            <v>EXCTAX</v>
          </cell>
          <cell r="C53">
            <v>1.3373123840437966E-2</v>
          </cell>
          <cell r="D53">
            <v>-0.12002247729209962</v>
          </cell>
          <cell r="E53">
            <v>-5.906937135183319E-2</v>
          </cell>
        </row>
        <row r="54">
          <cell r="B54" t="str">
            <v>INT</v>
          </cell>
          <cell r="C54">
            <v>1.8057662305736712E-2</v>
          </cell>
          <cell r="D54">
            <v>0.21949486705971127</v>
          </cell>
          <cell r="E54">
            <v>6.272684867489163E-2</v>
          </cell>
        </row>
        <row r="55">
          <cell r="B55" t="str">
            <v>CIAC</v>
          </cell>
          <cell r="C55">
            <v>3.5150574861492298E-2</v>
          </cell>
          <cell r="D55">
            <v>0.27419474957222972</v>
          </cell>
          <cell r="E55">
            <v>6.4658033670252593E-2</v>
          </cell>
        </row>
        <row r="56">
          <cell r="B56" t="str">
            <v>IDSIT</v>
          </cell>
          <cell r="C56">
            <v>0</v>
          </cell>
          <cell r="D56">
            <v>0</v>
          </cell>
          <cell r="E56">
            <v>0</v>
          </cell>
        </row>
        <row r="57">
          <cell r="B57" t="str">
            <v>DONOTUSE</v>
          </cell>
          <cell r="C57">
            <v>0</v>
          </cell>
          <cell r="D57">
            <v>0</v>
          </cell>
          <cell r="E57">
            <v>0</v>
          </cell>
        </row>
        <row r="58">
          <cell r="B58" t="str">
            <v>BADDEBT</v>
          </cell>
          <cell r="C58">
            <v>3.7744383516856522E-2</v>
          </cell>
          <cell r="D58">
            <v>0.48172516709767738</v>
          </cell>
          <cell r="E58">
            <v>0.13939618781456953</v>
          </cell>
        </row>
        <row r="59">
          <cell r="B59" t="str">
            <v>DONOTUSE</v>
          </cell>
          <cell r="C59">
            <v>0</v>
          </cell>
          <cell r="D59">
            <v>0</v>
          </cell>
          <cell r="E59">
            <v>0</v>
          </cell>
        </row>
        <row r="60">
          <cell r="B60" t="str">
            <v>DONOTUSE</v>
          </cell>
          <cell r="C60">
            <v>0</v>
          </cell>
          <cell r="D60">
            <v>0</v>
          </cell>
          <cell r="E60">
            <v>0</v>
          </cell>
        </row>
        <row r="61">
          <cell r="B61" t="str">
            <v>ITC84</v>
          </cell>
          <cell r="C61">
            <v>3.2870000000000003E-2</v>
          </cell>
          <cell r="D61">
            <v>0.70975999999999995</v>
          </cell>
          <cell r="E61">
            <v>0.14180000000000001</v>
          </cell>
        </row>
        <row r="62">
          <cell r="B62" t="str">
            <v>ITC85</v>
          </cell>
          <cell r="C62">
            <v>5.4199999999999998E-2</v>
          </cell>
          <cell r="D62">
            <v>0.67689999999999995</v>
          </cell>
          <cell r="E62">
            <v>0.1336</v>
          </cell>
        </row>
        <row r="63">
          <cell r="B63" t="str">
            <v>ITC86</v>
          </cell>
          <cell r="C63">
            <v>4.7890000000000002E-2</v>
          </cell>
          <cell r="D63">
            <v>0.64607999999999999</v>
          </cell>
          <cell r="E63">
            <v>0.13125999999999999</v>
          </cell>
        </row>
        <row r="64">
          <cell r="B64" t="str">
            <v>ITC88</v>
          </cell>
          <cell r="C64">
            <v>4.2700000000000002E-2</v>
          </cell>
          <cell r="D64">
            <v>0.61199999999999999</v>
          </cell>
          <cell r="E64">
            <v>0.14960000000000001</v>
          </cell>
        </row>
        <row r="65">
          <cell r="B65" t="str">
            <v>ITC89</v>
          </cell>
          <cell r="C65">
            <v>4.8806000000000002E-2</v>
          </cell>
          <cell r="D65">
            <v>0.563558</v>
          </cell>
          <cell r="E65">
            <v>0.15268799999999999</v>
          </cell>
        </row>
        <row r="66">
          <cell r="B66" t="str">
            <v>ITC90</v>
          </cell>
          <cell r="C66">
            <v>1.5047E-2</v>
          </cell>
          <cell r="D66">
            <v>0.159356</v>
          </cell>
          <cell r="E66">
            <v>3.9132E-2</v>
          </cell>
        </row>
        <row r="67">
          <cell r="B67" t="str">
            <v>OTHER</v>
          </cell>
          <cell r="C67">
            <v>0</v>
          </cell>
          <cell r="D67">
            <v>0</v>
          </cell>
          <cell r="E67">
            <v>0</v>
          </cell>
        </row>
        <row r="68">
          <cell r="B68" t="str">
            <v>NUTIL</v>
          </cell>
          <cell r="C68">
            <v>0</v>
          </cell>
          <cell r="D68">
            <v>0</v>
          </cell>
          <cell r="E68">
            <v>0</v>
          </cell>
        </row>
        <row r="69">
          <cell r="B69" t="str">
            <v>SNPPS</v>
          </cell>
          <cell r="C69">
            <v>7.9494712098986415E-3</v>
          </cell>
          <cell r="D69">
            <v>0.12844399021552996</v>
          </cell>
          <cell r="E69">
            <v>3.988522250814576E-2</v>
          </cell>
        </row>
        <row r="70">
          <cell r="B70" t="str">
            <v>SNPT</v>
          </cell>
          <cell r="C70">
            <v>9.9351121453915905E-3</v>
          </cell>
          <cell r="D70">
            <v>0.16052282537160781</v>
          </cell>
          <cell r="E70">
            <v>4.9847144969487868E-2</v>
          </cell>
        </row>
        <row r="71">
          <cell r="B71" t="str">
            <v>SNPP</v>
          </cell>
          <cell r="C71">
            <v>1.275612260758734E-2</v>
          </cell>
          <cell r="D71">
            <v>0.20610263707269105</v>
          </cell>
          <cell r="E71">
            <v>6.4000984952006915E-2</v>
          </cell>
        </row>
        <row r="72">
          <cell r="B72" t="str">
            <v>SNPPH</v>
          </cell>
          <cell r="C72">
            <v>3.5017668366229757E-2</v>
          </cell>
          <cell r="D72">
            <v>0.56577877026182455</v>
          </cell>
          <cell r="E72">
            <v>0.17569210301259344</v>
          </cell>
        </row>
        <row r="73">
          <cell r="B73" t="str">
            <v>SNPPN</v>
          </cell>
          <cell r="C73">
            <v>4.5097469554722186E-2</v>
          </cell>
          <cell r="D73">
            <v>0.72863762943157795</v>
          </cell>
          <cell r="E73">
            <v>0.22626490101370003</v>
          </cell>
        </row>
        <row r="74">
          <cell r="B74" t="str">
            <v>SNPPO</v>
          </cell>
          <cell r="C74">
            <v>1.5857464058118421E-2</v>
          </cell>
          <cell r="D74">
            <v>0.25620827850403777</v>
          </cell>
          <cell r="E74">
            <v>7.9560728664789651E-2</v>
          </cell>
        </row>
        <row r="75">
          <cell r="B75" t="str">
            <v>SNPG</v>
          </cell>
          <cell r="C75">
            <v>2.1194504272604133E-2</v>
          </cell>
          <cell r="D75">
            <v>0.2689099264488784</v>
          </cell>
          <cell r="E75">
            <v>6.9853146417129933E-2</v>
          </cell>
        </row>
        <row r="76">
          <cell r="B76" t="str">
            <v>SNPI</v>
          </cell>
          <cell r="C76">
            <v>3.0597962649176556E-2</v>
          </cell>
          <cell r="D76">
            <v>0.4606009755596453</v>
          </cell>
          <cell r="E76">
            <v>0.14015360210585476</v>
          </cell>
        </row>
        <row r="77">
          <cell r="B77" t="str">
            <v>TROJP</v>
          </cell>
          <cell r="C77">
            <v>4.5279910026875356E-2</v>
          </cell>
          <cell r="D77">
            <v>0.72842241163931865</v>
          </cell>
          <cell r="E77">
            <v>0.22629767833380601</v>
          </cell>
        </row>
        <row r="78">
          <cell r="B78" t="str">
            <v>TROJD</v>
          </cell>
          <cell r="C78">
            <v>4.5312132701390104E-2</v>
          </cell>
          <cell r="D78">
            <v>0.72838439982764158</v>
          </cell>
          <cell r="E78">
            <v>0.2263034674709683</v>
          </cell>
        </row>
        <row r="79">
          <cell r="B79" t="str">
            <v>IBT</v>
          </cell>
          <cell r="C79">
            <v>1.0455447661702994E-2</v>
          </cell>
          <cell r="D79">
            <v>-6.6251818847321925E-2</v>
          </cell>
          <cell r="E79">
            <v>0</v>
          </cell>
        </row>
        <row r="80">
          <cell r="B80" t="str">
            <v>DITEXP</v>
          </cell>
          <cell r="C80">
            <v>1.9141955588282758E-2</v>
          </cell>
          <cell r="D80">
            <v>0.27398036455512026</v>
          </cell>
          <cell r="E80">
            <v>3.2100059840287035E-2</v>
          </cell>
        </row>
        <row r="81">
          <cell r="B81" t="str">
            <v>DITBAL</v>
          </cell>
          <cell r="C81">
            <v>2.243815344552089E-2</v>
          </cell>
          <cell r="D81">
            <v>0.27374701471248875</v>
          </cell>
          <cell r="E81">
            <v>6.1772153853148895E-2</v>
          </cell>
        </row>
        <row r="82">
          <cell r="B82" t="str">
            <v>TAXDEPR</v>
          </cell>
          <cell r="C82">
            <v>2.1199855855487736E-2</v>
          </cell>
          <cell r="D82">
            <v>0.26393302294368043</v>
          </cell>
          <cell r="E82">
            <v>5.7974386662337701E-2</v>
          </cell>
        </row>
        <row r="83">
          <cell r="B83" t="str">
            <v>DONOTUSE</v>
          </cell>
          <cell r="C83">
            <v>0</v>
          </cell>
          <cell r="D83">
            <v>0</v>
          </cell>
          <cell r="E83">
            <v>0</v>
          </cell>
        </row>
        <row r="84">
          <cell r="B84" t="str">
            <v>DONOTUSE</v>
          </cell>
          <cell r="C84">
            <v>0</v>
          </cell>
          <cell r="D84">
            <v>0</v>
          </cell>
          <cell r="E84">
            <v>0</v>
          </cell>
        </row>
        <row r="85">
          <cell r="B85" t="str">
            <v>DONOTUSE</v>
          </cell>
          <cell r="C85">
            <v>0</v>
          </cell>
          <cell r="D85">
            <v>0</v>
          </cell>
          <cell r="E85">
            <v>0</v>
          </cell>
        </row>
        <row r="86">
          <cell r="B86" t="str">
            <v>SCHMDEXP</v>
          </cell>
          <cell r="C86">
            <v>2.2066223635101571E-2</v>
          </cell>
          <cell r="D86">
            <v>0.25316785342439474</v>
          </cell>
          <cell r="E86">
            <v>7.3511172354174648E-2</v>
          </cell>
        </row>
        <row r="87">
          <cell r="B87" t="str">
            <v>SCHMAEXP</v>
          </cell>
          <cell r="C87">
            <v>2.5306422886963567E-2</v>
          </cell>
          <cell r="D87">
            <v>0.33369518180373042</v>
          </cell>
          <cell r="E87">
            <v>9.9644873827371416E-2</v>
          </cell>
        </row>
        <row r="88">
          <cell r="B88" t="str">
            <v>SGCT</v>
          </cell>
          <cell r="C88">
            <v>1.6030907624327944E-2</v>
          </cell>
          <cell r="D88">
            <v>0.26079081561403927</v>
          </cell>
          <cell r="E88">
            <v>8.0731319493653669E-2</v>
          </cell>
        </row>
        <row r="102">
          <cell r="C102" t="str">
            <v>TOTAL</v>
          </cell>
          <cell r="D102" t="str">
            <v>California</v>
          </cell>
          <cell r="E102" t="str">
            <v>Oregon</v>
          </cell>
        </row>
        <row r="106">
          <cell r="B106" t="str">
            <v>JBG</v>
          </cell>
          <cell r="C106">
            <v>1057698276.4741656</v>
          </cell>
          <cell r="D106">
            <v>47428838.917241715</v>
          </cell>
          <cell r="E106">
            <v>766305451.20535529</v>
          </cell>
        </row>
        <row r="107">
          <cell r="B107" t="str">
            <v>S</v>
          </cell>
          <cell r="C107">
            <v>0</v>
          </cell>
          <cell r="D107">
            <v>0</v>
          </cell>
          <cell r="E107">
            <v>0</v>
          </cell>
        </row>
        <row r="108">
          <cell r="B108" t="str">
            <v>SG</v>
          </cell>
          <cell r="C108">
            <v>10364450.709583299</v>
          </cell>
          <cell r="D108">
            <v>165539.56496939601</v>
          </cell>
          <cell r="E108">
            <v>2692997.7501240745</v>
          </cell>
        </row>
        <row r="109">
          <cell r="B109" t="str">
            <v>CAGW</v>
          </cell>
          <cell r="C109">
            <v>255628338.33791614</v>
          </cell>
          <cell r="D109">
            <v>11528191.2055184</v>
          </cell>
          <cell r="E109">
            <v>186260426.46207255</v>
          </cell>
        </row>
        <row r="110">
          <cell r="B110" t="str">
            <v>CAGE</v>
          </cell>
          <cell r="C110">
            <v>4970332115.3704128</v>
          </cell>
          <cell r="D110">
            <v>0</v>
          </cell>
          <cell r="E110">
            <v>0</v>
          </cell>
        </row>
        <row r="111">
          <cell r="B111" t="str">
            <v>SSGCH</v>
          </cell>
          <cell r="C111">
            <v>0</v>
          </cell>
          <cell r="D111">
            <v>0</v>
          </cell>
          <cell r="E111">
            <v>0</v>
          </cell>
        </row>
        <row r="112">
          <cell r="C112">
            <v>6294023180.8920784</v>
          </cell>
          <cell r="D112">
            <v>59122569.687729515</v>
          </cell>
          <cell r="E112">
            <v>955258875.41755199</v>
          </cell>
        </row>
        <row r="115">
          <cell r="B115" t="str">
            <v>JBG</v>
          </cell>
          <cell r="C115">
            <v>-490554640.84666669</v>
          </cell>
          <cell r="D115">
            <v>-21997234.521720618</v>
          </cell>
          <cell r="E115">
            <v>-355408251.82016611</v>
          </cell>
        </row>
        <row r="116">
          <cell r="B116" t="str">
            <v>S</v>
          </cell>
          <cell r="C116">
            <v>0</v>
          </cell>
          <cell r="D116">
            <v>0</v>
          </cell>
          <cell r="E116">
            <v>0</v>
          </cell>
        </row>
        <row r="117">
          <cell r="B117" t="str">
            <v>SG</v>
          </cell>
          <cell r="C117">
            <v>0</v>
          </cell>
          <cell r="D117">
            <v>0</v>
          </cell>
          <cell r="E117">
            <v>0</v>
          </cell>
        </row>
        <row r="118">
          <cell r="B118" t="str">
            <v>CAGW</v>
          </cell>
          <cell r="C118">
            <v>-143779966.86041665</v>
          </cell>
          <cell r="D118">
            <v>-6484112.6780666057</v>
          </cell>
          <cell r="E118">
            <v>-104763494.21292481</v>
          </cell>
        </row>
        <row r="119">
          <cell r="B119" t="str">
            <v>CAGE</v>
          </cell>
          <cell r="C119">
            <v>-1805190370.8658268</v>
          </cell>
          <cell r="D119">
            <v>0</v>
          </cell>
          <cell r="E119">
            <v>0</v>
          </cell>
        </row>
        <row r="120">
          <cell r="B120" t="str">
            <v>SSGCH</v>
          </cell>
          <cell r="C120">
            <v>0</v>
          </cell>
          <cell r="D120">
            <v>0</v>
          </cell>
          <cell r="E120">
            <v>0</v>
          </cell>
        </row>
        <row r="121">
          <cell r="C121">
            <v>-2439524978.5729103</v>
          </cell>
          <cell r="D121">
            <v>-28481347.199787222</v>
          </cell>
          <cell r="E121">
            <v>-460171746.03309095</v>
          </cell>
        </row>
        <row r="124">
          <cell r="C124">
            <v>3854498202.3191681</v>
          </cell>
          <cell r="D124">
            <v>30641222.487942293</v>
          </cell>
          <cell r="E124">
            <v>495087129.38446105</v>
          </cell>
        </row>
        <row r="126">
          <cell r="C126">
            <v>0.70581154830694459</v>
          </cell>
          <cell r="D126">
            <v>7.9494712098986415E-3</v>
          </cell>
          <cell r="E126">
            <v>0.12844399021552996</v>
          </cell>
        </row>
        <row r="129">
          <cell r="C129" t="str">
            <v>TOTAL</v>
          </cell>
          <cell r="D129" t="str">
            <v>California</v>
          </cell>
          <cell r="E129" t="str">
            <v>Oregon</v>
          </cell>
        </row>
        <row r="131">
          <cell r="B131" t="str">
            <v>DGP</v>
          </cell>
          <cell r="C131">
            <v>0</v>
          </cell>
          <cell r="D131">
            <v>0</v>
          </cell>
          <cell r="E131">
            <v>0</v>
          </cell>
        </row>
        <row r="132">
          <cell r="B132" t="str">
            <v>DGU</v>
          </cell>
          <cell r="C132">
            <v>0</v>
          </cell>
          <cell r="D132">
            <v>0</v>
          </cell>
          <cell r="E132">
            <v>0</v>
          </cell>
        </row>
        <row r="133">
          <cell r="B133" t="str">
            <v>SG</v>
          </cell>
          <cell r="C133">
            <v>0</v>
          </cell>
          <cell r="D133">
            <v>0</v>
          </cell>
          <cell r="E133">
            <v>0</v>
          </cell>
        </row>
        <row r="134">
          <cell r="C134">
            <v>0</v>
          </cell>
          <cell r="D134">
            <v>0</v>
          </cell>
          <cell r="E134">
            <v>0</v>
          </cell>
        </row>
        <row r="137">
          <cell r="B137" t="str">
            <v>DGP</v>
          </cell>
          <cell r="C137">
            <v>0</v>
          </cell>
          <cell r="D137">
            <v>0</v>
          </cell>
          <cell r="E137">
            <v>0</v>
          </cell>
        </row>
        <row r="138">
          <cell r="B138" t="str">
            <v>DGU</v>
          </cell>
          <cell r="C138">
            <v>0</v>
          </cell>
          <cell r="D138">
            <v>0</v>
          </cell>
          <cell r="E138">
            <v>0</v>
          </cell>
        </row>
        <row r="139">
          <cell r="B139" t="str">
            <v>SG</v>
          </cell>
          <cell r="C139">
            <v>0</v>
          </cell>
          <cell r="D139">
            <v>0</v>
          </cell>
          <cell r="E139">
            <v>0</v>
          </cell>
        </row>
        <row r="140">
          <cell r="C140">
            <v>0</v>
          </cell>
          <cell r="D140">
            <v>0</v>
          </cell>
          <cell r="E140">
            <v>0</v>
          </cell>
        </row>
        <row r="142">
          <cell r="C142">
            <v>0</v>
          </cell>
          <cell r="D142">
            <v>0</v>
          </cell>
          <cell r="E142">
            <v>0</v>
          </cell>
        </row>
        <row r="144">
          <cell r="C144">
            <v>0</v>
          </cell>
          <cell r="D144">
            <v>0</v>
          </cell>
          <cell r="E144">
            <v>0</v>
          </cell>
        </row>
        <row r="147">
          <cell r="C147" t="str">
            <v>TOTAL</v>
          </cell>
          <cell r="D147" t="str">
            <v>California</v>
          </cell>
          <cell r="E147" t="str">
            <v>Oregon</v>
          </cell>
        </row>
        <row r="149">
          <cell r="B149" t="str">
            <v>DGP</v>
          </cell>
          <cell r="C149">
            <v>0</v>
          </cell>
          <cell r="D149">
            <v>0</v>
          </cell>
          <cell r="E149">
            <v>0</v>
          </cell>
        </row>
        <row r="150">
          <cell r="B150" t="str">
            <v>DGU</v>
          </cell>
          <cell r="C150">
            <v>0</v>
          </cell>
          <cell r="D150">
            <v>0</v>
          </cell>
          <cell r="E150">
            <v>0</v>
          </cell>
        </row>
        <row r="151">
          <cell r="B151" t="str">
            <v>CAGW</v>
          </cell>
          <cell r="C151">
            <v>553620935.70333195</v>
          </cell>
          <cell r="D151">
            <v>24966903.292737827</v>
          </cell>
          <cell r="E151">
            <v>403389046.19456774</v>
          </cell>
        </row>
        <row r="152">
          <cell r="B152" t="str">
            <v>CAGE</v>
          </cell>
          <cell r="C152">
            <v>150711191.91541651</v>
          </cell>
          <cell r="D152">
            <v>0</v>
          </cell>
          <cell r="E152">
            <v>0</v>
          </cell>
        </row>
        <row r="153">
          <cell r="B153" t="str">
            <v>SG</v>
          </cell>
          <cell r="C153">
            <v>0</v>
          </cell>
          <cell r="D153">
            <v>0</v>
          </cell>
          <cell r="E153">
            <v>0</v>
          </cell>
        </row>
        <row r="154">
          <cell r="C154">
            <v>704332127.61874843</v>
          </cell>
          <cell r="D154">
            <v>24966903.292737827</v>
          </cell>
          <cell r="E154">
            <v>403389046.19456774</v>
          </cell>
        </row>
        <row r="157">
          <cell r="B157" t="str">
            <v>DGP</v>
          </cell>
          <cell r="C157">
            <v>0</v>
          </cell>
          <cell r="D157">
            <v>0</v>
          </cell>
          <cell r="E157">
            <v>0</v>
          </cell>
        </row>
        <row r="158">
          <cell r="B158" t="str">
            <v>DGU</v>
          </cell>
          <cell r="C158">
            <v>0</v>
          </cell>
          <cell r="D158">
            <v>0</v>
          </cell>
          <cell r="E158">
            <v>0</v>
          </cell>
        </row>
        <row r="159">
          <cell r="B159" t="str">
            <v>CAEW</v>
          </cell>
          <cell r="C159">
            <v>-213065486.87083265</v>
          </cell>
          <cell r="D159">
            <v>-9608714.3073194362</v>
          </cell>
          <cell r="E159">
            <v>-155247531.26724848</v>
          </cell>
        </row>
        <row r="160">
          <cell r="B160" t="str">
            <v>CAEE</v>
          </cell>
          <cell r="C160">
            <v>-52682642.955833264</v>
          </cell>
          <cell r="D160">
            <v>0</v>
          </cell>
          <cell r="E160">
            <v>0</v>
          </cell>
        </row>
        <row r="161">
          <cell r="B161" t="str">
            <v>SG</v>
          </cell>
        </row>
        <row r="162">
          <cell r="C162">
            <v>-265748129.82666591</v>
          </cell>
          <cell r="D162">
            <v>-9608714.3073194362</v>
          </cell>
          <cell r="E162">
            <v>-155247531.26724848</v>
          </cell>
        </row>
        <row r="164">
          <cell r="C164">
            <v>438583997.79208255</v>
          </cell>
          <cell r="D164">
            <v>15358188.98541839</v>
          </cell>
          <cell r="E164">
            <v>248141514.92731926</v>
          </cell>
        </row>
        <row r="166">
          <cell r="C166">
            <v>0.92000575780328619</v>
          </cell>
          <cell r="D166">
            <v>3.5017668366229757E-2</v>
          </cell>
          <cell r="E166">
            <v>0.56577877026182455</v>
          </cell>
        </row>
        <row r="169">
          <cell r="C169" t="str">
            <v>TOTAL</v>
          </cell>
          <cell r="D169" t="str">
            <v>California</v>
          </cell>
          <cell r="E169" t="str">
            <v>Oregon</v>
          </cell>
        </row>
        <row r="171">
          <cell r="B171" t="str">
            <v>DGP</v>
          </cell>
          <cell r="C171">
            <v>0</v>
          </cell>
          <cell r="D171">
            <v>0</v>
          </cell>
          <cell r="E171">
            <v>0</v>
          </cell>
        </row>
        <row r="172">
          <cell r="B172" t="str">
            <v>DGU</v>
          </cell>
          <cell r="C172">
            <v>0</v>
          </cell>
          <cell r="D172">
            <v>0</v>
          </cell>
          <cell r="E172">
            <v>0</v>
          </cell>
        </row>
        <row r="173">
          <cell r="B173" t="str">
            <v>SG</v>
          </cell>
          <cell r="C173">
            <v>685.34666666666601</v>
          </cell>
          <cell r="D173">
            <v>10.946261623717719</v>
          </cell>
          <cell r="E173">
            <v>178.07379118334089</v>
          </cell>
        </row>
        <row r="174">
          <cell r="B174" t="str">
            <v>CAGW</v>
          </cell>
          <cell r="C174">
            <v>1236629148.9533329</v>
          </cell>
          <cell r="D174">
            <v>55768845.395404935</v>
          </cell>
          <cell r="E174">
            <v>901054531.57934582</v>
          </cell>
        </row>
        <row r="175">
          <cell r="B175" t="str">
            <v>CAGE</v>
          </cell>
          <cell r="C175">
            <v>2076140212.4416654</v>
          </cell>
          <cell r="D175">
            <v>0</v>
          </cell>
          <cell r="E175">
            <v>0</v>
          </cell>
        </row>
        <row r="176">
          <cell r="B176" t="str">
            <v>SSGCT</v>
          </cell>
          <cell r="C176">
            <v>0</v>
          </cell>
          <cell r="D176">
            <v>0</v>
          </cell>
          <cell r="E176">
            <v>0</v>
          </cell>
        </row>
        <row r="177">
          <cell r="C177">
            <v>3312770046.7416649</v>
          </cell>
          <cell r="D177">
            <v>55768856.341666557</v>
          </cell>
          <cell r="E177">
            <v>901054709.65313697</v>
          </cell>
        </row>
        <row r="180">
          <cell r="B180" t="str">
            <v>DGP</v>
          </cell>
          <cell r="C180">
            <v>0</v>
          </cell>
          <cell r="D180">
            <v>0</v>
          </cell>
          <cell r="E180">
            <v>0</v>
          </cell>
        </row>
        <row r="181">
          <cell r="B181" t="str">
            <v>DGU</v>
          </cell>
          <cell r="C181">
            <v>0</v>
          </cell>
          <cell r="D181">
            <v>0</v>
          </cell>
          <cell r="E181">
            <v>0</v>
          </cell>
        </row>
        <row r="182">
          <cell r="B182" t="str">
            <v>SG</v>
          </cell>
          <cell r="C182">
            <v>0</v>
          </cell>
          <cell r="D182">
            <v>0</v>
          </cell>
          <cell r="E182">
            <v>0</v>
          </cell>
        </row>
        <row r="183">
          <cell r="B183" t="str">
            <v>CAGW</v>
          </cell>
          <cell r="C183">
            <v>-243014561.87666601</v>
          </cell>
          <cell r="D183">
            <v>-10959341.805587098</v>
          </cell>
          <cell r="E183">
            <v>-177069554.28316742</v>
          </cell>
        </row>
        <row r="184">
          <cell r="B184" t="str">
            <v>CAGE</v>
          </cell>
          <cell r="C184">
            <v>-243987482.37416634</v>
          </cell>
          <cell r="D184">
            <v>0</v>
          </cell>
          <cell r="E184">
            <v>0</v>
          </cell>
        </row>
        <row r="185">
          <cell r="B185" t="str">
            <v>SSGCT</v>
          </cell>
          <cell r="C185">
            <v>0</v>
          </cell>
          <cell r="D185">
            <v>0</v>
          </cell>
          <cell r="E185">
            <v>0</v>
          </cell>
        </row>
        <row r="186">
          <cell r="C186">
            <v>-487002044.25083232</v>
          </cell>
          <cell r="D186">
            <v>-10959341.805587098</v>
          </cell>
          <cell r="E186">
            <v>-177069554.28316742</v>
          </cell>
        </row>
        <row r="188">
          <cell r="C188">
            <v>2825768002.4908323</v>
          </cell>
          <cell r="D188">
            <v>44809514.536079459</v>
          </cell>
          <cell r="E188">
            <v>723985155.36996961</v>
          </cell>
        </row>
        <row r="190">
          <cell r="C190">
            <v>0.76794864574094746</v>
          </cell>
          <cell r="D190">
            <v>1.5857464058118421E-2</v>
          </cell>
          <cell r="E190">
            <v>0.25620827850403777</v>
          </cell>
        </row>
        <row r="193">
          <cell r="C193" t="str">
            <v>TOTAL</v>
          </cell>
          <cell r="D193" t="str">
            <v>California</v>
          </cell>
          <cell r="E193" t="str">
            <v>Oregon</v>
          </cell>
        </row>
        <row r="195">
          <cell r="B195" t="str">
            <v>JBG</v>
          </cell>
          <cell r="C195">
            <v>1057698276.4741656</v>
          </cell>
          <cell r="D195">
            <v>47428838.917241715</v>
          </cell>
          <cell r="E195">
            <v>766305451.20535529</v>
          </cell>
        </row>
        <row r="196">
          <cell r="B196" t="str">
            <v>DGU</v>
          </cell>
          <cell r="C196">
            <v>0</v>
          </cell>
          <cell r="D196">
            <v>0</v>
          </cell>
          <cell r="E196">
            <v>0</v>
          </cell>
        </row>
        <row r="197">
          <cell r="B197" t="str">
            <v>SG</v>
          </cell>
          <cell r="C197">
            <v>10365136.056249965</v>
          </cell>
          <cell r="D197">
            <v>165550.51123101974</v>
          </cell>
          <cell r="E197">
            <v>2693175.823915258</v>
          </cell>
        </row>
        <row r="198">
          <cell r="B198" t="str">
            <v>CAGW</v>
          </cell>
          <cell r="C198">
            <v>2045878422.994581</v>
          </cell>
          <cell r="D198">
            <v>92263939.893661171</v>
          </cell>
          <cell r="E198">
            <v>1490704004.2359862</v>
          </cell>
        </row>
        <row r="199">
          <cell r="B199" t="str">
            <v>CAGE</v>
          </cell>
          <cell r="C199">
            <v>7197183519.7274952</v>
          </cell>
          <cell r="D199">
            <v>0</v>
          </cell>
          <cell r="E199">
            <v>0</v>
          </cell>
        </row>
        <row r="200">
          <cell r="B200" t="str">
            <v>S</v>
          </cell>
          <cell r="C200">
            <v>0</v>
          </cell>
          <cell r="D200">
            <v>0</v>
          </cell>
          <cell r="E200">
            <v>0</v>
          </cell>
        </row>
        <row r="201">
          <cell r="B201" t="str">
            <v>SSGCT</v>
          </cell>
          <cell r="C201">
            <v>0</v>
          </cell>
          <cell r="D201">
            <v>0</v>
          </cell>
          <cell r="E201">
            <v>0</v>
          </cell>
        </row>
        <row r="202">
          <cell r="C202">
            <v>10311125355.252491</v>
          </cell>
          <cell r="D202">
            <v>139858329.3221339</v>
          </cell>
          <cell r="E202">
            <v>2259702631.2652569</v>
          </cell>
        </row>
        <row r="205">
          <cell r="B205" t="str">
            <v>S</v>
          </cell>
          <cell r="C205">
            <v>0</v>
          </cell>
          <cell r="D205">
            <v>0</v>
          </cell>
          <cell r="E205">
            <v>0</v>
          </cell>
        </row>
        <row r="206">
          <cell r="B206" t="str">
            <v>DGU</v>
          </cell>
          <cell r="C206">
            <v>0</v>
          </cell>
          <cell r="D206">
            <v>0</v>
          </cell>
          <cell r="E206">
            <v>0</v>
          </cell>
        </row>
        <row r="207">
          <cell r="B207" t="str">
            <v>SG</v>
          </cell>
          <cell r="C207">
            <v>0</v>
          </cell>
          <cell r="D207">
            <v>0</v>
          </cell>
          <cell r="E207">
            <v>0</v>
          </cell>
        </row>
        <row r="208">
          <cell r="B208" t="str">
            <v>CAGW</v>
          </cell>
          <cell r="C208">
            <v>-599860015.6079154</v>
          </cell>
          <cell r="D208">
            <v>-27052168.790973138</v>
          </cell>
          <cell r="E208">
            <v>-437080579.76334065</v>
          </cell>
        </row>
        <row r="209">
          <cell r="B209" t="str">
            <v>CAGE</v>
          </cell>
          <cell r="C209">
            <v>-2101860496.1958265</v>
          </cell>
          <cell r="D209">
            <v>0</v>
          </cell>
          <cell r="E209">
            <v>0</v>
          </cell>
        </row>
        <row r="210">
          <cell r="B210" t="str">
            <v>JBG</v>
          </cell>
          <cell r="C210">
            <v>-490554640.84666669</v>
          </cell>
          <cell r="D210">
            <v>-21997234.521720618</v>
          </cell>
          <cell r="E210">
            <v>-355408251.82016611</v>
          </cell>
        </row>
        <row r="211">
          <cell r="B211" t="str">
            <v>SSGCT</v>
          </cell>
          <cell r="C211">
            <v>0</v>
          </cell>
          <cell r="D211">
            <v>0</v>
          </cell>
          <cell r="E211">
            <v>0</v>
          </cell>
        </row>
        <row r="212">
          <cell r="C212">
            <v>-3192275152.6504087</v>
          </cell>
          <cell r="D212">
            <v>-49049403.31269376</v>
          </cell>
          <cell r="E212">
            <v>-792488831.58350682</v>
          </cell>
        </row>
        <row r="214">
          <cell r="C214">
            <v>7118850202.6020823</v>
          </cell>
          <cell r="D214">
            <v>90808926.009440139</v>
          </cell>
          <cell r="E214">
            <v>1467213799.6817501</v>
          </cell>
        </row>
        <row r="216">
          <cell r="C216">
            <v>0.7436726026529068</v>
          </cell>
          <cell r="D216">
            <v>1.275612260758734E-2</v>
          </cell>
          <cell r="E216">
            <v>0.20610263707269105</v>
          </cell>
        </row>
        <row r="219">
          <cell r="C219" t="str">
            <v>TOTAL</v>
          </cell>
          <cell r="D219" t="str">
            <v>California</v>
          </cell>
          <cell r="E219" t="str">
            <v>Oregon</v>
          </cell>
        </row>
        <row r="221">
          <cell r="B221" t="str">
            <v>JBG</v>
          </cell>
          <cell r="C221">
            <v>52219677.719166562</v>
          </cell>
          <cell r="D221">
            <v>2341611.7223039847</v>
          </cell>
          <cell r="E221">
            <v>37833307.084302098</v>
          </cell>
        </row>
        <row r="222">
          <cell r="B222" t="str">
            <v>DGU</v>
          </cell>
          <cell r="C222">
            <v>0</v>
          </cell>
          <cell r="D222">
            <v>0</v>
          </cell>
          <cell r="E222">
            <v>0</v>
          </cell>
        </row>
        <row r="223">
          <cell r="B223" t="str">
            <v>CAGW</v>
          </cell>
          <cell r="C223">
            <v>1146618457.5241642</v>
          </cell>
          <cell r="D223">
            <v>51709590.979078516</v>
          </cell>
          <cell r="E223">
            <v>835469354.75289941</v>
          </cell>
        </row>
        <row r="224">
          <cell r="B224" t="str">
            <v>CAGE</v>
          </cell>
          <cell r="C224">
            <v>3297154490.2495818</v>
          </cell>
          <cell r="D224">
            <v>0</v>
          </cell>
          <cell r="E224">
            <v>0</v>
          </cell>
        </row>
        <row r="225">
          <cell r="B225" t="str">
            <v>SG</v>
          </cell>
          <cell r="C225">
            <v>4583390.3525</v>
          </cell>
          <cell r="D225">
            <v>73205.273130029818</v>
          </cell>
          <cell r="E225">
            <v>1190903.4306864045</v>
          </cell>
        </row>
        <row r="226">
          <cell r="C226">
            <v>4500576015.8454123</v>
          </cell>
          <cell r="D226">
            <v>54124407.974512532</v>
          </cell>
          <cell r="E226">
            <v>874493565.26788783</v>
          </cell>
        </row>
        <row r="229">
          <cell r="B229" t="str">
            <v>DGP</v>
          </cell>
          <cell r="C229">
            <v>0</v>
          </cell>
          <cell r="D229">
            <v>0</v>
          </cell>
          <cell r="E229">
            <v>0</v>
          </cell>
        </row>
        <row r="230">
          <cell r="B230" t="str">
            <v>JBG</v>
          </cell>
          <cell r="C230">
            <v>-43471174.315416597</v>
          </cell>
          <cell r="D230">
            <v>-1949315.1969786617</v>
          </cell>
          <cell r="E230">
            <v>-31494991.141753666</v>
          </cell>
        </row>
        <row r="231">
          <cell r="B231" t="str">
            <v>CAGW</v>
          </cell>
          <cell r="C231">
            <v>-434651479.10166597</v>
          </cell>
          <cell r="D231">
            <v>-19601681.84570235</v>
          </cell>
          <cell r="E231">
            <v>-316703423.3615669</v>
          </cell>
        </row>
        <row r="232">
          <cell r="B232" t="str">
            <v>CAGE</v>
          </cell>
          <cell r="C232">
            <v>-744714863.75124943</v>
          </cell>
          <cell r="D232">
            <v>0</v>
          </cell>
          <cell r="E232">
            <v>0</v>
          </cell>
        </row>
        <row r="233">
          <cell r="B233" t="str">
            <v>SG</v>
          </cell>
          <cell r="C233">
            <v>-1443055.62</v>
          </cell>
          <cell r="D233">
            <v>-23048.283623999818</v>
          </cell>
          <cell r="E233">
            <v>-374949.49292109121</v>
          </cell>
        </row>
        <row r="234">
          <cell r="C234">
            <v>-1224280572.788332</v>
          </cell>
          <cell r="D234">
            <v>-21574045.326305013</v>
          </cell>
          <cell r="E234">
            <v>-348573363.99624169</v>
          </cell>
        </row>
        <row r="236">
          <cell r="C236">
            <v>3276295443.0570803</v>
          </cell>
          <cell r="D236">
            <v>32550362.648207519</v>
          </cell>
          <cell r="E236">
            <v>525920201.27164614</v>
          </cell>
        </row>
        <row r="238">
          <cell r="C238">
            <v>0.72116980410894671</v>
          </cell>
          <cell r="D238">
            <v>9.9351121453915905E-3</v>
          </cell>
          <cell r="E238">
            <v>0.16052282537160781</v>
          </cell>
        </row>
        <row r="241">
          <cell r="C241" t="str">
            <v>TOTAL</v>
          </cell>
          <cell r="D241" t="str">
            <v>California</v>
          </cell>
          <cell r="E241" t="str">
            <v>Oregon</v>
          </cell>
        </row>
        <row r="243">
          <cell r="B243" t="str">
            <v>S</v>
          </cell>
          <cell r="C243">
            <v>2874953332.7774963</v>
          </cell>
          <cell r="D243">
            <v>224709963.6541664</v>
          </cell>
          <cell r="E243">
            <v>1752290407.6437476</v>
          </cell>
        </row>
        <row r="245">
          <cell r="B245" t="str">
            <v>S</v>
          </cell>
          <cell r="C245">
            <v>-1264124978.9245818</v>
          </cell>
          <cell r="D245">
            <v>-101754311.13291654</v>
          </cell>
          <cell r="E245">
            <v>-793165429.3354156</v>
          </cell>
        </row>
        <row r="246">
          <cell r="C246">
            <v>1610828353.8529146</v>
          </cell>
          <cell r="D246">
            <v>122955652.52124986</v>
          </cell>
          <cell r="E246">
            <v>959124978.30833197</v>
          </cell>
        </row>
        <row r="248">
          <cell r="C248">
            <v>0.99999999999999978</v>
          </cell>
          <cell r="D248">
            <v>7.6330697946279752E-2</v>
          </cell>
          <cell r="E248">
            <v>0.59542345155162946</v>
          </cell>
        </row>
        <row r="252">
          <cell r="B252" t="str">
            <v>S</v>
          </cell>
          <cell r="C252">
            <v>2789757874.1387463</v>
          </cell>
          <cell r="D252">
            <v>0</v>
          </cell>
          <cell r="E252">
            <v>0</v>
          </cell>
        </row>
        <row r="254">
          <cell r="B254" t="str">
            <v>S</v>
          </cell>
          <cell r="C254">
            <v>-902616336.86624885</v>
          </cell>
          <cell r="D254">
            <v>0</v>
          </cell>
          <cell r="E254">
            <v>0</v>
          </cell>
        </row>
        <row r="255">
          <cell r="C255">
            <v>1887141537.2724974</v>
          </cell>
          <cell r="D255">
            <v>0</v>
          </cell>
          <cell r="E255">
            <v>0</v>
          </cell>
        </row>
        <row r="257">
          <cell r="C257">
            <v>0.99999999999999989</v>
          </cell>
          <cell r="D257">
            <v>0</v>
          </cell>
          <cell r="E257">
            <v>0</v>
          </cell>
        </row>
        <row r="259">
          <cell r="C259">
            <v>3497969891.125412</v>
          </cell>
          <cell r="D259">
            <v>122955652.52124986</v>
          </cell>
          <cell r="E259">
            <v>959124978.30833197</v>
          </cell>
        </row>
        <row r="261">
          <cell r="C261">
            <v>0.99999999999999989</v>
          </cell>
          <cell r="D261">
            <v>3.5150574861492298E-2</v>
          </cell>
          <cell r="E261">
            <v>0.27419474957222972</v>
          </cell>
        </row>
        <row r="264">
          <cell r="C264" t="str">
            <v>TOTAL</v>
          </cell>
          <cell r="D264" t="str">
            <v>California</v>
          </cell>
          <cell r="E264" t="str">
            <v>Oregon</v>
          </cell>
        </row>
        <row r="266">
          <cell r="B266" t="str">
            <v>S</v>
          </cell>
          <cell r="C266">
            <v>531901486.0054161</v>
          </cell>
          <cell r="D266">
            <v>14386506.825833313</v>
          </cell>
          <cell r="E266">
            <v>167930540.93291658</v>
          </cell>
        </row>
        <row r="267">
          <cell r="B267" t="str">
            <v>JBG</v>
          </cell>
          <cell r="C267">
            <v>15506753.634583315</v>
          </cell>
          <cell r="D267">
            <v>695346.99698640243</v>
          </cell>
          <cell r="E267">
            <v>11234687.722373245</v>
          </cell>
        </row>
        <row r="268">
          <cell r="B268" t="str">
            <v>JBE</v>
          </cell>
          <cell r="C268">
            <v>5117.2212499999996</v>
          </cell>
          <cell r="D268">
            <v>235.57506192413973</v>
          </cell>
          <cell r="E268">
            <v>3700.2327801757356</v>
          </cell>
        </row>
        <row r="269">
          <cell r="B269" t="str">
            <v>SE</v>
          </cell>
          <cell r="C269">
            <v>0</v>
          </cell>
          <cell r="D269">
            <v>0</v>
          </cell>
          <cell r="E269">
            <v>0</v>
          </cell>
        </row>
        <row r="270">
          <cell r="B270" t="str">
            <v>SG</v>
          </cell>
          <cell r="C270">
            <v>138683.51</v>
          </cell>
          <cell r="D270">
            <v>2215.0337299208295</v>
          </cell>
          <cell r="E270">
            <v>36034.170152788072</v>
          </cell>
        </row>
        <row r="271">
          <cell r="B271" t="str">
            <v>SO</v>
          </cell>
          <cell r="C271">
            <v>262915143.60583287</v>
          </cell>
          <cell r="D271">
            <v>5391489.1985004442</v>
          </cell>
          <cell r="E271">
            <v>63627603.018550508</v>
          </cell>
        </row>
        <row r="272">
          <cell r="B272" t="str">
            <v>CN</v>
          </cell>
          <cell r="C272">
            <v>24957484.898749933</v>
          </cell>
          <cell r="D272">
            <v>616374.56780059077</v>
          </cell>
          <cell r="E272">
            <v>7568396.9569582846</v>
          </cell>
        </row>
        <row r="273">
          <cell r="B273" t="str">
            <v>DEU</v>
          </cell>
          <cell r="C273">
            <v>0</v>
          </cell>
          <cell r="D273">
            <v>0</v>
          </cell>
          <cell r="E273">
            <v>0</v>
          </cell>
        </row>
        <row r="274">
          <cell r="B274" t="str">
            <v>CAGW</v>
          </cell>
          <cell r="C274">
            <v>48722931.662916593</v>
          </cell>
          <cell r="D274">
            <v>2197280.9272851911</v>
          </cell>
          <cell r="E274">
            <v>35501361.425824307</v>
          </cell>
        </row>
        <row r="275">
          <cell r="B275" t="str">
            <v>CAGE</v>
          </cell>
          <cell r="C275">
            <v>181579531.51208317</v>
          </cell>
          <cell r="D275">
            <v>0</v>
          </cell>
          <cell r="E275">
            <v>0</v>
          </cell>
        </row>
        <row r="276">
          <cell r="B276" t="str">
            <v>CAEW</v>
          </cell>
          <cell r="C276">
            <v>0</v>
          </cell>
          <cell r="D276">
            <v>0</v>
          </cell>
          <cell r="E276">
            <v>0</v>
          </cell>
        </row>
        <row r="277">
          <cell r="B277" t="str">
            <v>CAEE</v>
          </cell>
          <cell r="C277">
            <v>640756.24291664362</v>
          </cell>
          <cell r="D277">
            <v>0</v>
          </cell>
          <cell r="E277">
            <v>0</v>
          </cell>
        </row>
        <row r="278">
          <cell r="B278" t="str">
            <v>SSGCT</v>
          </cell>
          <cell r="C278">
            <v>0</v>
          </cell>
          <cell r="D278">
            <v>0</v>
          </cell>
          <cell r="E278">
            <v>0</v>
          </cell>
        </row>
        <row r="279">
          <cell r="B279" t="str">
            <v>SSGCH</v>
          </cell>
          <cell r="C279">
            <v>0</v>
          </cell>
          <cell r="D279">
            <v>0</v>
          </cell>
          <cell r="E279">
            <v>0</v>
          </cell>
        </row>
        <row r="280">
          <cell r="B280" t="str">
            <v>Remove Capital Lease</v>
          </cell>
          <cell r="C280">
            <v>-52722531.566189684</v>
          </cell>
          <cell r="D280">
            <v>-464441.03804061119</v>
          </cell>
          <cell r="E280">
            <v>-12255020.06028235</v>
          </cell>
        </row>
        <row r="281">
          <cell r="C281">
            <v>1013645356.727559</v>
          </cell>
          <cell r="D281">
            <v>22825008.087157175</v>
          </cell>
          <cell r="E281">
            <v>273647304.39927357</v>
          </cell>
        </row>
        <row r="284">
          <cell r="B284" t="str">
            <v>S</v>
          </cell>
          <cell r="C284">
            <v>-174342112.43458304</v>
          </cell>
          <cell r="D284">
            <v>-5569538.2541666627</v>
          </cell>
          <cell r="E284">
            <v>-53413035.332916595</v>
          </cell>
        </row>
        <row r="285">
          <cell r="B285" t="str">
            <v>DGP</v>
          </cell>
          <cell r="C285">
            <v>0</v>
          </cell>
          <cell r="D285">
            <v>0</v>
          </cell>
          <cell r="E285">
            <v>0</v>
          </cell>
        </row>
        <row r="286">
          <cell r="B286" t="str">
            <v>DGU</v>
          </cell>
          <cell r="C286">
            <v>0</v>
          </cell>
          <cell r="D286">
            <v>0</v>
          </cell>
          <cell r="E286">
            <v>0</v>
          </cell>
        </row>
        <row r="287">
          <cell r="B287" t="str">
            <v>SE</v>
          </cell>
          <cell r="C287">
            <v>0</v>
          </cell>
          <cell r="D287">
            <v>0</v>
          </cell>
          <cell r="E287">
            <v>0</v>
          </cell>
        </row>
        <row r="288">
          <cell r="B288" t="str">
            <v>SG</v>
          </cell>
          <cell r="C288">
            <v>0</v>
          </cell>
          <cell r="D288">
            <v>0</v>
          </cell>
          <cell r="E288">
            <v>0</v>
          </cell>
        </row>
        <row r="289">
          <cell r="B289" t="str">
            <v>SO</v>
          </cell>
          <cell r="C289">
            <v>-91387215.583333313</v>
          </cell>
          <cell r="D289">
            <v>-1874038.8208191518</v>
          </cell>
          <cell r="E289">
            <v>-22116449.415422801</v>
          </cell>
        </row>
        <row r="290">
          <cell r="B290" t="str">
            <v>CAGW</v>
          </cell>
          <cell r="C290">
            <v>-14968649.084999934</v>
          </cell>
          <cell r="D290">
            <v>-675048.19638610468</v>
          </cell>
          <cell r="E290">
            <v>-10906720.985087508</v>
          </cell>
        </row>
        <row r="291">
          <cell r="B291" t="str">
            <v>CAGE</v>
          </cell>
          <cell r="C291">
            <v>-45862361.534166604</v>
          </cell>
          <cell r="D291">
            <v>0</v>
          </cell>
          <cell r="E291">
            <v>0</v>
          </cell>
        </row>
        <row r="292">
          <cell r="B292" t="str">
            <v>CAEW</v>
          </cell>
          <cell r="C292">
            <v>0</v>
          </cell>
          <cell r="D292">
            <v>0</v>
          </cell>
          <cell r="E292">
            <v>0</v>
          </cell>
        </row>
        <row r="293">
          <cell r="B293" t="str">
            <v>CAEE</v>
          </cell>
          <cell r="C293">
            <v>-302052.30458333337</v>
          </cell>
          <cell r="D293">
            <v>0</v>
          </cell>
          <cell r="E293">
            <v>0</v>
          </cell>
        </row>
        <row r="294">
          <cell r="B294" t="str">
            <v>CN</v>
          </cell>
          <cell r="C294">
            <v>-11120560.586249989</v>
          </cell>
          <cell r="D294">
            <v>-274644.29019421933</v>
          </cell>
          <cell r="E294">
            <v>-3372327.6701195287</v>
          </cell>
        </row>
        <row r="295">
          <cell r="B295" t="str">
            <v>JBG</v>
          </cell>
          <cell r="C295">
            <v>-4711318.0216666637</v>
          </cell>
          <cell r="D295">
            <v>-211262.84168903431</v>
          </cell>
          <cell r="E295">
            <v>-3413363.4919025763</v>
          </cell>
        </row>
        <row r="296">
          <cell r="B296" t="str">
            <v>SSGCH</v>
          </cell>
          <cell r="C296">
            <v>0</v>
          </cell>
          <cell r="D296">
            <v>0</v>
          </cell>
          <cell r="E296">
            <v>0</v>
          </cell>
        </row>
        <row r="297">
          <cell r="C297">
            <v>-342694269.5495829</v>
          </cell>
          <cell r="D297">
            <v>-8604532.4032551721</v>
          </cell>
          <cell r="E297">
            <v>-93221896.895449013</v>
          </cell>
        </row>
        <row r="299">
          <cell r="C299">
            <v>670951087.17797613</v>
          </cell>
          <cell r="D299">
            <v>14220475.683902003</v>
          </cell>
          <cell r="E299">
            <v>180425407.50382456</v>
          </cell>
        </row>
        <row r="301">
          <cell r="C301">
            <v>0.88279381355067144</v>
          </cell>
          <cell r="D301">
            <v>2.1194504272604133E-2</v>
          </cell>
          <cell r="E301">
            <v>0.2689099264488784</v>
          </cell>
        </row>
        <row r="304">
          <cell r="C304" t="str">
            <v>TOTAL</v>
          </cell>
          <cell r="D304" t="str">
            <v>California</v>
          </cell>
          <cell r="E304" t="str">
            <v>Oregon</v>
          </cell>
        </row>
        <row r="306">
          <cell r="B306" t="str">
            <v>JBE</v>
          </cell>
          <cell r="C306">
            <v>0</v>
          </cell>
          <cell r="D306">
            <v>0</v>
          </cell>
          <cell r="E306">
            <v>0</v>
          </cell>
        </row>
        <row r="307">
          <cell r="B307" t="str">
            <v>CAEW</v>
          </cell>
          <cell r="C307">
            <v>0</v>
          </cell>
          <cell r="D307">
            <v>0</v>
          </cell>
          <cell r="E307">
            <v>0</v>
          </cell>
        </row>
        <row r="308">
          <cell r="B308" t="str">
            <v>CAEE</v>
          </cell>
          <cell r="C308">
            <v>290388755.50749999</v>
          </cell>
          <cell r="D308">
            <v>0</v>
          </cell>
          <cell r="E308">
            <v>0</v>
          </cell>
        </row>
        <row r="309">
          <cell r="C309">
            <v>290388755.50749999</v>
          </cell>
          <cell r="D309">
            <v>0</v>
          </cell>
          <cell r="E309">
            <v>0</v>
          </cell>
        </row>
        <row r="312">
          <cell r="B312" t="str">
            <v>SE</v>
          </cell>
          <cell r="C312">
            <v>0</v>
          </cell>
          <cell r="D312">
            <v>0</v>
          </cell>
          <cell r="E312">
            <v>0</v>
          </cell>
        </row>
        <row r="313">
          <cell r="B313" t="str">
            <v>CAEW</v>
          </cell>
          <cell r="C313">
            <v>0</v>
          </cell>
          <cell r="D313">
            <v>0</v>
          </cell>
          <cell r="E313">
            <v>0</v>
          </cell>
        </row>
        <row r="314">
          <cell r="B314" t="str">
            <v>CAEE</v>
          </cell>
          <cell r="C314">
            <v>-158798915.00125</v>
          </cell>
          <cell r="D314">
            <v>0</v>
          </cell>
          <cell r="E314">
            <v>0</v>
          </cell>
        </row>
        <row r="315">
          <cell r="C315">
            <v>-158798915.00125</v>
          </cell>
          <cell r="D315">
            <v>0</v>
          </cell>
          <cell r="E315">
            <v>0</v>
          </cell>
        </row>
        <row r="317">
          <cell r="C317">
            <v>131589840.50624999</v>
          </cell>
          <cell r="D317">
            <v>0</v>
          </cell>
          <cell r="E317">
            <v>0</v>
          </cell>
        </row>
        <row r="319">
          <cell r="C319">
            <v>0.99999999999999989</v>
          </cell>
          <cell r="D319">
            <v>0</v>
          </cell>
          <cell r="E319">
            <v>0</v>
          </cell>
        </row>
        <row r="323">
          <cell r="C323" t="str">
            <v>TOTAL</v>
          </cell>
          <cell r="D323" t="str">
            <v>California</v>
          </cell>
          <cell r="E323" t="str">
            <v>Oregon</v>
          </cell>
        </row>
        <row r="325">
          <cell r="B325" t="str">
            <v>S</v>
          </cell>
          <cell r="C325">
            <v>9235953.9129166566</v>
          </cell>
          <cell r="D325">
            <v>245031.35916666599</v>
          </cell>
          <cell r="E325">
            <v>2300139.6120833298</v>
          </cell>
        </row>
        <row r="326">
          <cell r="B326" t="str">
            <v>JBG</v>
          </cell>
          <cell r="C326">
            <v>48543.725833333301</v>
          </cell>
          <cell r="D326">
            <v>2176.7763115459193</v>
          </cell>
          <cell r="E326">
            <v>35170.06934331535</v>
          </cell>
        </row>
        <row r="327">
          <cell r="B327" t="str">
            <v>DGU</v>
          </cell>
          <cell r="C327">
            <v>0</v>
          </cell>
          <cell r="D327">
            <v>0</v>
          </cell>
          <cell r="E327">
            <v>0</v>
          </cell>
        </row>
        <row r="328">
          <cell r="B328" t="str">
            <v>SE</v>
          </cell>
          <cell r="C328">
            <v>0</v>
          </cell>
          <cell r="D328">
            <v>0</v>
          </cell>
          <cell r="E328">
            <v>0</v>
          </cell>
        </row>
        <row r="329">
          <cell r="B329" t="str">
            <v>CN</v>
          </cell>
          <cell r="C329">
            <v>121883890.27124999</v>
          </cell>
          <cell r="D329">
            <v>3010164.3051203159</v>
          </cell>
          <cell r="E329">
            <v>36961483.417640798</v>
          </cell>
        </row>
        <row r="330">
          <cell r="B330" t="str">
            <v>CAGW</v>
          </cell>
          <cell r="C330">
            <v>251831859.96416658</v>
          </cell>
          <cell r="D330">
            <v>11356979.637643065</v>
          </cell>
          <cell r="E330">
            <v>183494169.45963544</v>
          </cell>
        </row>
        <row r="331">
          <cell r="B331" t="str">
            <v>CAGE</v>
          </cell>
          <cell r="C331">
            <v>75751511.862083301</v>
          </cell>
          <cell r="D331">
            <v>0</v>
          </cell>
          <cell r="E331">
            <v>0</v>
          </cell>
        </row>
        <row r="332">
          <cell r="B332" t="str">
            <v>CAEW</v>
          </cell>
          <cell r="C332">
            <v>0</v>
          </cell>
          <cell r="D332">
            <v>0</v>
          </cell>
          <cell r="E332">
            <v>0</v>
          </cell>
        </row>
        <row r="333">
          <cell r="B333" t="str">
            <v>CAEE</v>
          </cell>
          <cell r="C333">
            <v>3661730.4950000001</v>
          </cell>
          <cell r="D333">
            <v>0</v>
          </cell>
          <cell r="E333">
            <v>0</v>
          </cell>
        </row>
        <row r="334">
          <cell r="B334" t="str">
            <v>SG</v>
          </cell>
          <cell r="C334">
            <v>1581843.18</v>
          </cell>
          <cell r="D334">
            <v>25264.979226046598</v>
          </cell>
          <cell r="E334">
            <v>411010.69841070042</v>
          </cell>
        </row>
        <row r="335">
          <cell r="B335" t="str">
            <v>SO</v>
          </cell>
          <cell r="C335">
            <v>377443964.514166</v>
          </cell>
          <cell r="D335">
            <v>7740083.0922398195</v>
          </cell>
          <cell r="E335">
            <v>91344509.131281614</v>
          </cell>
        </row>
        <row r="336">
          <cell r="B336" t="str">
            <v>SSGCT</v>
          </cell>
          <cell r="C336">
            <v>0</v>
          </cell>
          <cell r="D336">
            <v>0</v>
          </cell>
          <cell r="E336">
            <v>0</v>
          </cell>
        </row>
        <row r="337">
          <cell r="B337" t="str">
            <v>SSGCH</v>
          </cell>
          <cell r="C337">
            <v>0</v>
          </cell>
          <cell r="D337">
            <v>0</v>
          </cell>
          <cell r="E337">
            <v>0</v>
          </cell>
        </row>
        <row r="338">
          <cell r="C338">
            <v>841439297.92541587</v>
          </cell>
          <cell r="D338">
            <v>22379700.149707459</v>
          </cell>
          <cell r="E338">
            <v>314546482.38839519</v>
          </cell>
        </row>
        <row r="341">
          <cell r="B341" t="str">
            <v>S</v>
          </cell>
          <cell r="C341">
            <v>-1185028.7404166656</v>
          </cell>
          <cell r="D341">
            <v>0</v>
          </cell>
          <cell r="E341">
            <v>-58226.047916666597</v>
          </cell>
        </row>
        <row r="342">
          <cell r="B342" t="str">
            <v>DGP</v>
          </cell>
          <cell r="C342">
            <v>0</v>
          </cell>
          <cell r="D342">
            <v>0</v>
          </cell>
          <cell r="E342">
            <v>0</v>
          </cell>
        </row>
        <row r="343">
          <cell r="B343" t="str">
            <v>DGU</v>
          </cell>
          <cell r="C343">
            <v>0</v>
          </cell>
          <cell r="D343">
            <v>0</v>
          </cell>
          <cell r="E343">
            <v>0</v>
          </cell>
        </row>
        <row r="344">
          <cell r="B344" t="str">
            <v>CAEW</v>
          </cell>
          <cell r="C344">
            <v>0</v>
          </cell>
          <cell r="D344">
            <v>0</v>
          </cell>
          <cell r="E344">
            <v>0</v>
          </cell>
        </row>
        <row r="345">
          <cell r="B345" t="str">
            <v>CAEE</v>
          </cell>
          <cell r="C345">
            <v>-1622663.42833333</v>
          </cell>
          <cell r="D345">
            <v>0</v>
          </cell>
          <cell r="E345">
            <v>0</v>
          </cell>
        </row>
        <row r="346">
          <cell r="B346" t="str">
            <v>SE</v>
          </cell>
          <cell r="C346">
            <v>0</v>
          </cell>
          <cell r="D346">
            <v>0</v>
          </cell>
          <cell r="E346">
            <v>0</v>
          </cell>
        </row>
        <row r="347">
          <cell r="B347" t="str">
            <v>CN</v>
          </cell>
          <cell r="C347">
            <v>-100808478.23041633</v>
          </cell>
          <cell r="D347">
            <v>-2489665.2227572976</v>
          </cell>
          <cell r="E347">
            <v>-30570331.224076733</v>
          </cell>
        </row>
        <row r="348">
          <cell r="B348" t="str">
            <v>SG</v>
          </cell>
          <cell r="C348">
            <v>-14989726.6458333</v>
          </cell>
          <cell r="D348">
            <v>-239413.8288165174</v>
          </cell>
          <cell r="E348">
            <v>-3894784.3222293574</v>
          </cell>
        </row>
        <row r="349">
          <cell r="B349" t="str">
            <v>CAGW</v>
          </cell>
          <cell r="C349">
            <v>-49690069.797083303</v>
          </cell>
          <cell r="D349">
            <v>-2240896.409845985</v>
          </cell>
          <cell r="E349">
            <v>-36206054.663236424</v>
          </cell>
        </row>
        <row r="350">
          <cell r="B350" t="str">
            <v>CAGE</v>
          </cell>
          <cell r="C350">
            <v>-13867893.969583301</v>
          </cell>
          <cell r="D350">
            <v>0</v>
          </cell>
          <cell r="E350">
            <v>0</v>
          </cell>
        </row>
        <row r="351">
          <cell r="B351" t="str">
            <v>SO</v>
          </cell>
          <cell r="C351">
            <v>-273798260.85124999</v>
          </cell>
          <cell r="D351">
            <v>-5614664.6621498447</v>
          </cell>
          <cell r="E351">
            <v>-66261405.903385095</v>
          </cell>
        </row>
        <row r="352">
          <cell r="B352" t="str">
            <v>JBG</v>
          </cell>
          <cell r="C352">
            <v>-17115.393749999967</v>
          </cell>
          <cell r="D352">
            <v>-767.48092648871909</v>
          </cell>
          <cell r="E352">
            <v>-12400.152124547205</v>
          </cell>
        </row>
        <row r="353">
          <cell r="B353" t="str">
            <v>SSGCH</v>
          </cell>
          <cell r="C353">
            <v>0</v>
          </cell>
          <cell r="D353">
            <v>0</v>
          </cell>
          <cell r="E353">
            <v>0</v>
          </cell>
        </row>
        <row r="354">
          <cell r="C354">
            <v>-455979237.0566662</v>
          </cell>
          <cell r="D354">
            <v>-10585407.604496134</v>
          </cell>
          <cell r="E354">
            <v>-137003202.31296882</v>
          </cell>
        </row>
        <row r="356">
          <cell r="C356">
            <v>385460060.86874968</v>
          </cell>
          <cell r="D356">
            <v>11794292.545211324</v>
          </cell>
          <cell r="E356">
            <v>177543280.07542637</v>
          </cell>
        </row>
        <row r="358">
          <cell r="C358">
            <v>0.89544273838733357</v>
          </cell>
          <cell r="D358">
            <v>3.0597962649176556E-2</v>
          </cell>
          <cell r="E358">
            <v>0.4606009755596453</v>
          </cell>
        </row>
        <row r="362">
          <cell r="C362" t="str">
            <v>TOTAL</v>
          </cell>
          <cell r="D362" t="str">
            <v>California</v>
          </cell>
          <cell r="E362" t="str">
            <v>Oregon</v>
          </cell>
        </row>
        <row r="363">
          <cell r="C363">
            <v>10311125355.252491</v>
          </cell>
          <cell r="D363">
            <v>139858329.3221339</v>
          </cell>
          <cell r="E363">
            <v>2259702631.2652569</v>
          </cell>
        </row>
        <row r="364">
          <cell r="C364">
            <v>4500576015.8454123</v>
          </cell>
          <cell r="D364">
            <v>54124407.974512532</v>
          </cell>
          <cell r="E364">
            <v>874493565.26788783</v>
          </cell>
        </row>
        <row r="365">
          <cell r="C365">
            <v>5664711206.9162426</v>
          </cell>
          <cell r="D365">
            <v>224709963.6541664</v>
          </cell>
          <cell r="E365">
            <v>1752290407.6437476</v>
          </cell>
        </row>
        <row r="366">
          <cell r="C366">
            <v>1304034112.235059</v>
          </cell>
          <cell r="D366">
            <v>22825008.087157175</v>
          </cell>
          <cell r="E366">
            <v>273647304.39927357</v>
          </cell>
        </row>
        <row r="367">
          <cell r="C367">
            <v>841439297.92541587</v>
          </cell>
          <cell r="D367">
            <v>22379700.149707459</v>
          </cell>
          <cell r="E367">
            <v>314546482.38839519</v>
          </cell>
        </row>
        <row r="369">
          <cell r="C369">
            <v>22621885988.174618</v>
          </cell>
          <cell r="D369">
            <v>463897409.18767744</v>
          </cell>
          <cell r="E369">
            <v>5474680390.9645615</v>
          </cell>
        </row>
        <row r="371">
          <cell r="C371">
            <v>0.82484002743108098</v>
          </cell>
          <cell r="D371">
            <v>2.050657533285136E-2</v>
          </cell>
          <cell r="E371">
            <v>0.24200813291280843</v>
          </cell>
        </row>
        <row r="375">
          <cell r="C375">
            <v>-3192275152.6504087</v>
          </cell>
          <cell r="D375">
            <v>-49049403.31269376</v>
          </cell>
          <cell r="E375">
            <v>-792488831.58350682</v>
          </cell>
        </row>
        <row r="376">
          <cell r="C376">
            <v>-1224280572.788332</v>
          </cell>
          <cell r="D376">
            <v>-21574045.326305013</v>
          </cell>
          <cell r="E376">
            <v>-348573363.99624169</v>
          </cell>
        </row>
        <row r="377">
          <cell r="C377">
            <v>-2166741315.7908306</v>
          </cell>
          <cell r="D377">
            <v>-101754311.13291654</v>
          </cell>
          <cell r="E377">
            <v>-793165429.3354156</v>
          </cell>
        </row>
        <row r="378">
          <cell r="C378">
            <v>-501493184.55083287</v>
          </cell>
          <cell r="D378">
            <v>-8604532.4032551721</v>
          </cell>
          <cell r="E378">
            <v>-93221896.895449013</v>
          </cell>
        </row>
        <row r="379">
          <cell r="C379">
            <v>-455979237.0566662</v>
          </cell>
          <cell r="D379">
            <v>-10585407.604496134</v>
          </cell>
          <cell r="E379">
            <v>-137003202.31296882</v>
          </cell>
        </row>
        <row r="380">
          <cell r="C380">
            <v>-7540769462.8370705</v>
          </cell>
          <cell r="D380">
            <v>-191567699.7796666</v>
          </cell>
          <cell r="E380">
            <v>-2164452724.1235819</v>
          </cell>
        </row>
        <row r="383">
          <cell r="C383">
            <v>15081116525.337547</v>
          </cell>
          <cell r="D383">
            <v>272329709.40801084</v>
          </cell>
          <cell r="E383">
            <v>3310227666.8409796</v>
          </cell>
        </row>
        <row r="385">
          <cell r="C385">
            <v>0.81054262749255657</v>
          </cell>
          <cell r="D385">
            <v>1.8057662305736712E-2</v>
          </cell>
          <cell r="E385">
            <v>0.21949486705971127</v>
          </cell>
        </row>
        <row r="387">
          <cell r="C387">
            <v>0</v>
          </cell>
        </row>
        <row r="389">
          <cell r="C389">
            <v>0.81054262749255657</v>
          </cell>
          <cell r="D389">
            <v>1.8057662305736712E-2</v>
          </cell>
          <cell r="E389">
            <v>0.21949486705971127</v>
          </cell>
        </row>
        <row r="394">
          <cell r="C394">
            <v>21981526880.054623</v>
          </cell>
          <cell r="D394">
            <v>450765836.89693719</v>
          </cell>
          <cell r="E394">
            <v>5319708278.8147297</v>
          </cell>
        </row>
        <row r="396">
          <cell r="C396">
            <v>0.82484002743108076</v>
          </cell>
          <cell r="D396">
            <v>2.0506575332851357E-2</v>
          </cell>
          <cell r="E396">
            <v>0.2420081329128084</v>
          </cell>
        </row>
        <row r="402">
          <cell r="C402" t="str">
            <v>TOTAL</v>
          </cell>
          <cell r="D402" t="str">
            <v>California</v>
          </cell>
          <cell r="E402" t="str">
            <v>Oregon</v>
          </cell>
        </row>
        <row r="404">
          <cell r="C404">
            <v>603691387.77805686</v>
          </cell>
          <cell r="D404">
            <v>7932063.590786811</v>
          </cell>
          <cell r="E404">
            <v>-71189494.209717989</v>
          </cell>
        </row>
        <row r="405">
          <cell r="C405">
            <v>31897132.890841126</v>
          </cell>
          <cell r="D405">
            <v>1145177.1786852134</v>
          </cell>
          <cell r="E405">
            <v>13670798.640576601</v>
          </cell>
        </row>
        <row r="406">
          <cell r="C406">
            <v>635588520.66889799</v>
          </cell>
          <cell r="D406">
            <v>9077240.7694720253</v>
          </cell>
          <cell r="E406">
            <v>-57518695.569141388</v>
          </cell>
        </row>
        <row r="408">
          <cell r="C408">
            <v>1</v>
          </cell>
          <cell r="D408">
            <v>1.0455447661702994E-2</v>
          </cell>
          <cell r="E408">
            <v>-6.6251818847321925E-2</v>
          </cell>
        </row>
        <row r="417">
          <cell r="C417" t="str">
            <v>TOTAL</v>
          </cell>
          <cell r="D417" t="str">
            <v>California</v>
          </cell>
          <cell r="E417" t="str">
            <v>Oregon</v>
          </cell>
        </row>
        <row r="419">
          <cell r="B419" t="str">
            <v>S</v>
          </cell>
          <cell r="C419">
            <v>-1056402</v>
          </cell>
          <cell r="D419">
            <v>-60295</v>
          </cell>
          <cell r="E419">
            <v>-417111</v>
          </cell>
        </row>
        <row r="420">
          <cell r="B420" t="str">
            <v>S</v>
          </cell>
          <cell r="C420">
            <v>-699861</v>
          </cell>
          <cell r="D420">
            <v>-26627</v>
          </cell>
          <cell r="E420">
            <v>-376521</v>
          </cell>
        </row>
        <row r="421">
          <cell r="B421" t="str">
            <v>S</v>
          </cell>
          <cell r="C421">
            <v>-3922740</v>
          </cell>
          <cell r="D421">
            <v>-223775</v>
          </cell>
          <cell r="E421">
            <v>-2577335</v>
          </cell>
        </row>
        <row r="422">
          <cell r="B422" t="str">
            <v>S</v>
          </cell>
          <cell r="C422">
            <v>54047</v>
          </cell>
          <cell r="D422">
            <v>65</v>
          </cell>
          <cell r="E422">
            <v>34496</v>
          </cell>
        </row>
        <row r="423">
          <cell r="B423" t="str">
            <v>S</v>
          </cell>
          <cell r="C423">
            <v>721</v>
          </cell>
          <cell r="D423">
            <v>12</v>
          </cell>
          <cell r="E423">
            <v>187</v>
          </cell>
        </row>
        <row r="424">
          <cell r="B424" t="str">
            <v>S</v>
          </cell>
          <cell r="C424">
            <v>3387251</v>
          </cell>
          <cell r="D424">
            <v>0</v>
          </cell>
          <cell r="E424">
            <v>0</v>
          </cell>
        </row>
        <row r="425">
          <cell r="B425" t="str">
            <v>NUTIL</v>
          </cell>
          <cell r="C425">
            <v>-388</v>
          </cell>
          <cell r="D425">
            <v>0</v>
          </cell>
          <cell r="E425">
            <v>-39</v>
          </cell>
        </row>
        <row r="427">
          <cell r="C427">
            <v>-2237372</v>
          </cell>
          <cell r="D427">
            <v>-310620</v>
          </cell>
          <cell r="E427">
            <v>-3336323</v>
          </cell>
        </row>
        <row r="430">
          <cell r="B430" t="str">
            <v>S</v>
          </cell>
          <cell r="C430">
            <v>-4823168</v>
          </cell>
          <cell r="D430">
            <v>0</v>
          </cell>
          <cell r="E430">
            <v>0</v>
          </cell>
        </row>
        <row r="431">
          <cell r="B431" t="str">
            <v>S</v>
          </cell>
          <cell r="C431">
            <v>-2083110</v>
          </cell>
          <cell r="D431">
            <v>0</v>
          </cell>
          <cell r="E431">
            <v>0</v>
          </cell>
        </row>
        <row r="432">
          <cell r="B432" t="str">
            <v>S</v>
          </cell>
          <cell r="C432">
            <v>-5457960</v>
          </cell>
          <cell r="D432">
            <v>15</v>
          </cell>
          <cell r="E432">
            <v>134</v>
          </cell>
        </row>
        <row r="433">
          <cell r="B433" t="str">
            <v>S</v>
          </cell>
          <cell r="C433">
            <v>-59061</v>
          </cell>
          <cell r="D433">
            <v>-539</v>
          </cell>
          <cell r="E433">
            <v>-349</v>
          </cell>
        </row>
        <row r="434">
          <cell r="B434" t="str">
            <v>S</v>
          </cell>
          <cell r="C434">
            <v>1919</v>
          </cell>
          <cell r="D434">
            <v>32</v>
          </cell>
          <cell r="E434">
            <v>496</v>
          </cell>
        </row>
        <row r="436">
          <cell r="C436">
            <v>-12421380</v>
          </cell>
          <cell r="D436">
            <v>-492</v>
          </cell>
          <cell r="E436">
            <v>281</v>
          </cell>
        </row>
        <row r="439">
          <cell r="B439" t="str">
            <v>S</v>
          </cell>
          <cell r="C439">
            <v>22041634</v>
          </cell>
          <cell r="D439">
            <v>372693</v>
          </cell>
          <cell r="E439">
            <v>6013248</v>
          </cell>
        </row>
        <row r="440">
          <cell r="B440" t="str">
            <v>S</v>
          </cell>
          <cell r="C440">
            <v>3422708</v>
          </cell>
          <cell r="D440">
            <v>57585</v>
          </cell>
          <cell r="E440">
            <v>973127</v>
          </cell>
        </row>
        <row r="441">
          <cell r="B441" t="str">
            <v>S</v>
          </cell>
          <cell r="C441">
            <v>1465964</v>
          </cell>
          <cell r="D441">
            <v>23515</v>
          </cell>
          <cell r="E441">
            <v>374158</v>
          </cell>
        </row>
        <row r="442">
          <cell r="B442" t="str">
            <v>S</v>
          </cell>
          <cell r="C442">
            <v>77410</v>
          </cell>
          <cell r="D442">
            <v>-631</v>
          </cell>
          <cell r="E442">
            <v>3732</v>
          </cell>
        </row>
        <row r="443">
          <cell r="B443" t="str">
            <v>S</v>
          </cell>
          <cell r="C443">
            <v>309559</v>
          </cell>
          <cell r="D443">
            <v>5214</v>
          </cell>
          <cell r="E443">
            <v>85691</v>
          </cell>
        </row>
        <row r="444">
          <cell r="B444" t="str">
            <v>S</v>
          </cell>
          <cell r="C444">
            <v>13008951</v>
          </cell>
          <cell r="D444">
            <v>184063</v>
          </cell>
          <cell r="E444">
            <v>3876777</v>
          </cell>
        </row>
        <row r="445">
          <cell r="B445" t="str">
            <v>S</v>
          </cell>
          <cell r="C445">
            <v>87154330</v>
          </cell>
          <cell r="D445">
            <v>2855544</v>
          </cell>
          <cell r="E445">
            <v>24981969</v>
          </cell>
        </row>
        <row r="446">
          <cell r="B446" t="str">
            <v>S</v>
          </cell>
          <cell r="C446">
            <v>3104242</v>
          </cell>
          <cell r="D446">
            <v>59832</v>
          </cell>
          <cell r="E446">
            <v>837050</v>
          </cell>
        </row>
        <row r="447">
          <cell r="B447" t="str">
            <v>S</v>
          </cell>
          <cell r="C447">
            <v>-979619</v>
          </cell>
          <cell r="D447">
            <v>-8749</v>
          </cell>
          <cell r="E447">
            <v>-382296</v>
          </cell>
        </row>
        <row r="448">
          <cell r="B448" t="str">
            <v>S</v>
          </cell>
          <cell r="C448">
            <v>7799227</v>
          </cell>
          <cell r="D448">
            <v>107703</v>
          </cell>
          <cell r="E448">
            <v>2029405</v>
          </cell>
        </row>
        <row r="449">
          <cell r="B449" t="str">
            <v>S</v>
          </cell>
          <cell r="C449">
            <v>564417269</v>
          </cell>
          <cell r="D449">
            <v>9731268</v>
          </cell>
          <cell r="E449">
            <v>154878752</v>
          </cell>
        </row>
        <row r="450">
          <cell r="B450" t="str">
            <v>S</v>
          </cell>
          <cell r="C450">
            <v>50474433</v>
          </cell>
          <cell r="D450">
            <v>867789</v>
          </cell>
          <cell r="E450">
            <v>13963087</v>
          </cell>
        </row>
        <row r="451">
          <cell r="B451" t="str">
            <v>S</v>
          </cell>
          <cell r="C451">
            <v>0</v>
          </cell>
          <cell r="D451">
            <v>0</v>
          </cell>
          <cell r="E451">
            <v>0</v>
          </cell>
        </row>
        <row r="452">
          <cell r="B452" t="str">
            <v>S</v>
          </cell>
          <cell r="C452">
            <v>0</v>
          </cell>
          <cell r="D452">
            <v>0</v>
          </cell>
          <cell r="E452">
            <v>0</v>
          </cell>
        </row>
        <row r="453">
          <cell r="B453" t="str">
            <v>S</v>
          </cell>
          <cell r="C453">
            <v>23000572</v>
          </cell>
          <cell r="D453">
            <v>556083</v>
          </cell>
          <cell r="E453">
            <v>7031086</v>
          </cell>
        </row>
        <row r="454">
          <cell r="B454" t="str">
            <v>S</v>
          </cell>
          <cell r="C454">
            <v>16198410</v>
          </cell>
          <cell r="D454">
            <v>291155</v>
          </cell>
          <cell r="E454">
            <v>4501126</v>
          </cell>
        </row>
        <row r="455">
          <cell r="B455" t="str">
            <v>S</v>
          </cell>
          <cell r="C455">
            <v>-4112460</v>
          </cell>
          <cell r="D455">
            <v>0</v>
          </cell>
          <cell r="E455">
            <v>-4112460</v>
          </cell>
        </row>
        <row r="456">
          <cell r="B456" t="str">
            <v>NUTIL</v>
          </cell>
          <cell r="C456">
            <v>26426</v>
          </cell>
          <cell r="D456">
            <v>0</v>
          </cell>
          <cell r="E456">
            <v>0</v>
          </cell>
        </row>
        <row r="458">
          <cell r="C458">
            <v>787409056</v>
          </cell>
          <cell r="D458">
            <v>15103064</v>
          </cell>
          <cell r="E458">
            <v>215054452</v>
          </cell>
        </row>
        <row r="460">
          <cell r="C460">
            <v>772750304</v>
          </cell>
          <cell r="D460">
            <v>14791952</v>
          </cell>
          <cell r="E460">
            <v>211718410</v>
          </cell>
        </row>
        <row r="463">
          <cell r="C463">
            <v>1</v>
          </cell>
          <cell r="D463">
            <v>1.9141955588282758E-2</v>
          </cell>
          <cell r="E463">
            <v>0.27398036455512026</v>
          </cell>
        </row>
        <row r="471">
          <cell r="C471" t="str">
            <v>TOTAL</v>
          </cell>
          <cell r="D471" t="str">
            <v>California</v>
          </cell>
          <cell r="E471" t="str">
            <v>Oregon</v>
          </cell>
        </row>
        <row r="473">
          <cell r="B473" t="str">
            <v>S</v>
          </cell>
          <cell r="C473">
            <v>53689800</v>
          </cell>
          <cell r="D473">
            <v>1871034</v>
          </cell>
          <cell r="E473">
            <v>29705097</v>
          </cell>
        </row>
        <row r="474">
          <cell r="B474" t="str">
            <v>S</v>
          </cell>
          <cell r="C474">
            <v>20238170</v>
          </cell>
          <cell r="D474">
            <v>771423</v>
          </cell>
          <cell r="E474">
            <v>10997018</v>
          </cell>
        </row>
        <row r="475">
          <cell r="B475" t="str">
            <v>S</v>
          </cell>
          <cell r="C475">
            <v>35048821</v>
          </cell>
          <cell r="D475">
            <v>3211525</v>
          </cell>
          <cell r="E475">
            <v>20475343</v>
          </cell>
        </row>
        <row r="476">
          <cell r="B476" t="str">
            <v>S</v>
          </cell>
          <cell r="C476">
            <v>-490246</v>
          </cell>
          <cell r="D476">
            <v>253</v>
          </cell>
          <cell r="E476">
            <v>-319028</v>
          </cell>
        </row>
        <row r="477">
          <cell r="B477" t="str">
            <v>S</v>
          </cell>
          <cell r="C477">
            <v>2565</v>
          </cell>
          <cell r="D477">
            <v>42</v>
          </cell>
          <cell r="E477">
            <v>656</v>
          </cell>
        </row>
        <row r="478">
          <cell r="B478" t="str">
            <v>S</v>
          </cell>
          <cell r="C478">
            <v>2797133</v>
          </cell>
          <cell r="D478">
            <v>0</v>
          </cell>
          <cell r="E478">
            <v>0</v>
          </cell>
        </row>
        <row r="479">
          <cell r="B479" t="str">
            <v>NUTIL</v>
          </cell>
          <cell r="C479">
            <v>-6</v>
          </cell>
          <cell r="D479">
            <v>0</v>
          </cell>
          <cell r="E479">
            <v>-26</v>
          </cell>
        </row>
        <row r="481">
          <cell r="C481">
            <v>111286237</v>
          </cell>
          <cell r="D481">
            <v>5854277</v>
          </cell>
          <cell r="E481">
            <v>60859060</v>
          </cell>
        </row>
        <row r="484">
          <cell r="B484" t="str">
            <v>S</v>
          </cell>
          <cell r="C484">
            <v>84854158</v>
          </cell>
          <cell r="D484">
            <v>0</v>
          </cell>
          <cell r="E484">
            <v>0</v>
          </cell>
        </row>
        <row r="485">
          <cell r="B485" t="str">
            <v>S</v>
          </cell>
          <cell r="C485">
            <v>48065539</v>
          </cell>
          <cell r="D485">
            <v>0</v>
          </cell>
          <cell r="E485">
            <v>0</v>
          </cell>
        </row>
        <row r="486">
          <cell r="B486" t="str">
            <v>S</v>
          </cell>
          <cell r="C486">
            <v>40497841</v>
          </cell>
          <cell r="D486">
            <v>0</v>
          </cell>
          <cell r="E486">
            <v>0</v>
          </cell>
        </row>
        <row r="487">
          <cell r="B487" t="str">
            <v>S</v>
          </cell>
          <cell r="C487">
            <v>-780617</v>
          </cell>
          <cell r="D487">
            <v>439</v>
          </cell>
          <cell r="E487">
            <v>-82826</v>
          </cell>
        </row>
        <row r="488">
          <cell r="B488" t="str">
            <v>S</v>
          </cell>
          <cell r="C488">
            <v>6820</v>
          </cell>
          <cell r="D488">
            <v>112</v>
          </cell>
          <cell r="E488">
            <v>1744</v>
          </cell>
        </row>
        <row r="491">
          <cell r="C491">
            <v>172643741</v>
          </cell>
          <cell r="D491">
            <v>551</v>
          </cell>
          <cell r="E491">
            <v>-81082</v>
          </cell>
        </row>
        <row r="494">
          <cell r="B494" t="str">
            <v>S</v>
          </cell>
          <cell r="C494">
            <v>507962754</v>
          </cell>
          <cell r="D494">
            <v>9365241</v>
          </cell>
          <cell r="E494">
            <v>147615571</v>
          </cell>
        </row>
        <row r="495">
          <cell r="B495" t="str">
            <v>S</v>
          </cell>
          <cell r="C495">
            <v>7451084</v>
          </cell>
          <cell r="D495">
            <v>62975</v>
          </cell>
          <cell r="E495">
            <v>870918</v>
          </cell>
        </row>
        <row r="496">
          <cell r="B496" t="str">
            <v>S</v>
          </cell>
          <cell r="C496">
            <v>3825269</v>
          </cell>
          <cell r="D496">
            <v>64064</v>
          </cell>
          <cell r="E496">
            <v>971640</v>
          </cell>
        </row>
        <row r="497">
          <cell r="B497" t="str">
            <v>S</v>
          </cell>
          <cell r="C497">
            <v>40238191</v>
          </cell>
          <cell r="D497">
            <v>784237</v>
          </cell>
          <cell r="E497">
            <v>12141725</v>
          </cell>
        </row>
        <row r="498">
          <cell r="B498" t="str">
            <v>S</v>
          </cell>
          <cell r="C498">
            <v>10576392</v>
          </cell>
          <cell r="D498">
            <v>227921</v>
          </cell>
          <cell r="E498">
            <v>3273654</v>
          </cell>
        </row>
        <row r="499">
          <cell r="B499" t="str">
            <v>S</v>
          </cell>
          <cell r="C499">
            <v>254820997</v>
          </cell>
          <cell r="D499">
            <v>5002850</v>
          </cell>
          <cell r="E499">
            <v>75251825</v>
          </cell>
        </row>
        <row r="500">
          <cell r="B500" t="str">
            <v>S</v>
          </cell>
          <cell r="C500">
            <v>676541364</v>
          </cell>
          <cell r="D500">
            <v>26295076</v>
          </cell>
          <cell r="E500">
            <v>195972990</v>
          </cell>
        </row>
        <row r="501">
          <cell r="B501" t="str">
            <v>S</v>
          </cell>
          <cell r="C501">
            <v>116309727</v>
          </cell>
          <cell r="D501">
            <v>2775200</v>
          </cell>
          <cell r="E501">
            <v>37202758</v>
          </cell>
        </row>
        <row r="502">
          <cell r="B502" t="str">
            <v>S</v>
          </cell>
          <cell r="C502">
            <v>11012728</v>
          </cell>
          <cell r="D502">
            <v>174269</v>
          </cell>
          <cell r="E502">
            <v>3287688</v>
          </cell>
        </row>
        <row r="503">
          <cell r="B503" t="str">
            <v>S</v>
          </cell>
          <cell r="C503">
            <v>23518375</v>
          </cell>
          <cell r="D503">
            <v>337836</v>
          </cell>
          <cell r="E503">
            <v>6166073</v>
          </cell>
        </row>
        <row r="504">
          <cell r="B504" t="str">
            <v>S</v>
          </cell>
          <cell r="C504">
            <v>1124800110</v>
          </cell>
          <cell r="D504">
            <v>19222804</v>
          </cell>
          <cell r="E504">
            <v>301430721</v>
          </cell>
        </row>
        <row r="505">
          <cell r="B505" t="str">
            <v>S</v>
          </cell>
          <cell r="C505">
            <v>296423053</v>
          </cell>
          <cell r="D505">
            <v>5082945</v>
          </cell>
          <cell r="E505">
            <v>82404099</v>
          </cell>
        </row>
        <row r="506">
          <cell r="B506" t="str">
            <v>S</v>
          </cell>
          <cell r="C506">
            <v>0</v>
          </cell>
          <cell r="D506">
            <v>0</v>
          </cell>
          <cell r="E506">
            <v>0</v>
          </cell>
        </row>
        <row r="507">
          <cell r="B507" t="str">
            <v>S</v>
          </cell>
          <cell r="C507">
            <v>0</v>
          </cell>
          <cell r="D507">
            <v>0</v>
          </cell>
          <cell r="E507">
            <v>0</v>
          </cell>
        </row>
        <row r="508">
          <cell r="B508" t="str">
            <v>S</v>
          </cell>
          <cell r="C508">
            <v>106944155</v>
          </cell>
          <cell r="D508">
            <v>2427916</v>
          </cell>
          <cell r="E508">
            <v>32068298</v>
          </cell>
        </row>
        <row r="509">
          <cell r="B509" t="str">
            <v>S</v>
          </cell>
          <cell r="C509">
            <v>62297566</v>
          </cell>
          <cell r="D509">
            <v>1082713</v>
          </cell>
          <cell r="E509">
            <v>17075000</v>
          </cell>
        </row>
        <row r="510">
          <cell r="B510" t="str">
            <v>S</v>
          </cell>
          <cell r="C510">
            <v>-15622848</v>
          </cell>
          <cell r="D510">
            <v>0</v>
          </cell>
          <cell r="E510">
            <v>-15622848</v>
          </cell>
        </row>
        <row r="511">
          <cell r="B511" t="str">
            <v>NUTIL</v>
          </cell>
          <cell r="C511">
            <v>-897137</v>
          </cell>
          <cell r="D511">
            <v>0</v>
          </cell>
          <cell r="E511">
            <v>0</v>
          </cell>
        </row>
        <row r="513">
          <cell r="C513">
            <v>3226201780</v>
          </cell>
          <cell r="D513">
            <v>72906047</v>
          </cell>
          <cell r="E513">
            <v>900110112</v>
          </cell>
        </row>
        <row r="515">
          <cell r="C515">
            <v>3510131758</v>
          </cell>
          <cell r="D515">
            <v>78760875</v>
          </cell>
          <cell r="E515">
            <v>960888090</v>
          </cell>
        </row>
        <row r="518">
          <cell r="C518">
            <v>1.0000000000000002</v>
          </cell>
          <cell r="D518">
            <v>2.243815344552089E-2</v>
          </cell>
          <cell r="E518">
            <v>0.27374701471248875</v>
          </cell>
        </row>
        <row r="523">
          <cell r="C523" t="str">
            <v>Pacific Division</v>
          </cell>
          <cell r="D523" t="str">
            <v>Utah Division</v>
          </cell>
          <cell r="E523" t="str">
            <v>Combined Total</v>
          </cell>
        </row>
        <row r="524">
          <cell r="C524">
            <v>0</v>
          </cell>
          <cell r="D524">
            <v>0</v>
          </cell>
          <cell r="E524">
            <v>0</v>
          </cell>
        </row>
        <row r="526">
          <cell r="C526">
            <v>0</v>
          </cell>
          <cell r="D526">
            <v>0</v>
          </cell>
          <cell r="E526">
            <v>0</v>
          </cell>
        </row>
        <row r="528">
          <cell r="C528">
            <v>0</v>
          </cell>
          <cell r="D528">
            <v>0</v>
          </cell>
          <cell r="E528">
            <v>0</v>
          </cell>
        </row>
        <row r="530">
          <cell r="C530">
            <v>0</v>
          </cell>
          <cell r="D530">
            <v>0</v>
          </cell>
          <cell r="E530">
            <v>0</v>
          </cell>
        </row>
        <row r="534">
          <cell r="C534" t="str">
            <v>Pacific Division</v>
          </cell>
          <cell r="D534" t="str">
            <v>Utah Division</v>
          </cell>
          <cell r="E534" t="str">
            <v>Combined Total</v>
          </cell>
        </row>
        <row r="535">
          <cell r="C535">
            <v>0</v>
          </cell>
          <cell r="D535">
            <v>0</v>
          </cell>
          <cell r="E535">
            <v>0</v>
          </cell>
        </row>
        <row r="538">
          <cell r="C538">
            <v>0</v>
          </cell>
          <cell r="D538">
            <v>0</v>
          </cell>
          <cell r="E538">
            <v>0</v>
          </cell>
        </row>
        <row r="539">
          <cell r="C539">
            <v>0</v>
          </cell>
          <cell r="D539">
            <v>0</v>
          </cell>
          <cell r="E539">
            <v>0</v>
          </cell>
        </row>
        <row r="540">
          <cell r="C540">
            <v>0</v>
          </cell>
          <cell r="D540">
            <v>0</v>
          </cell>
          <cell r="E540">
            <v>0</v>
          </cell>
        </row>
        <row r="541">
          <cell r="C541">
            <v>0</v>
          </cell>
          <cell r="D541">
            <v>0</v>
          </cell>
          <cell r="E541">
            <v>0</v>
          </cell>
        </row>
        <row r="543">
          <cell r="C543">
            <v>0</v>
          </cell>
          <cell r="D543">
            <v>0</v>
          </cell>
          <cell r="E543">
            <v>0</v>
          </cell>
        </row>
        <row r="545">
          <cell r="C545">
            <v>0</v>
          </cell>
          <cell r="D545">
            <v>0</v>
          </cell>
          <cell r="E545">
            <v>0</v>
          </cell>
        </row>
        <row r="547">
          <cell r="C547">
            <v>0</v>
          </cell>
          <cell r="D547">
            <v>0</v>
          </cell>
          <cell r="E547">
            <v>0</v>
          </cell>
        </row>
        <row r="552">
          <cell r="C552" t="str">
            <v>TOTAL</v>
          </cell>
          <cell r="D552" t="str">
            <v>California</v>
          </cell>
          <cell r="E552" t="str">
            <v>Oregon</v>
          </cell>
        </row>
        <row r="554">
          <cell r="C554">
            <v>15324185.869999997</v>
          </cell>
          <cell r="D554">
            <v>578401.94856087351</v>
          </cell>
          <cell r="E554">
            <v>7382045.9988616155</v>
          </cell>
        </row>
        <row r="556">
          <cell r="C556">
            <v>1</v>
          </cell>
          <cell r="D556">
            <v>3.7744383516856522E-2</v>
          </cell>
          <cell r="E556">
            <v>0.48172516709767738</v>
          </cell>
        </row>
        <row r="561">
          <cell r="C561" t="str">
            <v>TOTAL</v>
          </cell>
          <cell r="D561" t="str">
            <v>California</v>
          </cell>
          <cell r="E561" t="str">
            <v>Oregon</v>
          </cell>
        </row>
        <row r="563">
          <cell r="C563">
            <v>1905253</v>
          </cell>
          <cell r="D563">
            <v>47054</v>
          </cell>
          <cell r="E563">
            <v>577771</v>
          </cell>
        </row>
        <row r="565">
          <cell r="D565">
            <v>2.4696982500486811E-2</v>
          </cell>
          <cell r="E565">
            <v>0.30325158915902506</v>
          </cell>
        </row>
        <row r="568">
          <cell r="C568">
            <v>882800</v>
          </cell>
          <cell r="D568">
            <v>47054</v>
          </cell>
          <cell r="E568">
            <v>577771</v>
          </cell>
        </row>
        <row r="570">
          <cell r="D570">
            <v>5.3300860897145447E-2</v>
          </cell>
          <cell r="E570">
            <v>0.65447553239691891</v>
          </cell>
        </row>
        <row r="573">
          <cell r="C573">
            <v>1022453</v>
          </cell>
          <cell r="D573">
            <v>0</v>
          </cell>
          <cell r="E573">
            <v>0</v>
          </cell>
        </row>
        <row r="575">
          <cell r="D575">
            <v>0</v>
          </cell>
          <cell r="E575">
            <v>0</v>
          </cell>
        </row>
        <row r="598">
          <cell r="C598" t="str">
            <v>Total Company</v>
          </cell>
          <cell r="D598" t="str">
            <v>Idaho - PPL</v>
          </cell>
          <cell r="E598" t="str">
            <v>Idaho - UPL</v>
          </cell>
        </row>
        <row r="599">
          <cell r="B599" t="str">
            <v>Payroll</v>
          </cell>
          <cell r="C599">
            <v>0</v>
          </cell>
          <cell r="D599">
            <v>0</v>
          </cell>
          <cell r="E599">
            <v>0</v>
          </cell>
        </row>
        <row r="600">
          <cell r="D600">
            <v>0</v>
          </cell>
          <cell r="E600">
            <v>0</v>
          </cell>
        </row>
        <row r="602">
          <cell r="B602" t="str">
            <v>Property</v>
          </cell>
          <cell r="C602">
            <v>0</v>
          </cell>
          <cell r="D602">
            <v>0</v>
          </cell>
          <cell r="E602">
            <v>0</v>
          </cell>
        </row>
        <row r="603">
          <cell r="D603">
            <v>0</v>
          </cell>
          <cell r="E603">
            <v>0</v>
          </cell>
        </row>
        <row r="605">
          <cell r="B605" t="str">
            <v>Sales</v>
          </cell>
          <cell r="C605">
            <v>0</v>
          </cell>
          <cell r="D605">
            <v>0</v>
          </cell>
          <cell r="E605">
            <v>0</v>
          </cell>
        </row>
        <row r="606">
          <cell r="D606">
            <v>0</v>
          </cell>
          <cell r="E606">
            <v>0</v>
          </cell>
        </row>
        <row r="608">
          <cell r="B608" t="str">
            <v>Average</v>
          </cell>
          <cell r="D608">
            <v>0</v>
          </cell>
          <cell r="E608">
            <v>0</v>
          </cell>
        </row>
        <row r="611">
          <cell r="C611" t="str">
            <v>Idaho - PPL Factor</v>
          </cell>
          <cell r="D611">
            <v>0</v>
          </cell>
          <cell r="E611">
            <v>0</v>
          </cell>
        </row>
        <row r="612">
          <cell r="C612" t="str">
            <v>Idaho - UPL Factor</v>
          </cell>
          <cell r="D612">
            <v>0</v>
          </cell>
          <cell r="E612">
            <v>0</v>
          </cell>
        </row>
        <row r="614">
          <cell r="D614">
            <v>0</v>
          </cell>
          <cell r="E614">
            <v>0</v>
          </cell>
        </row>
        <row r="618">
          <cell r="C618" t="str">
            <v>TOTAL</v>
          </cell>
          <cell r="D618" t="str">
            <v>California</v>
          </cell>
          <cell r="E618" t="str">
            <v>Oregon</v>
          </cell>
        </row>
        <row r="620">
          <cell r="C620">
            <v>566206369.88860118</v>
          </cell>
          <cell r="D620">
            <v>7571947.9037650898</v>
          </cell>
          <cell r="E620">
            <v>-67957491.172596797</v>
          </cell>
        </row>
        <row r="622">
          <cell r="B622" t="str">
            <v>OTH</v>
          </cell>
          <cell r="C622">
            <v>0</v>
          </cell>
          <cell r="D622">
            <v>0</v>
          </cell>
          <cell r="E622">
            <v>0</v>
          </cell>
        </row>
        <row r="623">
          <cell r="B623" t="str">
            <v>OTH</v>
          </cell>
          <cell r="C623">
            <v>0</v>
          </cell>
          <cell r="D623">
            <v>0</v>
          </cell>
          <cell r="E623">
            <v>0</v>
          </cell>
        </row>
        <row r="624">
          <cell r="B624" t="str">
            <v>OTH</v>
          </cell>
          <cell r="C624">
            <v>0</v>
          </cell>
          <cell r="D624">
            <v>0</v>
          </cell>
          <cell r="E624">
            <v>0</v>
          </cell>
        </row>
        <row r="625">
          <cell r="B625" t="str">
            <v>OTH</v>
          </cell>
          <cell r="C625">
            <v>0</v>
          </cell>
          <cell r="D625">
            <v>0</v>
          </cell>
          <cell r="E625">
            <v>0</v>
          </cell>
        </row>
        <row r="626">
          <cell r="B626" t="str">
            <v>OTH</v>
          </cell>
        </row>
        <row r="628">
          <cell r="C628">
            <v>566206369.88860118</v>
          </cell>
          <cell r="D628">
            <v>7571947.9037650898</v>
          </cell>
          <cell r="E628">
            <v>-67957491.172596797</v>
          </cell>
        </row>
        <row r="630">
          <cell r="C630">
            <v>1</v>
          </cell>
          <cell r="D630">
            <v>1.3373123840437966E-2</v>
          </cell>
          <cell r="E630">
            <v>-0.12002247729209962</v>
          </cell>
        </row>
        <row r="635">
          <cell r="C635" t="str">
            <v>TOTAL</v>
          </cell>
          <cell r="D635" t="str">
            <v>California</v>
          </cell>
          <cell r="E635" t="str">
            <v>Oregon</v>
          </cell>
        </row>
        <row r="638">
          <cell r="C638">
            <v>16918976</v>
          </cell>
        </row>
        <row r="639">
          <cell r="C639">
            <v>17094202</v>
          </cell>
        </row>
        <row r="640">
          <cell r="B640" t="str">
            <v>CAGW</v>
          </cell>
          <cell r="C640">
            <v>17006589</v>
          </cell>
          <cell r="D640">
            <v>766954.1296571733</v>
          </cell>
          <cell r="E640">
            <v>12391640.693677148</v>
          </cell>
        </row>
        <row r="642">
          <cell r="C642">
            <v>-7851432</v>
          </cell>
        </row>
        <row r="643">
          <cell r="C643">
            <v>-8434030</v>
          </cell>
        </row>
        <row r="644">
          <cell r="B644" t="str">
            <v>CAGW</v>
          </cell>
          <cell r="C644">
            <v>-8142731</v>
          </cell>
          <cell r="D644">
            <v>-367216.56336479262</v>
          </cell>
          <cell r="E644">
            <v>-5933100.2129390212</v>
          </cell>
        </row>
        <row r="647">
          <cell r="C647">
            <v>4284960</v>
          </cell>
        </row>
        <row r="648">
          <cell r="C648">
            <v>3485613</v>
          </cell>
        </row>
        <row r="649">
          <cell r="B649" t="str">
            <v>CAGW</v>
          </cell>
          <cell r="C649">
            <v>3885287</v>
          </cell>
          <cell r="D649">
            <v>175216.61219385793</v>
          </cell>
          <cell r="E649">
            <v>2830966.3093413268</v>
          </cell>
        </row>
        <row r="651">
          <cell r="C651">
            <v>-129394</v>
          </cell>
        </row>
        <row r="652">
          <cell r="C652">
            <v>-240609</v>
          </cell>
        </row>
        <row r="653">
          <cell r="B653" t="str">
            <v>CAGW</v>
          </cell>
          <cell r="C653">
            <v>-185002</v>
          </cell>
          <cell r="D653">
            <v>-8343.1220625627157</v>
          </cell>
          <cell r="E653">
            <v>-134799.41872010077</v>
          </cell>
        </row>
        <row r="655">
          <cell r="C655">
            <v>12564143</v>
          </cell>
          <cell r="D655">
            <v>566611.05642367585</v>
          </cell>
          <cell r="E655">
            <v>9154707.3713593539</v>
          </cell>
        </row>
        <row r="657">
          <cell r="B657" t="str">
            <v>DNPPNP</v>
          </cell>
          <cell r="C657">
            <v>1</v>
          </cell>
          <cell r="D657">
            <v>4.5097469554722186E-2</v>
          </cell>
          <cell r="E657">
            <v>0.72863762943157795</v>
          </cell>
        </row>
        <row r="659">
          <cell r="B659" t="str">
            <v>DNPPNP</v>
          </cell>
          <cell r="C659">
            <v>0</v>
          </cell>
          <cell r="D659">
            <v>0</v>
          </cell>
          <cell r="E659">
            <v>0</v>
          </cell>
        </row>
        <row r="661">
          <cell r="B661" t="str">
            <v>SNNP</v>
          </cell>
          <cell r="C661">
            <v>1</v>
          </cell>
          <cell r="D661">
            <v>4.5097469554722186E-2</v>
          </cell>
          <cell r="E661">
            <v>0.72863762943157795</v>
          </cell>
        </row>
        <row r="665">
          <cell r="C665" t="str">
            <v>TOTAL</v>
          </cell>
          <cell r="D665" t="str">
            <v>California</v>
          </cell>
          <cell r="E665" t="str">
            <v>Oregon</v>
          </cell>
        </row>
        <row r="667">
          <cell r="B667" t="str">
            <v>CAGW</v>
          </cell>
          <cell r="C667">
            <v>17094202</v>
          </cell>
          <cell r="D667">
            <v>770905.25425727118</v>
          </cell>
          <cell r="E667">
            <v>12455478.822304538</v>
          </cell>
        </row>
        <row r="668">
          <cell r="B668" t="str">
            <v>CAGW</v>
          </cell>
          <cell r="C668">
            <v>-8434030</v>
          </cell>
          <cell r="D668">
            <v>-380353.41114861361</v>
          </cell>
          <cell r="E668">
            <v>-6145351.6257548109</v>
          </cell>
        </row>
        <row r="669">
          <cell r="B669" t="str">
            <v>CAGW</v>
          </cell>
          <cell r="C669">
            <v>3485613</v>
          </cell>
          <cell r="D669">
            <v>157192.32614704387</v>
          </cell>
          <cell r="E669">
            <v>2539748.7934358902</v>
          </cell>
        </row>
        <row r="670">
          <cell r="B670" t="str">
            <v>CAGW</v>
          </cell>
          <cell r="C670">
            <v>-240609</v>
          </cell>
          <cell r="D670">
            <v>-10850.857052092153</v>
          </cell>
          <cell r="E670">
            <v>-175316.77137990252</v>
          </cell>
        </row>
        <row r="671">
          <cell r="B671" t="str">
            <v>CAGW</v>
          </cell>
          <cell r="C671">
            <v>1778549</v>
          </cell>
          <cell r="D671">
            <v>80208.059379081606</v>
          </cell>
          <cell r="E671">
            <v>1295917.7271879034</v>
          </cell>
        </row>
        <row r="672">
          <cell r="B672" t="str">
            <v>CAEW</v>
          </cell>
          <cell r="C672">
            <v>1975759</v>
          </cell>
          <cell r="D672">
            <v>91474.609854763577</v>
          </cell>
          <cell r="E672">
            <v>1436813.1633873011</v>
          </cell>
        </row>
        <row r="673">
          <cell r="B673" t="str">
            <v>CAGW</v>
          </cell>
          <cell r="C673">
            <v>7220849</v>
          </cell>
          <cell r="D673">
            <v>325642.01793674618</v>
          </cell>
          <cell r="E673">
            <v>5261382.297843379</v>
          </cell>
        </row>
        <row r="674">
          <cell r="B674" t="str">
            <v>CAGW</v>
          </cell>
          <cell r="C674">
            <v>1472376</v>
          </cell>
          <cell r="D674">
            <v>66400.431833103648</v>
          </cell>
          <cell r="E674">
            <v>1072828.5582719489</v>
          </cell>
        </row>
        <row r="675">
          <cell r="B675" t="str">
            <v>SNNP</v>
          </cell>
          <cell r="C675">
            <v>3531000</v>
          </cell>
          <cell r="D675">
            <v>159239.16499772403</v>
          </cell>
          <cell r="E675">
            <v>2572819.4695229018</v>
          </cell>
        </row>
        <row r="676">
          <cell r="B676" t="str">
            <v>CAEW</v>
          </cell>
          <cell r="C676">
            <v>1743025</v>
          </cell>
          <cell r="D676">
            <v>80699.382790157746</v>
          </cell>
          <cell r="E676">
            <v>1267564.1432548964</v>
          </cell>
        </row>
        <row r="677">
          <cell r="C677">
            <v>29626734</v>
          </cell>
          <cell r="D677">
            <v>1340556.9789951863</v>
          </cell>
          <cell r="E677">
            <v>21581884.578074042</v>
          </cell>
        </row>
        <row r="679">
          <cell r="B679" t="str">
            <v>SNNP</v>
          </cell>
          <cell r="C679">
            <v>112680</v>
          </cell>
          <cell r="D679">
            <v>5081.5828694260963</v>
          </cell>
          <cell r="E679">
            <v>82102.888084350197</v>
          </cell>
        </row>
        <row r="680">
          <cell r="B680" t="str">
            <v>CAEW</v>
          </cell>
          <cell r="C680">
            <v>941950</v>
          </cell>
          <cell r="D680">
            <v>43610.839557200321</v>
          </cell>
          <cell r="E680">
            <v>685005.69110537693</v>
          </cell>
        </row>
        <row r="681">
          <cell r="C681">
            <v>1054630</v>
          </cell>
          <cell r="D681">
            <v>48692.422426626421</v>
          </cell>
          <cell r="E681">
            <v>767108.57918972708</v>
          </cell>
        </row>
        <row r="683">
          <cell r="C683">
            <v>30681364</v>
          </cell>
          <cell r="D683">
            <v>1389249.4014218126</v>
          </cell>
          <cell r="E683">
            <v>22348993.157263771</v>
          </cell>
        </row>
        <row r="685">
          <cell r="C685">
            <v>1</v>
          </cell>
          <cell r="D685">
            <v>4.5279910026875356E-2</v>
          </cell>
          <cell r="E685">
            <v>0.72842241163931865</v>
          </cell>
        </row>
        <row r="688">
          <cell r="C688" t="str">
            <v>TOTAL</v>
          </cell>
          <cell r="D688" t="str">
            <v>California</v>
          </cell>
          <cell r="E688" t="str">
            <v>Oregon</v>
          </cell>
        </row>
        <row r="690">
          <cell r="B690" t="str">
            <v>CAGW</v>
          </cell>
          <cell r="C690">
            <v>7220849</v>
          </cell>
          <cell r="D690">
            <v>325642.01793674618</v>
          </cell>
          <cell r="E690">
            <v>5261382.297843379</v>
          </cell>
        </row>
        <row r="691">
          <cell r="B691" t="str">
            <v>CAGW</v>
          </cell>
          <cell r="C691">
            <v>1472376</v>
          </cell>
          <cell r="D691">
            <v>66400.431833103648</v>
          </cell>
          <cell r="E691">
            <v>1072828.5582719489</v>
          </cell>
        </row>
        <row r="692">
          <cell r="B692" t="str">
            <v>CAEW</v>
          </cell>
          <cell r="C692">
            <v>1743025</v>
          </cell>
          <cell r="D692">
            <v>80699.382790157746</v>
          </cell>
          <cell r="E692">
            <v>1267564.1432548964</v>
          </cell>
        </row>
        <row r="693">
          <cell r="B693" t="str">
            <v>SNNP</v>
          </cell>
          <cell r="C693">
            <v>3531000</v>
          </cell>
          <cell r="D693">
            <v>159239.16499772403</v>
          </cell>
          <cell r="E693">
            <v>2572819.4695229018</v>
          </cell>
        </row>
        <row r="694">
          <cell r="C694">
            <v>13967250</v>
          </cell>
          <cell r="D694">
            <v>631980.99755773158</v>
          </cell>
          <cell r="E694">
            <v>10174594.468893126</v>
          </cell>
        </row>
        <row r="696">
          <cell r="B696" t="str">
            <v>SNNP</v>
          </cell>
          <cell r="C696">
            <v>112680</v>
          </cell>
          <cell r="D696">
            <v>5081.5828694260963</v>
          </cell>
          <cell r="E696">
            <v>82102.888084350197</v>
          </cell>
        </row>
        <row r="697">
          <cell r="B697" t="str">
            <v>CAEW</v>
          </cell>
          <cell r="C697">
            <v>941950</v>
          </cell>
          <cell r="D697">
            <v>43610.839557200321</v>
          </cell>
          <cell r="E697">
            <v>685005.69110537693</v>
          </cell>
        </row>
        <row r="698">
          <cell r="C698">
            <v>1054630</v>
          </cell>
          <cell r="D698">
            <v>48692.422426626421</v>
          </cell>
          <cell r="E698">
            <v>767108.57918972708</v>
          </cell>
        </row>
        <row r="700">
          <cell r="C700">
            <v>15021880</v>
          </cell>
          <cell r="D700">
            <v>680673.41998435801</v>
          </cell>
          <cell r="E700">
            <v>10941703.048082853</v>
          </cell>
        </row>
        <row r="702">
          <cell r="C702">
            <v>1</v>
          </cell>
          <cell r="D702">
            <v>4.5312132701390104E-2</v>
          </cell>
          <cell r="E702">
            <v>0.72838439982764158</v>
          </cell>
        </row>
        <row r="707">
          <cell r="C707" t="str">
            <v>TOTAL</v>
          </cell>
          <cell r="D707" t="str">
            <v>California</v>
          </cell>
          <cell r="E707" t="str">
            <v>Oregon</v>
          </cell>
        </row>
        <row r="709">
          <cell r="B709" t="str">
            <v>Acct 404</v>
          </cell>
          <cell r="C709">
            <v>46343434.099999994</v>
          </cell>
          <cell r="D709">
            <v>1326743.520599846</v>
          </cell>
          <cell r="E709">
            <v>17494685.925823014</v>
          </cell>
        </row>
        <row r="710">
          <cell r="B710" t="str">
            <v>Acct 405</v>
          </cell>
          <cell r="C710">
            <v>0</v>
          </cell>
          <cell r="D710">
            <v>0</v>
          </cell>
          <cell r="E710">
            <v>0</v>
          </cell>
        </row>
        <row r="711">
          <cell r="B711" t="str">
            <v>Acct 406</v>
          </cell>
          <cell r="C711">
            <v>5523969.6900000004</v>
          </cell>
          <cell r="D711">
            <v>0</v>
          </cell>
          <cell r="E711">
            <v>0</v>
          </cell>
        </row>
        <row r="712">
          <cell r="B712" t="str">
            <v>Acct 407</v>
          </cell>
          <cell r="C712">
            <v>559741.93999999994</v>
          </cell>
          <cell r="D712">
            <v>0</v>
          </cell>
          <cell r="E712">
            <v>0</v>
          </cell>
        </row>
        <row r="714">
          <cell r="C714">
            <v>52427145.729999989</v>
          </cell>
          <cell r="D714">
            <v>1326743.520599846</v>
          </cell>
          <cell r="E714">
            <v>17494685.925823014</v>
          </cell>
        </row>
        <row r="716">
          <cell r="C716">
            <v>0.88420974402371322</v>
          </cell>
          <cell r="D716">
            <v>2.5306422886963567E-2</v>
          </cell>
          <cell r="E716">
            <v>0.33369518180373042</v>
          </cell>
        </row>
        <row r="720">
          <cell r="C720" t="str">
            <v>TOTAL</v>
          </cell>
          <cell r="D720" t="str">
            <v>California</v>
          </cell>
          <cell r="E720" t="str">
            <v>Oregon</v>
          </cell>
        </row>
        <row r="722">
          <cell r="B722" t="str">
            <v>Acct 403.1</v>
          </cell>
          <cell r="C722">
            <v>136507425.09</v>
          </cell>
          <cell r="D722">
            <v>1175790.8624412424</v>
          </cell>
          <cell r="E722">
            <v>18997195.966326427</v>
          </cell>
        </row>
        <row r="723">
          <cell r="B723" t="str">
            <v>Acct 403.2</v>
          </cell>
          <cell r="C723">
            <v>0</v>
          </cell>
          <cell r="D723">
            <v>0</v>
          </cell>
          <cell r="E723">
            <v>0</v>
          </cell>
        </row>
        <row r="724">
          <cell r="B724" t="str">
            <v>Acct 403.3</v>
          </cell>
          <cell r="C724">
            <v>21828492.780000001</v>
          </cell>
          <cell r="D724">
            <v>754423.46356914437</v>
          </cell>
          <cell r="E724">
            <v>12189183.329134749</v>
          </cell>
        </row>
        <row r="725">
          <cell r="B725" t="str">
            <v>Acct 403.4</v>
          </cell>
          <cell r="C725">
            <v>115749949.47</v>
          </cell>
          <cell r="D725">
            <v>1928883.0611022173</v>
          </cell>
          <cell r="E725">
            <v>31164870.112874843</v>
          </cell>
        </row>
        <row r="726">
          <cell r="B726" t="str">
            <v>Acct 403.5</v>
          </cell>
          <cell r="C726">
            <v>85469125.200000003</v>
          </cell>
          <cell r="D726">
            <v>1067228.1636978243</v>
          </cell>
          <cell r="E726">
            <v>17243292.3202728</v>
          </cell>
        </row>
        <row r="727">
          <cell r="B727" t="str">
            <v>Acct 403.6</v>
          </cell>
          <cell r="C727">
            <v>153055789.66000003</v>
          </cell>
          <cell r="D727">
            <v>6493868.7700000005</v>
          </cell>
          <cell r="E727">
            <v>49849943.150000006</v>
          </cell>
        </row>
        <row r="728">
          <cell r="B728" t="str">
            <v>Acct 403.7&amp;8</v>
          </cell>
          <cell r="C728">
            <v>36891767.780000001</v>
          </cell>
          <cell r="D728">
            <v>705251.83510682883</v>
          </cell>
          <cell r="E728">
            <v>9671896.1510589644</v>
          </cell>
        </row>
        <row r="729">
          <cell r="B729" t="str">
            <v>Acct 403.9</v>
          </cell>
          <cell r="C729">
            <v>0</v>
          </cell>
          <cell r="D729">
            <v>0</v>
          </cell>
          <cell r="E729">
            <v>0</v>
          </cell>
        </row>
        <row r="730">
          <cell r="B730" t="str">
            <v>Acct 403.4</v>
          </cell>
          <cell r="C730">
            <v>0</v>
          </cell>
          <cell r="D730">
            <v>0</v>
          </cell>
          <cell r="E730">
            <v>0</v>
          </cell>
        </row>
        <row r="731">
          <cell r="C731">
            <v>0</v>
          </cell>
          <cell r="D731">
            <v>0</v>
          </cell>
          <cell r="E731">
            <v>0</v>
          </cell>
        </row>
        <row r="733">
          <cell r="C733">
            <v>549502549.98000002</v>
          </cell>
          <cell r="D733">
            <v>12125446.155917259</v>
          </cell>
          <cell r="E733">
            <v>139116381.02966779</v>
          </cell>
        </row>
        <row r="735">
          <cell r="C735">
            <v>1</v>
          </cell>
          <cell r="D735">
            <v>2.2066223635101571E-2</v>
          </cell>
          <cell r="E735">
            <v>0.25316785342439474</v>
          </cell>
        </row>
        <row r="738">
          <cell r="C738" t="str">
            <v>TOTAL</v>
          </cell>
          <cell r="D738" t="str">
            <v>California</v>
          </cell>
          <cell r="E738" t="str">
            <v>Oregon</v>
          </cell>
        </row>
        <row r="740">
          <cell r="C740">
            <v>1484826558</v>
          </cell>
          <cell r="D740">
            <v>31478109</v>
          </cell>
          <cell r="E740">
            <v>391894762</v>
          </cell>
        </row>
        <row r="741">
          <cell r="C741">
            <v>0</v>
          </cell>
        </row>
        <row r="742">
          <cell r="C742">
            <v>0</v>
          </cell>
        </row>
        <row r="743">
          <cell r="C743">
            <v>0</v>
          </cell>
        </row>
        <row r="744">
          <cell r="C744">
            <v>0</v>
          </cell>
        </row>
        <row r="745">
          <cell r="C745">
            <v>0</v>
          </cell>
        </row>
        <row r="746">
          <cell r="C746">
            <v>0</v>
          </cell>
        </row>
        <row r="747">
          <cell r="C747">
            <v>0</v>
          </cell>
        </row>
        <row r="748">
          <cell r="C748">
            <v>0</v>
          </cell>
        </row>
        <row r="749">
          <cell r="C749">
            <v>0</v>
          </cell>
        </row>
        <row r="750">
          <cell r="C750">
            <v>0</v>
          </cell>
        </row>
        <row r="751">
          <cell r="C751">
            <v>0</v>
          </cell>
        </row>
        <row r="752">
          <cell r="C752">
            <v>0</v>
          </cell>
        </row>
        <row r="754">
          <cell r="C754">
            <v>1484826558</v>
          </cell>
          <cell r="D754">
            <v>31478109</v>
          </cell>
          <cell r="E754">
            <v>391894762</v>
          </cell>
        </row>
        <row r="756">
          <cell r="C756">
            <v>1</v>
          </cell>
          <cell r="D756">
            <v>2.1199855855487736E-2</v>
          </cell>
          <cell r="E756">
            <v>0.26393302294368043</v>
          </cell>
        </row>
      </sheetData>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ver Sheet"/>
      <sheetName val="Lead Sheet - WCA"/>
      <sheetName val="8.1.1 - WCA"/>
      <sheetName val="Lead Sheet - WCA YE"/>
      <sheetName val="8.1.1 - WCA YE"/>
      <sheetName val="Internal Backup"/>
      <sheetName val="Bridger Forecast"/>
      <sheetName val="PMI Tax Balances"/>
      <sheetName val="Issue Card"/>
      <sheetName val="Orders "/>
      <sheetName val="BU Email approval"/>
      <sheetName val="Penalties &amp; Fines"/>
    </sheetNames>
    <sheetDataSet>
      <sheetData sheetId="0"/>
      <sheetData sheetId="1">
        <row r="27">
          <cell r="F27">
            <v>143982132.31871152</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5AC67B"/>
    <pageSetUpPr fitToPage="1"/>
  </sheetPr>
  <dimension ref="A1:AC271"/>
  <sheetViews>
    <sheetView zoomScale="75" zoomScaleNormal="75" workbookViewId="0">
      <pane xSplit="2" ySplit="6" topLeftCell="P7" activePane="bottomRight" state="frozen"/>
      <selection activeCell="B26" sqref="B26:G26"/>
      <selection pane="topRight" activeCell="B26" sqref="B26:G26"/>
      <selection pane="bottomLeft" activeCell="B26" sqref="B26:G26"/>
      <selection pane="bottomRight" activeCell="P7" sqref="P7"/>
    </sheetView>
  </sheetViews>
  <sheetFormatPr defaultRowHeight="15.75" outlineLevelCol="1"/>
  <cols>
    <col min="1" max="1" width="5.28515625" style="274" bestFit="1" customWidth="1"/>
    <col min="2" max="2" width="65.85546875" style="274" bestFit="1" customWidth="1"/>
    <col min="3" max="15" width="18" style="274" hidden="1" customWidth="1" outlineLevel="1"/>
    <col min="16" max="16" width="18.5703125" style="274" bestFit="1" customWidth="1" collapsed="1"/>
    <col min="17" max="17" width="20.140625" style="274" hidden="1" customWidth="1"/>
    <col min="18" max="18" width="11.28515625" style="274" hidden="1" customWidth="1"/>
    <col min="19" max="19" width="3.5703125" style="274" customWidth="1"/>
    <col min="20" max="21" width="16.7109375" style="274" customWidth="1" outlineLevel="1"/>
    <col min="22" max="22" width="18" style="274" customWidth="1" outlineLevel="1"/>
    <col min="23" max="23" width="17.7109375" style="274" customWidth="1" outlineLevel="1"/>
    <col min="24" max="24" width="16.85546875" style="274" customWidth="1" outlineLevel="1"/>
    <col min="25" max="25" width="18" style="274" customWidth="1" outlineLevel="1"/>
    <col min="26" max="26" width="16.85546875" style="274" customWidth="1" outlineLevel="1"/>
    <col min="27" max="27" width="18.85546875" style="274" customWidth="1" outlineLevel="1"/>
    <col min="28" max="28" width="17.140625" style="274" bestFit="1" customWidth="1"/>
    <col min="29" max="29" width="14.42578125" style="274" bestFit="1" customWidth="1"/>
    <col min="30" max="16384" width="9.140625" style="274"/>
  </cols>
  <sheetData>
    <row r="1" spans="1:28">
      <c r="B1" s="275" t="s">
        <v>772</v>
      </c>
    </row>
    <row r="2" spans="1:28">
      <c r="B2" s="275" t="s">
        <v>780</v>
      </c>
    </row>
    <row r="3" spans="1:28">
      <c r="B3" s="275" t="s">
        <v>779</v>
      </c>
    </row>
    <row r="4" spans="1:28">
      <c r="B4" s="276"/>
      <c r="C4" s="276"/>
      <c r="D4" s="276"/>
      <c r="E4" s="276"/>
      <c r="F4" s="276"/>
      <c r="G4" s="276"/>
      <c r="H4" s="276"/>
      <c r="I4" s="276"/>
      <c r="J4" s="276"/>
      <c r="K4" s="276"/>
      <c r="L4" s="276"/>
      <c r="M4" s="276"/>
      <c r="N4" s="276"/>
      <c r="O4" s="276"/>
      <c r="P4" s="276"/>
      <c r="Q4" s="276"/>
      <c r="R4" s="276"/>
      <c r="T4" s="276"/>
      <c r="U4" s="276"/>
      <c r="V4" s="276"/>
      <c r="W4" s="276"/>
      <c r="X4" s="276"/>
      <c r="Y4" s="276"/>
      <c r="Z4" s="276"/>
      <c r="AA4" s="276"/>
    </row>
    <row r="5" spans="1:28">
      <c r="A5" s="276" t="s">
        <v>177</v>
      </c>
      <c r="B5" s="47" t="s">
        <v>176</v>
      </c>
      <c r="C5" s="44">
        <v>40695</v>
      </c>
      <c r="D5" s="44">
        <v>40725</v>
      </c>
      <c r="E5" s="44">
        <v>40756</v>
      </c>
      <c r="F5" s="44">
        <v>40787</v>
      </c>
      <c r="G5" s="44">
        <v>40817</v>
      </c>
      <c r="H5" s="44">
        <v>40848</v>
      </c>
      <c r="I5" s="44">
        <v>40878</v>
      </c>
      <c r="J5" s="44">
        <v>40909</v>
      </c>
      <c r="K5" s="44">
        <v>40940</v>
      </c>
      <c r="L5" s="44">
        <v>40969</v>
      </c>
      <c r="M5" s="44">
        <v>41000</v>
      </c>
      <c r="N5" s="44">
        <v>41030</v>
      </c>
      <c r="O5" s="44">
        <v>41061</v>
      </c>
      <c r="P5" s="276" t="s">
        <v>175</v>
      </c>
      <c r="Q5" s="20" t="s">
        <v>174</v>
      </c>
      <c r="R5" s="20" t="s">
        <v>173</v>
      </c>
      <c r="T5" s="276" t="s">
        <v>172</v>
      </c>
      <c r="U5" s="276" t="s">
        <v>171</v>
      </c>
      <c r="V5" s="276" t="s">
        <v>170</v>
      </c>
      <c r="W5" s="276" t="s">
        <v>169</v>
      </c>
      <c r="X5" s="298" t="s">
        <v>168</v>
      </c>
      <c r="Y5" s="298"/>
      <c r="Z5" s="298"/>
      <c r="AA5" s="46" t="s">
        <v>167</v>
      </c>
    </row>
    <row r="6" spans="1:28">
      <c r="B6" s="45"/>
      <c r="C6" s="44"/>
      <c r="D6" s="44"/>
      <c r="E6" s="44"/>
      <c r="F6" s="44"/>
      <c r="G6" s="44"/>
      <c r="H6" s="44"/>
      <c r="I6" s="44"/>
      <c r="J6" s="44"/>
      <c r="K6" s="44"/>
      <c r="L6" s="44"/>
      <c r="M6" s="44"/>
      <c r="N6" s="44"/>
      <c r="O6" s="44"/>
      <c r="P6" s="20"/>
      <c r="Q6" s="20"/>
      <c r="R6" s="20"/>
      <c r="X6" s="276" t="s">
        <v>166</v>
      </c>
      <c r="Y6" s="276" t="s">
        <v>165</v>
      </c>
      <c r="Z6" s="276" t="s">
        <v>164</v>
      </c>
    </row>
    <row r="7" spans="1:28" s="20" customFormat="1">
      <c r="A7" s="20">
        <v>1</v>
      </c>
      <c r="B7" s="17" t="s">
        <v>163</v>
      </c>
      <c r="C7" s="47" t="s">
        <v>21</v>
      </c>
      <c r="D7" s="47" t="s">
        <v>21</v>
      </c>
      <c r="E7" s="47" t="s">
        <v>21</v>
      </c>
      <c r="F7" s="47" t="s">
        <v>21</v>
      </c>
      <c r="G7" s="47" t="s">
        <v>21</v>
      </c>
      <c r="H7" s="47" t="s">
        <v>21</v>
      </c>
      <c r="I7" s="47" t="s">
        <v>21</v>
      </c>
      <c r="J7" s="47" t="s">
        <v>21</v>
      </c>
      <c r="K7" s="47" t="s">
        <v>21</v>
      </c>
      <c r="L7" s="47" t="s">
        <v>21</v>
      </c>
      <c r="M7" s="47" t="s">
        <v>21</v>
      </c>
      <c r="N7" s="47" t="s">
        <v>21</v>
      </c>
      <c r="O7" s="47" t="s">
        <v>21</v>
      </c>
      <c r="R7" s="20" t="s">
        <v>162</v>
      </c>
      <c r="X7" s="7"/>
      <c r="Y7" s="7"/>
      <c r="Z7" s="7"/>
      <c r="AA7" s="7"/>
      <c r="AB7" s="7"/>
    </row>
    <row r="8" spans="1:28" s="20" customFormat="1">
      <c r="A8" s="20">
        <f t="shared" ref="A8:A71" si="0">+A7+1</f>
        <v>2</v>
      </c>
      <c r="B8" s="17" t="s">
        <v>161</v>
      </c>
      <c r="C8" s="28">
        <f>22519683339.27-25026303</f>
        <v>22494657036.27</v>
      </c>
      <c r="D8" s="28">
        <f>22538905367.18-25026303</f>
        <v>22513879064.18</v>
      </c>
      <c r="E8" s="28">
        <f>22592506930.14-25145661</f>
        <v>22567361269.139999</v>
      </c>
      <c r="F8" s="28">
        <f>22598922375.09-25155340</f>
        <v>22573767035.09</v>
      </c>
      <c r="G8" s="28">
        <f>22633607562.82-25183132</f>
        <v>22608424430.82</v>
      </c>
      <c r="H8" s="28">
        <f>22885467141.58-25195886</f>
        <v>22860271255.580002</v>
      </c>
      <c r="I8" s="28">
        <v>23014228731.009998</v>
      </c>
      <c r="J8" s="28">
        <v>23041852963.66</v>
      </c>
      <c r="K8" s="28">
        <v>23063076957.150002</v>
      </c>
      <c r="L8" s="28">
        <v>23141225342.98</v>
      </c>
      <c r="M8" s="28">
        <v>23276471692.220001</v>
      </c>
      <c r="N8" s="28">
        <v>23341283033.93</v>
      </c>
      <c r="O8" s="28">
        <v>23570701300.41</v>
      </c>
      <c r="P8" s="21">
        <f t="shared" ref="P8:P22" si="1">(C8+2*SUM(D8:N8)+O8)/24</f>
        <v>22919543412.008335</v>
      </c>
      <c r="Q8" s="21">
        <f t="shared" ref="Q8:Q22" si="2">AVERAGE(D8:O8)</f>
        <v>22964378589.680832</v>
      </c>
      <c r="R8" s="9">
        <f>+Q8/P8-1</f>
        <v>1.9561985536329374E-3</v>
      </c>
      <c r="V8" s="21">
        <f>+P8</f>
        <v>22919543412.008335</v>
      </c>
      <c r="X8" s="7">
        <f>+[4]Report!$K$2419+[4]Report!$K$2431+[4]Report!$K$2439</f>
        <v>1548960033.034529</v>
      </c>
      <c r="Y8" s="7">
        <f>+[4]Report!$J$2419+[4]Report!$J$2431+[4]Report!$J$2439</f>
        <v>21277452770.969261</v>
      </c>
      <c r="Z8" s="7">
        <f>+P8-X8-Y8</f>
        <v>93130608.004543304</v>
      </c>
      <c r="AA8" s="7">
        <f>+Z8+X8+Y8</f>
        <v>22919543412.008335</v>
      </c>
      <c r="AB8" s="7"/>
    </row>
    <row r="9" spans="1:28" s="20" customFormat="1">
      <c r="A9" s="20">
        <f t="shared" si="0"/>
        <v>3</v>
      </c>
      <c r="B9" s="17" t="s">
        <v>160</v>
      </c>
      <c r="C9" s="28">
        <v>1028316270.58</v>
      </c>
      <c r="D9" s="28">
        <v>1115094453.8399999</v>
      </c>
      <c r="E9" s="28">
        <v>1162288374.3199999</v>
      </c>
      <c r="F9" s="28">
        <v>1243059219.7</v>
      </c>
      <c r="G9" s="28">
        <v>1323576403.99</v>
      </c>
      <c r="H9" s="28">
        <v>1199496888.6600001</v>
      </c>
      <c r="I9" s="28">
        <v>1203547965.21</v>
      </c>
      <c r="J9" s="28">
        <v>1262420584.3299999</v>
      </c>
      <c r="K9" s="28">
        <v>1343476611.71</v>
      </c>
      <c r="L9" s="28">
        <v>1334646286.0999999</v>
      </c>
      <c r="M9" s="28">
        <v>1304174952.55</v>
      </c>
      <c r="N9" s="28">
        <v>1345399206.3099999</v>
      </c>
      <c r="O9" s="28">
        <v>1198496961.5599999</v>
      </c>
      <c r="P9" s="21">
        <f t="shared" si="1"/>
        <v>1245882296.8991666</v>
      </c>
      <c r="Q9" s="21">
        <f t="shared" si="2"/>
        <v>1252973159.0233331</v>
      </c>
      <c r="R9" s="9">
        <f>+Q9/P9-1</f>
        <v>5.6914382215838E-3</v>
      </c>
      <c r="V9" s="21">
        <f>+P9</f>
        <v>1245882296.8991666</v>
      </c>
      <c r="X9" s="7"/>
      <c r="Y9" s="7"/>
      <c r="Z9" s="7">
        <f>+V9</f>
        <v>1245882296.8991666</v>
      </c>
      <c r="AA9" s="7">
        <f>+Z9+X9+Y9</f>
        <v>1245882296.8991666</v>
      </c>
      <c r="AB9" s="7"/>
    </row>
    <row r="10" spans="1:28" s="20" customFormat="1">
      <c r="A10" s="20">
        <f t="shared" si="0"/>
        <v>4</v>
      </c>
      <c r="B10" s="17" t="s">
        <v>159</v>
      </c>
      <c r="C10" s="28">
        <f t="shared" ref="C10:N10" si="3">SUM(C8:C9)</f>
        <v>23522973306.850002</v>
      </c>
      <c r="D10" s="28">
        <f t="shared" si="3"/>
        <v>23628973518.02</v>
      </c>
      <c r="E10" s="28">
        <f t="shared" si="3"/>
        <v>23729649643.459999</v>
      </c>
      <c r="F10" s="28">
        <f t="shared" si="3"/>
        <v>23816826254.790001</v>
      </c>
      <c r="G10" s="28">
        <f t="shared" si="3"/>
        <v>23932000834.810001</v>
      </c>
      <c r="H10" s="28">
        <f t="shared" si="3"/>
        <v>24059768144.240002</v>
      </c>
      <c r="I10" s="28">
        <f t="shared" si="3"/>
        <v>24217776696.219997</v>
      </c>
      <c r="J10" s="28">
        <f t="shared" si="3"/>
        <v>24304273547.989998</v>
      </c>
      <c r="K10" s="28">
        <f t="shared" si="3"/>
        <v>24406553568.860001</v>
      </c>
      <c r="L10" s="28">
        <f t="shared" si="3"/>
        <v>24475871629.079998</v>
      </c>
      <c r="M10" s="28">
        <f t="shared" si="3"/>
        <v>24580646644.77</v>
      </c>
      <c r="N10" s="28">
        <f t="shared" si="3"/>
        <v>24686682240.240002</v>
      </c>
      <c r="O10" s="28">
        <f>SUM(O8:O9)</f>
        <v>24769198261.970001</v>
      </c>
      <c r="P10" s="21">
        <f>(C10+2*SUM(D10:N10)+O10)/24</f>
        <v>24165425708.90749</v>
      </c>
      <c r="Q10" s="21">
        <f t="shared" si="2"/>
        <v>24217351748.704163</v>
      </c>
      <c r="R10" s="9">
        <f>+Q10/P10-1</f>
        <v>2.1487740552210699E-3</v>
      </c>
      <c r="X10" s="7"/>
      <c r="Y10" s="7"/>
      <c r="Z10" s="7"/>
      <c r="AA10" s="7"/>
      <c r="AB10" s="7"/>
    </row>
    <row r="11" spans="1:28" s="20" customFormat="1">
      <c r="A11" s="20">
        <f t="shared" si="0"/>
        <v>5</v>
      </c>
      <c r="B11" s="17" t="s">
        <v>158</v>
      </c>
      <c r="C11" s="28">
        <v>7552203238.9499998</v>
      </c>
      <c r="D11" s="28">
        <v>7585333316.8999996</v>
      </c>
      <c r="E11" s="28">
        <v>7615857092.5699997</v>
      </c>
      <c r="F11" s="28">
        <v>7640180650.9399996</v>
      </c>
      <c r="G11" s="28">
        <v>7659358031.1700001</v>
      </c>
      <c r="H11" s="28">
        <v>7694397958.6300001</v>
      </c>
      <c r="I11" s="28">
        <v>7666665055.4700003</v>
      </c>
      <c r="J11" s="28">
        <v>7702786353.1899996</v>
      </c>
      <c r="K11" s="28">
        <v>7738759852.1999998</v>
      </c>
      <c r="L11" s="28">
        <v>7730562168.8100004</v>
      </c>
      <c r="M11" s="28">
        <v>7747416317.5500002</v>
      </c>
      <c r="N11" s="28">
        <v>7789820002.1700001</v>
      </c>
      <c r="O11" s="28">
        <v>7826359196.9499998</v>
      </c>
      <c r="P11" s="21">
        <f t="shared" si="1"/>
        <v>7688368168.1291685</v>
      </c>
      <c r="Q11" s="21">
        <f t="shared" si="2"/>
        <v>7699791333.0458336</v>
      </c>
      <c r="R11" s="9">
        <f>+Q11/P11-1</f>
        <v>1.4857723598640238E-3</v>
      </c>
      <c r="V11" s="21">
        <f>-P11</f>
        <v>-7688368168.1291685</v>
      </c>
      <c r="X11" s="7">
        <f>+[4]Report!$K$2447+[4]Report!$K$2972+[4]Report!$K$3035</f>
        <v>-602925363.62793529</v>
      </c>
      <c r="Y11" s="7">
        <f>+[4]Report!$J$2447+[4]Report!$J$2972+[4]Report!$J$3035</f>
        <v>-7045213334.3912182</v>
      </c>
      <c r="Z11" s="7">
        <f>-P11-X11-Y11</f>
        <v>-40229470.110014915</v>
      </c>
      <c r="AA11" s="7">
        <f>+Z11+X11+Y11</f>
        <v>-7688368168.1291685</v>
      </c>
      <c r="AB11" s="7"/>
    </row>
    <row r="12" spans="1:28" s="20" customFormat="1">
      <c r="A12" s="20">
        <f t="shared" si="0"/>
        <v>6</v>
      </c>
      <c r="B12" s="17" t="s">
        <v>150</v>
      </c>
      <c r="C12" s="28">
        <f t="shared" ref="C12:N12" si="4">C10-C11</f>
        <v>15970770067.900002</v>
      </c>
      <c r="D12" s="28">
        <f t="shared" si="4"/>
        <v>16043640201.120001</v>
      </c>
      <c r="E12" s="28">
        <f t="shared" si="4"/>
        <v>16113792550.889999</v>
      </c>
      <c r="F12" s="28">
        <f t="shared" si="4"/>
        <v>16176645603.850002</v>
      </c>
      <c r="G12" s="28">
        <f t="shared" si="4"/>
        <v>16272642803.640001</v>
      </c>
      <c r="H12" s="28">
        <f t="shared" si="4"/>
        <v>16365370185.610001</v>
      </c>
      <c r="I12" s="28">
        <f t="shared" si="4"/>
        <v>16551111640.749996</v>
      </c>
      <c r="J12" s="28">
        <f t="shared" si="4"/>
        <v>16601487194.799999</v>
      </c>
      <c r="K12" s="28">
        <f t="shared" si="4"/>
        <v>16667793716.66</v>
      </c>
      <c r="L12" s="28">
        <f t="shared" si="4"/>
        <v>16745309460.269997</v>
      </c>
      <c r="M12" s="28">
        <f t="shared" si="4"/>
        <v>16833230327.220001</v>
      </c>
      <c r="N12" s="28">
        <f t="shared" si="4"/>
        <v>16896862238.070002</v>
      </c>
      <c r="O12" s="28">
        <f>O10-O11</f>
        <v>16942839065.02</v>
      </c>
      <c r="P12" s="21">
        <f t="shared" si="1"/>
        <v>16477057540.778336</v>
      </c>
      <c r="Q12" s="21">
        <f t="shared" si="2"/>
        <v>16517560415.658333</v>
      </c>
      <c r="R12" s="9">
        <f>+Q12/P12-1</f>
        <v>2.4581376122381204E-3</v>
      </c>
      <c r="X12" s="7"/>
      <c r="Y12" s="7"/>
      <c r="Z12" s="7"/>
      <c r="AA12" s="7"/>
      <c r="AB12" s="7"/>
    </row>
    <row r="13" spans="1:28" s="20" customFormat="1">
      <c r="A13" s="20">
        <f t="shared" si="0"/>
        <v>7</v>
      </c>
      <c r="B13" s="17" t="s">
        <v>157</v>
      </c>
      <c r="C13" s="28"/>
      <c r="D13" s="28"/>
      <c r="E13" s="28"/>
      <c r="F13" s="28"/>
      <c r="G13" s="28"/>
      <c r="H13" s="28"/>
      <c r="I13" s="28"/>
      <c r="J13" s="28"/>
      <c r="K13" s="28"/>
      <c r="L13" s="28"/>
      <c r="M13" s="28"/>
      <c r="N13" s="28"/>
      <c r="O13" s="28"/>
      <c r="P13" s="21">
        <f t="shared" si="1"/>
        <v>0</v>
      </c>
      <c r="Q13" s="21" t="e">
        <f t="shared" si="2"/>
        <v>#DIV/0!</v>
      </c>
      <c r="R13" s="9"/>
      <c r="X13" s="7"/>
      <c r="Y13" s="7"/>
      <c r="Z13" s="7"/>
      <c r="AA13" s="7"/>
      <c r="AB13" s="7"/>
    </row>
    <row r="14" spans="1:28" s="20" customFormat="1">
      <c r="A14" s="20">
        <f t="shared" si="0"/>
        <v>8</v>
      </c>
      <c r="B14" s="17" t="s">
        <v>156</v>
      </c>
      <c r="C14" s="28"/>
      <c r="D14" s="28"/>
      <c r="E14" s="28"/>
      <c r="F14" s="28"/>
      <c r="G14" s="28"/>
      <c r="H14" s="28"/>
      <c r="I14" s="28"/>
      <c r="J14" s="28"/>
      <c r="K14" s="28"/>
      <c r="L14" s="28"/>
      <c r="M14" s="28"/>
      <c r="N14" s="28"/>
      <c r="O14" s="28"/>
      <c r="P14" s="21">
        <f t="shared" si="1"/>
        <v>0</v>
      </c>
      <c r="Q14" s="21" t="e">
        <f t="shared" si="2"/>
        <v>#DIV/0!</v>
      </c>
      <c r="R14" s="9"/>
      <c r="X14" s="7"/>
      <c r="Y14" s="7"/>
      <c r="Z14" s="7"/>
      <c r="AA14" s="7"/>
      <c r="AB14" s="7"/>
    </row>
    <row r="15" spans="1:28" s="20" customFormat="1">
      <c r="A15" s="20">
        <f t="shared" si="0"/>
        <v>9</v>
      </c>
      <c r="B15" s="17" t="s">
        <v>155</v>
      </c>
      <c r="C15" s="28"/>
      <c r="D15" s="28"/>
      <c r="E15" s="28"/>
      <c r="F15" s="28"/>
      <c r="G15" s="28"/>
      <c r="H15" s="28"/>
      <c r="I15" s="28"/>
      <c r="J15" s="28"/>
      <c r="K15" s="28"/>
      <c r="L15" s="28"/>
      <c r="M15" s="28"/>
      <c r="N15" s="28"/>
      <c r="O15" s="28"/>
      <c r="P15" s="21">
        <f t="shared" si="1"/>
        <v>0</v>
      </c>
      <c r="Q15" s="21" t="e">
        <f t="shared" si="2"/>
        <v>#DIV/0!</v>
      </c>
      <c r="R15" s="9"/>
      <c r="X15" s="7"/>
      <c r="Y15" s="7"/>
      <c r="Z15" s="7"/>
      <c r="AA15" s="7"/>
      <c r="AB15" s="7"/>
    </row>
    <row r="16" spans="1:28" s="20" customFormat="1">
      <c r="A16" s="20">
        <f t="shared" si="0"/>
        <v>10</v>
      </c>
      <c r="B16" s="17" t="s">
        <v>154</v>
      </c>
      <c r="C16" s="28"/>
      <c r="D16" s="28"/>
      <c r="E16" s="28"/>
      <c r="F16" s="28"/>
      <c r="G16" s="28"/>
      <c r="H16" s="28"/>
      <c r="I16" s="28"/>
      <c r="J16" s="28"/>
      <c r="K16" s="28"/>
      <c r="L16" s="28"/>
      <c r="M16" s="28"/>
      <c r="N16" s="28"/>
      <c r="O16" s="28"/>
      <c r="P16" s="21">
        <f t="shared" si="1"/>
        <v>0</v>
      </c>
      <c r="Q16" s="21" t="e">
        <f t="shared" si="2"/>
        <v>#DIV/0!</v>
      </c>
      <c r="R16" s="9"/>
      <c r="X16" s="7"/>
      <c r="Y16" s="7"/>
      <c r="Z16" s="7"/>
      <c r="AA16" s="7"/>
      <c r="AB16" s="7"/>
    </row>
    <row r="17" spans="1:29" s="20" customFormat="1">
      <c r="A17" s="20">
        <f t="shared" si="0"/>
        <v>11</v>
      </c>
      <c r="B17" s="17" t="s">
        <v>153</v>
      </c>
      <c r="C17" s="28"/>
      <c r="D17" s="28"/>
      <c r="E17" s="28"/>
      <c r="F17" s="28"/>
      <c r="G17" s="28"/>
      <c r="H17" s="28"/>
      <c r="I17" s="28"/>
      <c r="J17" s="28"/>
      <c r="K17" s="28"/>
      <c r="L17" s="28"/>
      <c r="M17" s="28"/>
      <c r="N17" s="28"/>
      <c r="O17" s="28"/>
      <c r="P17" s="21">
        <f t="shared" si="1"/>
        <v>0</v>
      </c>
      <c r="Q17" s="21" t="e">
        <f t="shared" si="2"/>
        <v>#DIV/0!</v>
      </c>
      <c r="R17" s="9"/>
      <c r="X17" s="7"/>
      <c r="Y17" s="7"/>
      <c r="Z17" s="7"/>
      <c r="AA17" s="7"/>
      <c r="AB17" s="7"/>
    </row>
    <row r="18" spans="1:29" s="20" customFormat="1">
      <c r="A18" s="20">
        <f t="shared" si="0"/>
        <v>12</v>
      </c>
      <c r="B18" s="17" t="s">
        <v>152</v>
      </c>
      <c r="C18" s="28"/>
      <c r="D18" s="28"/>
      <c r="E18" s="28"/>
      <c r="F18" s="28"/>
      <c r="G18" s="28"/>
      <c r="H18" s="28"/>
      <c r="I18" s="28"/>
      <c r="J18" s="28"/>
      <c r="K18" s="28"/>
      <c r="L18" s="28"/>
      <c r="M18" s="28"/>
      <c r="N18" s="28"/>
      <c r="O18" s="28"/>
      <c r="P18" s="21">
        <f t="shared" si="1"/>
        <v>0</v>
      </c>
      <c r="Q18" s="21" t="e">
        <f t="shared" si="2"/>
        <v>#DIV/0!</v>
      </c>
      <c r="R18" s="9"/>
      <c r="X18" s="7"/>
      <c r="Y18" s="7"/>
      <c r="Z18" s="7"/>
      <c r="AA18" s="7"/>
      <c r="AB18" s="7"/>
    </row>
    <row r="19" spans="1:29" s="20" customFormat="1">
      <c r="A19" s="20">
        <f t="shared" si="0"/>
        <v>13</v>
      </c>
      <c r="B19" s="17" t="s">
        <v>151</v>
      </c>
      <c r="C19" s="28"/>
      <c r="D19" s="28"/>
      <c r="E19" s="28"/>
      <c r="F19" s="28"/>
      <c r="G19" s="28"/>
      <c r="H19" s="28"/>
      <c r="I19" s="28"/>
      <c r="J19" s="28"/>
      <c r="K19" s="28"/>
      <c r="L19" s="28"/>
      <c r="M19" s="28"/>
      <c r="N19" s="28"/>
      <c r="O19" s="28"/>
      <c r="P19" s="21">
        <f t="shared" si="1"/>
        <v>0</v>
      </c>
      <c r="Q19" s="21" t="e">
        <f t="shared" si="2"/>
        <v>#DIV/0!</v>
      </c>
      <c r="R19" s="9"/>
      <c r="X19" s="7"/>
      <c r="Y19" s="7"/>
      <c r="Z19" s="7"/>
      <c r="AA19" s="7"/>
      <c r="AB19" s="7"/>
    </row>
    <row r="20" spans="1:29" s="20" customFormat="1">
      <c r="A20" s="20">
        <f t="shared" si="0"/>
        <v>14</v>
      </c>
      <c r="C20" s="28"/>
      <c r="D20" s="28"/>
      <c r="E20" s="28"/>
      <c r="F20" s="28"/>
      <c r="G20" s="28"/>
      <c r="H20" s="28"/>
      <c r="I20" s="28"/>
      <c r="J20" s="28"/>
      <c r="K20" s="28"/>
      <c r="L20" s="28"/>
      <c r="M20" s="28"/>
      <c r="N20" s="28"/>
      <c r="O20" s="28"/>
      <c r="P20" s="21">
        <f t="shared" si="1"/>
        <v>0</v>
      </c>
      <c r="Q20" s="21" t="e">
        <f t="shared" si="2"/>
        <v>#DIV/0!</v>
      </c>
      <c r="R20" s="9"/>
      <c r="X20" s="7"/>
      <c r="Y20" s="7"/>
      <c r="Z20" s="7"/>
      <c r="AA20" s="7"/>
      <c r="AB20" s="7"/>
    </row>
    <row r="21" spans="1:29" s="20" customFormat="1">
      <c r="A21" s="20">
        <f t="shared" si="0"/>
        <v>15</v>
      </c>
      <c r="B21" s="17" t="s">
        <v>150</v>
      </c>
      <c r="C21" s="28">
        <f t="shared" ref="C21:N21" si="5">C12</f>
        <v>15970770067.900002</v>
      </c>
      <c r="D21" s="28">
        <f t="shared" si="5"/>
        <v>16043640201.120001</v>
      </c>
      <c r="E21" s="28">
        <f t="shared" si="5"/>
        <v>16113792550.889999</v>
      </c>
      <c r="F21" s="28">
        <f t="shared" si="5"/>
        <v>16176645603.850002</v>
      </c>
      <c r="G21" s="28">
        <f t="shared" si="5"/>
        <v>16272642803.640001</v>
      </c>
      <c r="H21" s="28">
        <f t="shared" si="5"/>
        <v>16365370185.610001</v>
      </c>
      <c r="I21" s="28">
        <f t="shared" si="5"/>
        <v>16551111640.749996</v>
      </c>
      <c r="J21" s="28">
        <f t="shared" si="5"/>
        <v>16601487194.799999</v>
      </c>
      <c r="K21" s="28">
        <f t="shared" si="5"/>
        <v>16667793716.66</v>
      </c>
      <c r="L21" s="28">
        <f t="shared" si="5"/>
        <v>16745309460.269997</v>
      </c>
      <c r="M21" s="28">
        <f t="shared" si="5"/>
        <v>16833230327.220001</v>
      </c>
      <c r="N21" s="28">
        <f t="shared" si="5"/>
        <v>16896862238.070002</v>
      </c>
      <c r="O21" s="28">
        <f>O12</f>
        <v>16942839065.02</v>
      </c>
      <c r="P21" s="21">
        <f t="shared" si="1"/>
        <v>16477057540.778336</v>
      </c>
      <c r="Q21" s="21">
        <f t="shared" si="2"/>
        <v>16517560415.658333</v>
      </c>
      <c r="R21" s="9">
        <f>+Q21/P21-1</f>
        <v>2.4581376122381204E-3</v>
      </c>
      <c r="V21" s="41">
        <f>SUBTOTAL(9,V8:V11)</f>
        <v>16477057540.778332</v>
      </c>
      <c r="W21" s="41">
        <f>SUBTOTAL(9,W8:W11)</f>
        <v>0</v>
      </c>
      <c r="X21" s="41">
        <f>SUBTOTAL(9,X8:X11)</f>
        <v>946034669.40659368</v>
      </c>
      <c r="Y21" s="41">
        <f>SUBTOTAL(9,Y8:Y11)</f>
        <v>14232239436.578043</v>
      </c>
      <c r="Z21" s="41">
        <f>SUBTOTAL(9,Z8:Z11)</f>
        <v>1298783434.793695</v>
      </c>
      <c r="AA21" s="7">
        <f>+Z21+Y21+X21</f>
        <v>16477057540.778332</v>
      </c>
      <c r="AB21" s="7"/>
    </row>
    <row r="22" spans="1:29" s="20" customFormat="1">
      <c r="A22" s="20">
        <f t="shared" si="0"/>
        <v>16</v>
      </c>
      <c r="B22" s="17" t="s">
        <v>149</v>
      </c>
      <c r="C22" s="28"/>
      <c r="D22" s="28"/>
      <c r="E22" s="28"/>
      <c r="F22" s="28"/>
      <c r="G22" s="28"/>
      <c r="H22" s="28"/>
      <c r="I22" s="28"/>
      <c r="J22" s="28"/>
      <c r="K22" s="28"/>
      <c r="L22" s="28"/>
      <c r="M22" s="28"/>
      <c r="N22" s="28"/>
      <c r="O22" s="28"/>
      <c r="P22" s="21">
        <f t="shared" si="1"/>
        <v>0</v>
      </c>
      <c r="Q22" s="21" t="e">
        <f t="shared" si="2"/>
        <v>#DIV/0!</v>
      </c>
      <c r="R22" s="9"/>
      <c r="X22" s="277"/>
      <c r="Y22" s="277"/>
      <c r="Z22" s="277"/>
      <c r="AA22" s="7"/>
      <c r="AB22" s="7"/>
    </row>
    <row r="23" spans="1:29" s="20" customFormat="1">
      <c r="A23" s="20">
        <f t="shared" si="0"/>
        <v>17</v>
      </c>
      <c r="B23" s="17"/>
      <c r="C23" s="32"/>
      <c r="D23" s="32"/>
      <c r="E23" s="32"/>
      <c r="F23" s="32"/>
      <c r="G23" s="32"/>
      <c r="H23" s="32"/>
      <c r="I23" s="32"/>
      <c r="J23" s="32"/>
      <c r="K23" s="32"/>
      <c r="L23" s="32"/>
      <c r="M23" s="32"/>
      <c r="N23" s="32"/>
      <c r="O23" s="32"/>
      <c r="P23" s="21"/>
      <c r="Q23" s="21"/>
      <c r="R23" s="9"/>
      <c r="X23" s="277"/>
      <c r="Y23" s="277"/>
      <c r="Z23" s="277"/>
      <c r="AA23" s="7"/>
      <c r="AB23" s="7"/>
    </row>
    <row r="24" spans="1:29" s="20" customFormat="1">
      <c r="A24" s="20">
        <f t="shared" si="0"/>
        <v>18</v>
      </c>
      <c r="B24" s="17" t="s">
        <v>148</v>
      </c>
      <c r="C24" s="47"/>
      <c r="D24" s="47"/>
      <c r="E24" s="47"/>
      <c r="F24" s="47"/>
      <c r="G24" s="47"/>
      <c r="H24" s="47"/>
      <c r="I24" s="47"/>
      <c r="J24" s="47"/>
      <c r="K24" s="47"/>
      <c r="L24" s="47"/>
      <c r="M24" s="47"/>
      <c r="N24" s="47"/>
      <c r="O24" s="47"/>
      <c r="P24" s="21"/>
      <c r="Q24" s="21"/>
      <c r="R24" s="9"/>
      <c r="X24" s="7"/>
      <c r="Y24" s="7"/>
      <c r="Z24" s="7"/>
      <c r="AA24" s="7"/>
      <c r="AB24" s="7"/>
    </row>
    <row r="25" spans="1:29" s="20" customFormat="1">
      <c r="A25" s="20">
        <f t="shared" si="0"/>
        <v>19</v>
      </c>
      <c r="B25" s="17" t="s">
        <v>147</v>
      </c>
      <c r="C25" s="28">
        <v>15601520.83</v>
      </c>
      <c r="D25" s="28">
        <v>15601520.83</v>
      </c>
      <c r="E25" s="28">
        <v>15483040.890000001</v>
      </c>
      <c r="F25" s="28">
        <v>15483040.890000001</v>
      </c>
      <c r="G25" s="28">
        <v>15483040.890000001</v>
      </c>
      <c r="H25" s="28">
        <v>15483040.890000001</v>
      </c>
      <c r="I25" s="28">
        <v>15445647.789999999</v>
      </c>
      <c r="J25" s="28">
        <v>15445647.789999999</v>
      </c>
      <c r="K25" s="28">
        <v>15445655.029999999</v>
      </c>
      <c r="L25" s="28">
        <v>14793403.220000001</v>
      </c>
      <c r="M25" s="28">
        <v>14793403.220000001</v>
      </c>
      <c r="N25" s="28">
        <v>14656612.390000001</v>
      </c>
      <c r="O25" s="28">
        <v>15344663.710000001</v>
      </c>
      <c r="P25" s="21">
        <f>(C25+2*SUM(D25:N25)+O25)/24</f>
        <v>15298928.841666663</v>
      </c>
      <c r="Q25" s="21">
        <f t="shared" ref="Q25:Q38" si="6">AVERAGE(D25:O25)</f>
        <v>15288226.461666666</v>
      </c>
      <c r="R25" s="9">
        <f>+Q25/P25-1</f>
        <v>-6.9955093658902179E-4</v>
      </c>
      <c r="V25" s="21">
        <f>+P25</f>
        <v>15298928.841666663</v>
      </c>
      <c r="X25" s="7"/>
      <c r="Y25" s="7"/>
      <c r="Z25" s="7">
        <f>+V25</f>
        <v>15298928.841666663</v>
      </c>
      <c r="AA25" s="7">
        <f t="shared" ref="AA25:AA37" si="7">+Z25+X25+Y25</f>
        <v>15298928.841666663</v>
      </c>
      <c r="AB25" s="7"/>
    </row>
    <row r="26" spans="1:29" s="20" customFormat="1">
      <c r="A26" s="20">
        <f t="shared" si="0"/>
        <v>20</v>
      </c>
      <c r="B26" s="17" t="s">
        <v>146</v>
      </c>
      <c r="C26" s="28">
        <v>1860570.33</v>
      </c>
      <c r="D26" s="28">
        <v>1873631.4</v>
      </c>
      <c r="E26" s="28">
        <v>1886692.43</v>
      </c>
      <c r="F26" s="28">
        <v>1899752.71</v>
      </c>
      <c r="G26" s="28">
        <v>1912811.32</v>
      </c>
      <c r="H26" s="28">
        <v>1925862.66</v>
      </c>
      <c r="I26" s="28">
        <v>1917756.81</v>
      </c>
      <c r="J26" s="28">
        <v>1930728.36</v>
      </c>
      <c r="K26" s="28">
        <v>1943699.91</v>
      </c>
      <c r="L26" s="28">
        <v>1936631.85</v>
      </c>
      <c r="M26" s="28">
        <v>1957867.76</v>
      </c>
      <c r="N26" s="28">
        <v>1960620.89</v>
      </c>
      <c r="O26" s="28">
        <v>2659571.46</v>
      </c>
      <c r="P26" s="21">
        <f>-(C26+2*SUM(D26:N26)+O26)/24</f>
        <v>-1950510.5829166668</v>
      </c>
      <c r="Q26" s="21">
        <f t="shared" si="6"/>
        <v>1983802.2966666669</v>
      </c>
      <c r="R26" s="9">
        <f>+Q26/P26-1</f>
        <v>-2.0170682046237438</v>
      </c>
      <c r="V26" s="21">
        <f>P26</f>
        <v>-1950510.5829166668</v>
      </c>
      <c r="X26" s="7"/>
      <c r="Y26" s="7"/>
      <c r="Z26" s="7">
        <f>+V26</f>
        <v>-1950510.5829166668</v>
      </c>
      <c r="AA26" s="7">
        <f t="shared" si="7"/>
        <v>-1950510.5829166668</v>
      </c>
      <c r="AB26" s="7"/>
    </row>
    <row r="27" spans="1:29" s="20" customFormat="1">
      <c r="A27" s="20">
        <f t="shared" si="0"/>
        <v>21</v>
      </c>
      <c r="B27" s="17" t="s">
        <v>145</v>
      </c>
      <c r="C27" s="28">
        <v>69928.31</v>
      </c>
      <c r="D27" s="28">
        <v>69928.31</v>
      </c>
      <c r="E27" s="28">
        <v>69928.31</v>
      </c>
      <c r="F27" s="28">
        <v>69928.31</v>
      </c>
      <c r="G27" s="28">
        <v>69928.31</v>
      </c>
      <c r="H27" s="28">
        <v>69928.31</v>
      </c>
      <c r="I27" s="28">
        <v>69928.31</v>
      </c>
      <c r="J27" s="28">
        <v>69928.31</v>
      </c>
      <c r="K27" s="28">
        <v>69928.31</v>
      </c>
      <c r="L27" s="28">
        <v>69928.31</v>
      </c>
      <c r="M27" s="28">
        <v>69928.31</v>
      </c>
      <c r="N27" s="28">
        <v>69928.31</v>
      </c>
      <c r="O27" s="28">
        <v>69928.31</v>
      </c>
      <c r="P27" s="21">
        <f t="shared" ref="P27:P37" si="8">(C27+2*SUM(D27:N27)+O27)/24</f>
        <v>69928.310000000012</v>
      </c>
      <c r="Q27" s="21">
        <f t="shared" si="6"/>
        <v>69928.310000000012</v>
      </c>
      <c r="R27" s="9">
        <f>+Q27/P27-1</f>
        <v>0</v>
      </c>
      <c r="V27" s="21">
        <f>P27</f>
        <v>69928.310000000012</v>
      </c>
      <c r="X27" s="7"/>
      <c r="Y27" s="7"/>
      <c r="Z27" s="7">
        <f>+V27</f>
        <v>69928.310000000012</v>
      </c>
      <c r="AA27" s="7">
        <f t="shared" si="7"/>
        <v>69928.310000000012</v>
      </c>
      <c r="AB27" s="7"/>
    </row>
    <row r="28" spans="1:29" s="20" customFormat="1">
      <c r="A28" s="20">
        <f t="shared" si="0"/>
        <v>22</v>
      </c>
      <c r="B28" s="17" t="s">
        <v>144</v>
      </c>
      <c r="C28" s="28">
        <f>210570088.62-4314397</f>
        <v>206255691.62</v>
      </c>
      <c r="D28" s="28">
        <f>208641707.66+20032702</f>
        <v>228674409.66</v>
      </c>
      <c r="E28" s="28">
        <f>214253746.28+16497907</f>
        <v>230751653.28</v>
      </c>
      <c r="F28" s="28">
        <f>213713594.73+18077181</f>
        <v>231790775.72999999</v>
      </c>
      <c r="G28" s="28">
        <f>218794715.47+17238990</f>
        <v>236033705.47</v>
      </c>
      <c r="H28" s="28">
        <f>234623726.63+6826595</f>
        <v>241450321.63</v>
      </c>
      <c r="I28" s="28">
        <v>240956267.94</v>
      </c>
      <c r="J28" s="28">
        <v>247193781.97</v>
      </c>
      <c r="K28" s="28">
        <v>250431206.88</v>
      </c>
      <c r="L28" s="28">
        <v>252425950.81999999</v>
      </c>
      <c r="M28" s="28">
        <v>251904190.06999999</v>
      </c>
      <c r="N28" s="28">
        <v>251246412.71000001</v>
      </c>
      <c r="O28" s="28">
        <v>250946712.15000001</v>
      </c>
      <c r="P28" s="21">
        <f t="shared" si="8"/>
        <v>240954989.83708334</v>
      </c>
      <c r="Q28" s="21">
        <f t="shared" si="6"/>
        <v>242817115.69250003</v>
      </c>
      <c r="R28" s="9">
        <f>+Q28/P28-1</f>
        <v>7.7281066338394933E-3</v>
      </c>
      <c r="T28" s="7">
        <f>+Bridger!C44*1000</f>
        <v>39282981.023055553</v>
      </c>
      <c r="V28" s="21">
        <f>+P28-T28</f>
        <v>201672008.81402779</v>
      </c>
      <c r="X28" s="7">
        <f>+'[5]Lead Sheet - WCA'!$F$27*[4]Factors!$X$40</f>
        <v>32424125.297717221</v>
      </c>
      <c r="Y28" s="7">
        <f>+'[5]Lead Sheet - WCA'!$F$27-X28</f>
        <v>111558007.02099431</v>
      </c>
      <c r="Z28" s="7">
        <f>+V28-X28-Y28</f>
        <v>57689876.495316267</v>
      </c>
      <c r="AA28" s="7">
        <f t="shared" si="7"/>
        <v>201672008.81402779</v>
      </c>
      <c r="AB28" s="7"/>
      <c r="AC28" s="278"/>
    </row>
    <row r="29" spans="1:29" s="20" customFormat="1">
      <c r="A29" s="20">
        <f t="shared" si="0"/>
        <v>23</v>
      </c>
      <c r="B29" s="17" t="s">
        <v>143</v>
      </c>
      <c r="C29" s="28"/>
      <c r="D29" s="28"/>
      <c r="E29" s="28"/>
      <c r="F29" s="28"/>
      <c r="G29" s="28"/>
      <c r="H29" s="28"/>
      <c r="I29" s="28"/>
      <c r="J29" s="28"/>
      <c r="K29" s="28"/>
      <c r="L29" s="28"/>
      <c r="M29" s="28"/>
      <c r="N29" s="28"/>
      <c r="O29" s="28"/>
      <c r="P29" s="21">
        <f t="shared" si="8"/>
        <v>0</v>
      </c>
      <c r="Q29" s="21" t="e">
        <f t="shared" si="6"/>
        <v>#DIV/0!</v>
      </c>
      <c r="R29" s="9"/>
      <c r="V29" s="21">
        <f t="shared" ref="V29:V35" si="9">P29</f>
        <v>0</v>
      </c>
      <c r="X29" s="7"/>
      <c r="Y29" s="7"/>
      <c r="Z29" s="7">
        <f t="shared" ref="Z29:Z35" si="10">+V29</f>
        <v>0</v>
      </c>
      <c r="AA29" s="7">
        <f t="shared" si="7"/>
        <v>0</v>
      </c>
      <c r="AB29" s="7"/>
    </row>
    <row r="30" spans="1:29" s="20" customFormat="1">
      <c r="A30" s="20">
        <f t="shared" si="0"/>
        <v>24</v>
      </c>
      <c r="B30" s="17" t="s">
        <v>142</v>
      </c>
      <c r="C30" s="28">
        <v>84158849.980000004</v>
      </c>
      <c r="D30" s="28">
        <v>83900228.709999993</v>
      </c>
      <c r="E30" s="28">
        <v>83292190.430000007</v>
      </c>
      <c r="F30" s="28">
        <v>82378724.560000002</v>
      </c>
      <c r="G30" s="28">
        <v>82697970.609999999</v>
      </c>
      <c r="H30" s="28">
        <v>82563472.879999995</v>
      </c>
      <c r="I30" s="28">
        <v>83950134.829999998</v>
      </c>
      <c r="J30" s="28">
        <v>83406622.319999993</v>
      </c>
      <c r="K30" s="28">
        <v>84790157.870000005</v>
      </c>
      <c r="L30" s="28">
        <v>85020053.689999998</v>
      </c>
      <c r="M30" s="28">
        <v>84663559.299999997</v>
      </c>
      <c r="N30" s="28">
        <v>83848083.400000006</v>
      </c>
      <c r="O30" s="28">
        <v>84304196.310000002</v>
      </c>
      <c r="P30" s="21">
        <f t="shared" si="8"/>
        <v>83728560.145416647</v>
      </c>
      <c r="Q30" s="21">
        <f t="shared" si="6"/>
        <v>83734616.242499992</v>
      </c>
      <c r="R30" s="9">
        <f>+Q30/P30-1</f>
        <v>7.2330123351393993E-5</v>
      </c>
      <c r="V30" s="21">
        <f t="shared" si="9"/>
        <v>83728560.145416647</v>
      </c>
      <c r="X30" s="7"/>
      <c r="Y30" s="7"/>
      <c r="Z30" s="7">
        <f t="shared" si="10"/>
        <v>83728560.145416647</v>
      </c>
      <c r="AA30" s="7">
        <f t="shared" si="7"/>
        <v>83728560.145416647</v>
      </c>
      <c r="AB30" s="7"/>
    </row>
    <row r="31" spans="1:29" s="20" customFormat="1">
      <c r="A31" s="20">
        <f t="shared" si="0"/>
        <v>25</v>
      </c>
      <c r="B31" s="17" t="s">
        <v>141</v>
      </c>
      <c r="C31" s="28"/>
      <c r="D31" s="28"/>
      <c r="E31" s="28"/>
      <c r="F31" s="28"/>
      <c r="G31" s="28"/>
      <c r="H31" s="28"/>
      <c r="I31" s="28"/>
      <c r="J31" s="28"/>
      <c r="K31" s="28"/>
      <c r="L31" s="28"/>
      <c r="M31" s="28"/>
      <c r="N31" s="28"/>
      <c r="O31" s="28"/>
      <c r="P31" s="21">
        <f t="shared" si="8"/>
        <v>0</v>
      </c>
      <c r="Q31" s="21" t="e">
        <f t="shared" si="6"/>
        <v>#DIV/0!</v>
      </c>
      <c r="R31" s="9"/>
      <c r="V31" s="21">
        <f t="shared" si="9"/>
        <v>0</v>
      </c>
      <c r="X31" s="7"/>
      <c r="Y31" s="7"/>
      <c r="Z31" s="7">
        <f t="shared" si="10"/>
        <v>0</v>
      </c>
      <c r="AA31" s="7">
        <f t="shared" si="7"/>
        <v>0</v>
      </c>
      <c r="AB31" s="7"/>
    </row>
    <row r="32" spans="1:29" s="20" customFormat="1">
      <c r="A32" s="20">
        <f t="shared" si="0"/>
        <v>26</v>
      </c>
      <c r="B32" s="17" t="s">
        <v>140</v>
      </c>
      <c r="C32" s="28"/>
      <c r="D32" s="28"/>
      <c r="E32" s="28"/>
      <c r="F32" s="28"/>
      <c r="G32" s="28"/>
      <c r="H32" s="28"/>
      <c r="I32" s="28"/>
      <c r="J32" s="28"/>
      <c r="K32" s="28"/>
      <c r="L32" s="28"/>
      <c r="M32" s="28"/>
      <c r="N32" s="28"/>
      <c r="O32" s="28"/>
      <c r="P32" s="21">
        <f t="shared" si="8"/>
        <v>0</v>
      </c>
      <c r="Q32" s="21" t="e">
        <f t="shared" si="6"/>
        <v>#DIV/0!</v>
      </c>
      <c r="R32" s="9"/>
      <c r="V32" s="21">
        <f t="shared" si="9"/>
        <v>0</v>
      </c>
      <c r="X32" s="7"/>
      <c r="Y32" s="7"/>
      <c r="Z32" s="7">
        <f t="shared" si="10"/>
        <v>0</v>
      </c>
      <c r="AA32" s="7">
        <f t="shared" si="7"/>
        <v>0</v>
      </c>
      <c r="AB32" s="7"/>
    </row>
    <row r="33" spans="1:28" s="20" customFormat="1">
      <c r="A33" s="20">
        <f t="shared" si="0"/>
        <v>27</v>
      </c>
      <c r="B33" s="17" t="s">
        <v>139</v>
      </c>
      <c r="C33" s="28"/>
      <c r="D33" s="28"/>
      <c r="E33" s="28"/>
      <c r="F33" s="28"/>
      <c r="G33" s="28"/>
      <c r="H33" s="28"/>
      <c r="I33" s="28"/>
      <c r="J33" s="28"/>
      <c r="K33" s="28"/>
      <c r="L33" s="28"/>
      <c r="M33" s="28"/>
      <c r="N33" s="28"/>
      <c r="O33" s="28"/>
      <c r="P33" s="21">
        <f t="shared" si="8"/>
        <v>0</v>
      </c>
      <c r="Q33" s="21" t="e">
        <f t="shared" si="6"/>
        <v>#DIV/0!</v>
      </c>
      <c r="R33" s="9"/>
      <c r="V33" s="21">
        <f t="shared" si="9"/>
        <v>0</v>
      </c>
      <c r="X33" s="7"/>
      <c r="Y33" s="7"/>
      <c r="Z33" s="7">
        <f t="shared" si="10"/>
        <v>0</v>
      </c>
      <c r="AA33" s="7">
        <f t="shared" si="7"/>
        <v>0</v>
      </c>
      <c r="AB33" s="7"/>
    </row>
    <row r="34" spans="1:28" s="20" customFormat="1">
      <c r="A34" s="20">
        <f t="shared" si="0"/>
        <v>28</v>
      </c>
      <c r="B34" s="17" t="s">
        <v>138</v>
      </c>
      <c r="C34" s="28">
        <v>5477018.6500000004</v>
      </c>
      <c r="D34" s="28">
        <v>5584343.04</v>
      </c>
      <c r="E34" s="28">
        <v>5706203.6799999997</v>
      </c>
      <c r="F34" s="28">
        <v>5741715.4699999997</v>
      </c>
      <c r="G34" s="28">
        <v>5807944.6500000004</v>
      </c>
      <c r="H34" s="28">
        <v>5912937.7699999996</v>
      </c>
      <c r="I34" s="28">
        <v>6137778.9400000004</v>
      </c>
      <c r="J34" s="28">
        <v>6331097.0499999998</v>
      </c>
      <c r="K34" s="28">
        <v>6322919.04</v>
      </c>
      <c r="L34" s="28">
        <v>6413022.8499999996</v>
      </c>
      <c r="M34" s="28">
        <v>16602967.720000001</v>
      </c>
      <c r="N34" s="28">
        <v>17789376.219999999</v>
      </c>
      <c r="O34" s="28">
        <v>18935451.510000002</v>
      </c>
      <c r="P34" s="21">
        <f t="shared" si="8"/>
        <v>8379711.7924999995</v>
      </c>
      <c r="Q34" s="21">
        <f t="shared" si="6"/>
        <v>8940479.8283333331</v>
      </c>
      <c r="R34" s="9">
        <f>+Q34/P34-1</f>
        <v>6.691972823399861E-2</v>
      </c>
      <c r="V34" s="21">
        <f t="shared" si="9"/>
        <v>8379711.7924999995</v>
      </c>
      <c r="X34" s="7"/>
      <c r="Y34" s="7"/>
      <c r="Z34" s="7">
        <f t="shared" si="10"/>
        <v>8379711.7924999995</v>
      </c>
      <c r="AA34" s="7">
        <f t="shared" si="7"/>
        <v>8379711.7924999995</v>
      </c>
      <c r="AB34" s="7"/>
    </row>
    <row r="35" spans="1:28" s="20" customFormat="1">
      <c r="A35" s="20">
        <f t="shared" si="0"/>
        <v>29</v>
      </c>
      <c r="B35" s="17" t="s">
        <v>137</v>
      </c>
      <c r="C35" s="28"/>
      <c r="D35" s="28"/>
      <c r="E35" s="28"/>
      <c r="F35" s="28"/>
      <c r="G35" s="28"/>
      <c r="H35" s="28"/>
      <c r="I35" s="28"/>
      <c r="J35" s="28"/>
      <c r="K35" s="28"/>
      <c r="L35" s="28"/>
      <c r="M35" s="28"/>
      <c r="N35" s="28"/>
      <c r="O35" s="28"/>
      <c r="P35" s="21">
        <f t="shared" si="8"/>
        <v>0</v>
      </c>
      <c r="Q35" s="21" t="e">
        <f t="shared" si="6"/>
        <v>#DIV/0!</v>
      </c>
      <c r="R35" s="9"/>
      <c r="V35" s="21">
        <f t="shared" si="9"/>
        <v>0</v>
      </c>
      <c r="X35" s="7"/>
      <c r="Y35" s="7"/>
      <c r="Z35" s="7">
        <f t="shared" si="10"/>
        <v>0</v>
      </c>
      <c r="AA35" s="7">
        <f t="shared" si="7"/>
        <v>0</v>
      </c>
      <c r="AB35" s="7"/>
    </row>
    <row r="36" spans="1:28" s="20" customFormat="1">
      <c r="A36" s="20">
        <f t="shared" si="0"/>
        <v>30</v>
      </c>
      <c r="B36" s="17" t="s">
        <v>136</v>
      </c>
      <c r="C36" s="28">
        <v>5904320.1699999999</v>
      </c>
      <c r="D36" s="28">
        <v>5347478.17</v>
      </c>
      <c r="E36" s="28">
        <v>5702291.1699999999</v>
      </c>
      <c r="F36" s="28">
        <v>6297562</v>
      </c>
      <c r="G36" s="28">
        <v>6123786</v>
      </c>
      <c r="H36" s="28">
        <v>5637366</v>
      </c>
      <c r="I36" s="28">
        <v>4472312</v>
      </c>
      <c r="J36" s="28">
        <v>3800307</v>
      </c>
      <c r="K36" s="28">
        <v>2747187.72</v>
      </c>
      <c r="L36" s="28">
        <v>1068525.1100000001</v>
      </c>
      <c r="M36" s="28">
        <v>1057610.7</v>
      </c>
      <c r="N36" s="28">
        <v>953643.83</v>
      </c>
      <c r="O36" s="28">
        <v>843218.75</v>
      </c>
      <c r="P36" s="21">
        <f t="shared" si="8"/>
        <v>3881819.93</v>
      </c>
      <c r="Q36" s="21">
        <f t="shared" si="6"/>
        <v>3670940.7041666671</v>
      </c>
      <c r="R36" s="9">
        <f>+Q36/P36-1</f>
        <v>-5.4324834648714182E-2</v>
      </c>
      <c r="T36" s="21"/>
      <c r="U36" s="21"/>
      <c r="V36" s="21">
        <f>P36</f>
        <v>3881819.93</v>
      </c>
      <c r="W36" s="21"/>
      <c r="X36" s="7"/>
      <c r="Y36" s="7"/>
      <c r="Z36" s="7">
        <f>+V36-X36</f>
        <v>3881819.93</v>
      </c>
      <c r="AA36" s="7">
        <f t="shared" si="7"/>
        <v>3881819.93</v>
      </c>
      <c r="AB36" s="7"/>
    </row>
    <row r="37" spans="1:28" s="20" customFormat="1">
      <c r="A37" s="20">
        <f t="shared" si="0"/>
        <v>31</v>
      </c>
      <c r="B37" s="17" t="s">
        <v>135</v>
      </c>
      <c r="C37" s="28"/>
      <c r="D37" s="28"/>
      <c r="E37" s="28"/>
      <c r="F37" s="28"/>
      <c r="G37" s="28"/>
      <c r="H37" s="28"/>
      <c r="I37" s="28"/>
      <c r="J37" s="28"/>
      <c r="K37" s="28"/>
      <c r="L37" s="28"/>
      <c r="M37" s="28"/>
      <c r="N37" s="28"/>
      <c r="O37" s="28"/>
      <c r="P37" s="21">
        <f t="shared" si="8"/>
        <v>0</v>
      </c>
      <c r="Q37" s="21" t="e">
        <f t="shared" si="6"/>
        <v>#DIV/0!</v>
      </c>
      <c r="R37" s="9"/>
      <c r="V37" s="21">
        <f>P37</f>
        <v>0</v>
      </c>
      <c r="X37" s="7"/>
      <c r="Y37" s="7"/>
      <c r="Z37" s="7">
        <f>+V37</f>
        <v>0</v>
      </c>
      <c r="AA37" s="7">
        <f t="shared" si="7"/>
        <v>0</v>
      </c>
      <c r="AB37" s="7"/>
    </row>
    <row r="38" spans="1:28" s="20" customFormat="1">
      <c r="A38" s="20">
        <f t="shared" si="0"/>
        <v>32</v>
      </c>
      <c r="B38" s="17" t="s">
        <v>134</v>
      </c>
      <c r="C38" s="28">
        <f t="shared" ref="C38:O38" si="11">SUM(C27:C37,C25)-C26</f>
        <v>315606759.23000002</v>
      </c>
      <c r="D38" s="28">
        <f t="shared" si="11"/>
        <v>337304277.32000005</v>
      </c>
      <c r="E38" s="28">
        <f t="shared" si="11"/>
        <v>339118615.32999998</v>
      </c>
      <c r="F38" s="28">
        <f t="shared" si="11"/>
        <v>339861994.25000006</v>
      </c>
      <c r="G38" s="28">
        <f t="shared" si="11"/>
        <v>344303564.60999995</v>
      </c>
      <c r="H38" s="28">
        <f t="shared" si="11"/>
        <v>349191204.81999993</v>
      </c>
      <c r="I38" s="28">
        <f t="shared" si="11"/>
        <v>349114313</v>
      </c>
      <c r="J38" s="28">
        <f t="shared" si="11"/>
        <v>354316656.08000004</v>
      </c>
      <c r="K38" s="28">
        <f t="shared" si="11"/>
        <v>357863354.94</v>
      </c>
      <c r="L38" s="28">
        <f t="shared" si="11"/>
        <v>357854252.15000004</v>
      </c>
      <c r="M38" s="28">
        <f t="shared" si="11"/>
        <v>367133791.56000006</v>
      </c>
      <c r="N38" s="28">
        <f t="shared" si="11"/>
        <v>366603435.96999997</v>
      </c>
      <c r="O38" s="28">
        <f t="shared" si="11"/>
        <v>367784599.27999997</v>
      </c>
      <c r="P38" s="41">
        <f>SUBTOTAL(9,P25:P37)</f>
        <v>350363428.27375001</v>
      </c>
      <c r="Q38" s="21">
        <f t="shared" si="6"/>
        <v>352537504.94249994</v>
      </c>
      <c r="R38" s="9">
        <f>+Q38/P38-1</f>
        <v>6.2052043487006436E-3</v>
      </c>
      <c r="T38" s="41">
        <f>SUBTOTAL(9,T25:T37)</f>
        <v>39282981.023055553</v>
      </c>
      <c r="V38" s="41">
        <f>SUBTOTAL(9,V25:V37)</f>
        <v>311080447.25069445</v>
      </c>
      <c r="W38" s="41">
        <f>SUBTOTAL(9,W25:W37)</f>
        <v>0</v>
      </c>
      <c r="X38" s="41">
        <f>SUBTOTAL(9,X25:X37)</f>
        <v>32424125.297717221</v>
      </c>
      <c r="Y38" s="41">
        <f>SUBTOTAL(9,Y25:Y37)</f>
        <v>111558007.02099431</v>
      </c>
      <c r="Z38" s="41">
        <f>SUBTOTAL(9,Z25:Z37)</f>
        <v>167098314.9319829</v>
      </c>
      <c r="AA38" s="7"/>
      <c r="AB38" s="7"/>
    </row>
    <row r="39" spans="1:28" s="20" customFormat="1">
      <c r="A39" s="20">
        <f t="shared" si="0"/>
        <v>33</v>
      </c>
      <c r="B39" s="17"/>
      <c r="C39" s="32"/>
      <c r="D39" s="32"/>
      <c r="E39" s="32"/>
      <c r="F39" s="32"/>
      <c r="G39" s="32"/>
      <c r="H39" s="32"/>
      <c r="I39" s="32"/>
      <c r="J39" s="32"/>
      <c r="K39" s="32"/>
      <c r="L39" s="32"/>
      <c r="M39" s="32"/>
      <c r="N39" s="32"/>
      <c r="O39" s="32"/>
      <c r="P39" s="40"/>
      <c r="Q39" s="21"/>
      <c r="R39" s="9"/>
      <c r="T39" s="40"/>
      <c r="V39" s="40"/>
      <c r="W39" s="40"/>
      <c r="X39" s="40"/>
      <c r="Y39" s="40"/>
      <c r="Z39" s="40"/>
      <c r="AA39" s="7"/>
      <c r="AB39" s="7"/>
    </row>
    <row r="40" spans="1:28" s="20" customFormat="1">
      <c r="A40" s="20">
        <f t="shared" si="0"/>
        <v>34</v>
      </c>
      <c r="B40" s="17" t="s">
        <v>133</v>
      </c>
      <c r="C40" s="47"/>
      <c r="D40" s="47"/>
      <c r="E40" s="47"/>
      <c r="F40" s="47"/>
      <c r="G40" s="47"/>
      <c r="H40" s="47"/>
      <c r="I40" s="47"/>
      <c r="J40" s="47"/>
      <c r="K40" s="47"/>
      <c r="L40" s="47"/>
      <c r="M40" s="47"/>
      <c r="N40" s="47"/>
      <c r="O40" s="47"/>
      <c r="P40" s="21"/>
      <c r="Q40" s="21"/>
      <c r="R40" s="9"/>
      <c r="X40" s="7"/>
      <c r="Y40" s="7"/>
      <c r="Z40" s="7"/>
      <c r="AA40" s="7"/>
      <c r="AB40" s="7"/>
    </row>
    <row r="41" spans="1:28" s="20" customFormat="1">
      <c r="A41" s="20">
        <f t="shared" si="0"/>
        <v>35</v>
      </c>
      <c r="B41" s="17" t="s">
        <v>132</v>
      </c>
      <c r="C41" s="28">
        <f>8428469.66-169218</f>
        <v>8259251.6600000001</v>
      </c>
      <c r="D41" s="28">
        <f>77850163.76-611915</f>
        <v>77238248.760000005</v>
      </c>
      <c r="E41" s="28">
        <f>6635991.64+205619</f>
        <v>6841610.6399999997</v>
      </c>
      <c r="F41" s="28">
        <f>8776698.29-285313</f>
        <v>8491385.2899999991</v>
      </c>
      <c r="G41" s="28">
        <f>15975075.42-297650</f>
        <v>15677425.42</v>
      </c>
      <c r="H41" s="28">
        <f>6409676.05-309245</f>
        <v>6100431.0499999998</v>
      </c>
      <c r="I41" s="28">
        <v>14846925.880000001</v>
      </c>
      <c r="J41" s="28">
        <v>7253456.7400000002</v>
      </c>
      <c r="K41" s="28">
        <v>8327523.6399999997</v>
      </c>
      <c r="L41" s="28">
        <v>12565601.609999999</v>
      </c>
      <c r="M41" s="28">
        <v>14880796.99</v>
      </c>
      <c r="N41" s="28">
        <v>6174358.4800000004</v>
      </c>
      <c r="O41" s="28">
        <v>13317074.93</v>
      </c>
      <c r="P41" s="21">
        <f t="shared" ref="P41:P47" si="12">(C41+2*SUM(D41:N41)+O41)/24</f>
        <v>15765493.982916666</v>
      </c>
      <c r="Q41" s="21">
        <f t="shared" ref="Q41:Q73" si="13">AVERAGE(D41:O41)</f>
        <v>15976236.619166665</v>
      </c>
      <c r="R41" s="9">
        <f t="shared" ref="R41:R51" si="14">+Q41/P41-1</f>
        <v>1.3367334793210839E-2</v>
      </c>
      <c r="T41" s="21">
        <f>+P41</f>
        <v>15765493.982916666</v>
      </c>
      <c r="X41" s="7"/>
      <c r="Y41" s="7"/>
      <c r="Z41" s="7"/>
      <c r="AA41" s="7"/>
      <c r="AB41" s="7"/>
    </row>
    <row r="42" spans="1:28" s="20" customFormat="1">
      <c r="A42" s="20">
        <f t="shared" si="0"/>
        <v>36</v>
      </c>
      <c r="B42" s="17" t="s">
        <v>131</v>
      </c>
      <c r="C42" s="28">
        <v>714145.89</v>
      </c>
      <c r="D42" s="28">
        <v>745745.89</v>
      </c>
      <c r="E42" s="28">
        <v>745745.89</v>
      </c>
      <c r="F42" s="28">
        <v>745745.89</v>
      </c>
      <c r="G42" s="28">
        <v>774145.89</v>
      </c>
      <c r="H42" s="28">
        <v>774145.89</v>
      </c>
      <c r="I42" s="28">
        <v>774145.89</v>
      </c>
      <c r="J42" s="28">
        <v>603873.55000000005</v>
      </c>
      <c r="K42" s="28">
        <v>713728.55</v>
      </c>
      <c r="L42" s="28">
        <v>713728.55</v>
      </c>
      <c r="M42" s="28">
        <v>713728.55</v>
      </c>
      <c r="N42" s="28">
        <v>713728.55</v>
      </c>
      <c r="O42" s="28">
        <v>713728.55</v>
      </c>
      <c r="P42" s="21">
        <f t="shared" si="12"/>
        <v>727700.02583333326</v>
      </c>
      <c r="Q42" s="21">
        <f t="shared" si="13"/>
        <v>727682.6366666666</v>
      </c>
      <c r="R42" s="9">
        <f t="shared" si="14"/>
        <v>-2.3896064380024562E-5</v>
      </c>
      <c r="T42" s="21"/>
      <c r="V42" s="21">
        <f>+P42</f>
        <v>727700.02583333326</v>
      </c>
      <c r="X42" s="7"/>
      <c r="Y42" s="7"/>
      <c r="Z42" s="7">
        <f>+V42</f>
        <v>727700.02583333326</v>
      </c>
      <c r="AA42" s="7">
        <f t="shared" ref="AA42:AA45" si="15">+Z42+X42+Y42</f>
        <v>727700.02583333326</v>
      </c>
      <c r="AB42" s="7"/>
    </row>
    <row r="43" spans="1:28" s="20" customFormat="1">
      <c r="A43" s="20">
        <f t="shared" si="0"/>
        <v>37</v>
      </c>
      <c r="B43" s="17" t="s">
        <v>130</v>
      </c>
      <c r="C43" s="28">
        <v>1720</v>
      </c>
      <c r="D43" s="28">
        <v>1720</v>
      </c>
      <c r="E43" s="28">
        <v>1720</v>
      </c>
      <c r="F43" s="28">
        <v>1720</v>
      </c>
      <c r="G43" s="28">
        <v>1720</v>
      </c>
      <c r="H43" s="28">
        <v>1720</v>
      </c>
      <c r="I43" s="28">
        <v>1520</v>
      </c>
      <c r="J43" s="28">
        <v>1520</v>
      </c>
      <c r="K43" s="28">
        <v>1520</v>
      </c>
      <c r="L43" s="28">
        <v>1520</v>
      </c>
      <c r="M43" s="28">
        <v>1520</v>
      </c>
      <c r="N43" s="28">
        <v>1520</v>
      </c>
      <c r="O43" s="28">
        <v>1520</v>
      </c>
      <c r="P43" s="21">
        <f t="shared" si="12"/>
        <v>1611.6666666666667</v>
      </c>
      <c r="Q43" s="21">
        <f t="shared" si="13"/>
        <v>1603.3333333333333</v>
      </c>
      <c r="R43" s="9">
        <f t="shared" si="14"/>
        <v>-5.170630816959787E-3</v>
      </c>
      <c r="T43" s="21">
        <f>+P43</f>
        <v>1611.6666666666667</v>
      </c>
      <c r="X43" s="7"/>
      <c r="Y43" s="7"/>
      <c r="Z43" s="7"/>
      <c r="AA43" s="7">
        <f t="shared" si="15"/>
        <v>0</v>
      </c>
      <c r="AB43" s="7"/>
    </row>
    <row r="44" spans="1:28" s="20" customFormat="1">
      <c r="A44" s="20">
        <f t="shared" si="0"/>
        <v>38</v>
      </c>
      <c r="B44" s="17" t="s">
        <v>129</v>
      </c>
      <c r="C44" s="28">
        <v>134856988.08000001</v>
      </c>
      <c r="D44" s="28">
        <v>46043</v>
      </c>
      <c r="E44" s="28">
        <v>63545752.82</v>
      </c>
      <c r="F44" s="28">
        <v>116946384.34999999</v>
      </c>
      <c r="G44" s="28">
        <v>110538746.97</v>
      </c>
      <c r="H44" s="28">
        <v>17539671.030000001</v>
      </c>
      <c r="I44" s="28">
        <v>7244794</v>
      </c>
      <c r="J44" s="28">
        <v>7946000.3300000001</v>
      </c>
      <c r="K44" s="28">
        <v>944058.16</v>
      </c>
      <c r="L44" s="28">
        <v>8443507.3699999992</v>
      </c>
      <c r="M44" s="28">
        <v>15143776.23</v>
      </c>
      <c r="N44" s="28">
        <v>11244035.25</v>
      </c>
      <c r="O44" s="28">
        <v>69144376.010000005</v>
      </c>
      <c r="P44" s="21">
        <f t="shared" si="12"/>
        <v>38465287.629583336</v>
      </c>
      <c r="Q44" s="21">
        <f t="shared" si="13"/>
        <v>35727262.126666665</v>
      </c>
      <c r="R44" s="9">
        <f t="shared" si="14"/>
        <v>-7.1181724397424762E-2</v>
      </c>
      <c r="S44" s="9"/>
      <c r="T44" s="21"/>
      <c r="V44" s="21">
        <f>+P44</f>
        <v>38465287.629583336</v>
      </c>
      <c r="X44" s="7"/>
      <c r="Y44" s="7"/>
      <c r="Z44" s="7">
        <f>+V44</f>
        <v>38465287.629583336</v>
      </c>
      <c r="AA44" s="7">
        <f t="shared" si="15"/>
        <v>38465287.629583336</v>
      </c>
      <c r="AB44" s="7"/>
    </row>
    <row r="45" spans="1:28" s="20" customFormat="1">
      <c r="A45" s="20">
        <f t="shared" si="0"/>
        <v>39</v>
      </c>
      <c r="B45" s="17" t="s">
        <v>128</v>
      </c>
      <c r="C45" s="28">
        <v>352481.28000000003</v>
      </c>
      <c r="D45" s="28">
        <v>237601.05</v>
      </c>
      <c r="E45" s="28">
        <v>237744.01</v>
      </c>
      <c r="F45" s="28">
        <v>237905.24</v>
      </c>
      <c r="G45" s="28">
        <v>238029.4</v>
      </c>
      <c r="H45" s="28">
        <v>238168.31</v>
      </c>
      <c r="I45" s="28">
        <v>238518.94</v>
      </c>
      <c r="J45" s="28">
        <v>238875.26</v>
      </c>
      <c r="K45" s="28">
        <v>239187.59</v>
      </c>
      <c r="L45" s="28">
        <v>329897.68</v>
      </c>
      <c r="M45" s="28">
        <v>330154.38</v>
      </c>
      <c r="N45" s="28">
        <v>330337.61</v>
      </c>
      <c r="O45" s="28">
        <v>330489.83</v>
      </c>
      <c r="P45" s="21">
        <f t="shared" si="12"/>
        <v>269825.41875000001</v>
      </c>
      <c r="Q45" s="21">
        <f t="shared" si="13"/>
        <v>268909.10833333334</v>
      </c>
      <c r="R45" s="9">
        <f t="shared" si="14"/>
        <v>-3.3959380880852486E-3</v>
      </c>
      <c r="T45" s="21"/>
      <c r="V45" s="21">
        <f>+P45</f>
        <v>269825.41875000001</v>
      </c>
      <c r="X45" s="7"/>
      <c r="Y45" s="7"/>
      <c r="Z45" s="7">
        <f>+V45</f>
        <v>269825.41875000001</v>
      </c>
      <c r="AA45" s="7">
        <f t="shared" si="15"/>
        <v>269825.41875000001</v>
      </c>
      <c r="AB45" s="7"/>
    </row>
    <row r="46" spans="1:28" s="20" customFormat="1">
      <c r="A46" s="20">
        <f t="shared" si="0"/>
        <v>40</v>
      </c>
      <c r="B46" s="17" t="s">
        <v>127</v>
      </c>
      <c r="C46" s="28">
        <v>289880719.57999998</v>
      </c>
      <c r="D46" s="28">
        <v>332037207.89999998</v>
      </c>
      <c r="E46" s="28">
        <v>334816117.38</v>
      </c>
      <c r="F46" s="28">
        <v>357355881.13</v>
      </c>
      <c r="G46" s="28">
        <v>311244954.76999998</v>
      </c>
      <c r="H46" s="28">
        <v>326425606.69</v>
      </c>
      <c r="I46" s="28">
        <v>373179153.54000002</v>
      </c>
      <c r="J46" s="28">
        <v>382965656.73000002</v>
      </c>
      <c r="K46" s="28">
        <v>366618555.08999997</v>
      </c>
      <c r="L46" s="28">
        <v>332197312.47000003</v>
      </c>
      <c r="M46" s="28">
        <v>300659351.04000002</v>
      </c>
      <c r="N46" s="28">
        <v>295302541.07999998</v>
      </c>
      <c r="O46" s="28">
        <v>324461106.97000003</v>
      </c>
      <c r="P46" s="21">
        <f t="shared" si="12"/>
        <v>334997770.92458332</v>
      </c>
      <c r="Q46" s="21">
        <f t="shared" si="13"/>
        <v>336438620.39916664</v>
      </c>
      <c r="R46" s="9">
        <f t="shared" si="14"/>
        <v>4.3010718268561288E-3</v>
      </c>
      <c r="T46" s="21">
        <f>+P46</f>
        <v>334997770.92458332</v>
      </c>
      <c r="X46" s="7"/>
      <c r="Y46" s="7"/>
      <c r="Z46" s="7"/>
      <c r="AA46" s="7"/>
      <c r="AB46" s="7"/>
    </row>
    <row r="47" spans="1:28" s="20" customFormat="1">
      <c r="A47" s="20">
        <f t="shared" si="0"/>
        <v>41</v>
      </c>
      <c r="B47" s="17" t="s">
        <v>126</v>
      </c>
      <c r="C47" s="28">
        <f>39483383.18-3483899</f>
        <v>35999484.18</v>
      </c>
      <c r="D47" s="28">
        <f>38678278.59-3351841</f>
        <v>35326437.590000004</v>
      </c>
      <c r="E47" s="28">
        <f>43533189.09-3193384</f>
        <v>40339805.090000004</v>
      </c>
      <c r="F47" s="28">
        <f>63115117.52-2556386</f>
        <v>60558731.520000003</v>
      </c>
      <c r="G47" s="28">
        <f>59834264.52-2423577</f>
        <v>57410687.520000003</v>
      </c>
      <c r="H47" s="28">
        <f>59510733.74-2286915</f>
        <v>57223818.740000002</v>
      </c>
      <c r="I47" s="28">
        <v>59610651.25</v>
      </c>
      <c r="J47" s="28">
        <v>57816712.829999998</v>
      </c>
      <c r="K47" s="28">
        <v>56960325.359999999</v>
      </c>
      <c r="L47" s="28">
        <v>55163959.200000003</v>
      </c>
      <c r="M47" s="28">
        <v>53547165.780000001</v>
      </c>
      <c r="N47" s="28">
        <v>52887909.799999997</v>
      </c>
      <c r="O47" s="28">
        <v>54757372.549999997</v>
      </c>
      <c r="P47" s="21">
        <f t="shared" si="12"/>
        <v>52685386.087083332</v>
      </c>
      <c r="Q47" s="21">
        <f t="shared" si="13"/>
        <v>53466964.769166656</v>
      </c>
      <c r="R47" s="9">
        <f t="shared" si="14"/>
        <v>1.4834828785186494E-2</v>
      </c>
      <c r="T47" s="21">
        <f>+P47</f>
        <v>52685386.087083332</v>
      </c>
      <c r="X47" s="7"/>
      <c r="Y47" s="7"/>
      <c r="Z47" s="7"/>
      <c r="AA47" s="7"/>
      <c r="AB47" s="7"/>
    </row>
    <row r="48" spans="1:28" s="20" customFormat="1">
      <c r="A48" s="20">
        <f t="shared" si="0"/>
        <v>42</v>
      </c>
      <c r="B48" s="17" t="s">
        <v>125</v>
      </c>
      <c r="C48" s="28">
        <v>9269355.3399999999</v>
      </c>
      <c r="D48" s="28">
        <v>9340212.6699999999</v>
      </c>
      <c r="E48" s="28">
        <v>9219447.1099999994</v>
      </c>
      <c r="F48" s="28">
        <v>8929812.8599999994</v>
      </c>
      <c r="G48" s="28">
        <v>8402801.7699999996</v>
      </c>
      <c r="H48" s="28">
        <v>8066505.6600000001</v>
      </c>
      <c r="I48" s="28">
        <v>8722761.8100000005</v>
      </c>
      <c r="J48" s="28">
        <v>9207854.2699999996</v>
      </c>
      <c r="K48" s="28">
        <v>9560464.5099999998</v>
      </c>
      <c r="L48" s="28">
        <v>9959862.7599999998</v>
      </c>
      <c r="M48" s="28">
        <v>10489957.59</v>
      </c>
      <c r="N48" s="28">
        <v>10584998.57</v>
      </c>
      <c r="O48" s="28">
        <v>10828868.67</v>
      </c>
      <c r="P48" s="21">
        <f>-(C48+2*SUM(D48:N48)+O48)/24</f>
        <v>-9377815.965416668</v>
      </c>
      <c r="Q48" s="21">
        <f t="shared" si="13"/>
        <v>9442795.6875000019</v>
      </c>
      <c r="R48" s="9">
        <f t="shared" si="14"/>
        <v>-2.006929089067536</v>
      </c>
      <c r="T48" s="21">
        <f>+P48</f>
        <v>-9377815.965416668</v>
      </c>
      <c r="X48" s="7"/>
      <c r="Y48" s="7"/>
      <c r="Z48" s="7"/>
      <c r="AA48" s="7"/>
      <c r="AB48" s="7"/>
    </row>
    <row r="49" spans="1:29" s="20" customFormat="1">
      <c r="A49" s="20">
        <f t="shared" si="0"/>
        <v>43</v>
      </c>
      <c r="B49" s="17" t="s">
        <v>124</v>
      </c>
      <c r="C49" s="28">
        <f>0+3269474</f>
        <v>3269474</v>
      </c>
      <c r="D49" s="28">
        <v>507</v>
      </c>
      <c r="E49" s="28">
        <v>2859805</v>
      </c>
      <c r="F49" s="28">
        <f>0+1559623</f>
        <v>1559623</v>
      </c>
      <c r="G49" s="28">
        <v>1304107</v>
      </c>
      <c r="H49" s="28">
        <v>11157918</v>
      </c>
      <c r="I49" s="28">
        <v>13897304.76</v>
      </c>
      <c r="J49" s="28">
        <v>8777683.6400000006</v>
      </c>
      <c r="K49" s="28">
        <v>3370651.61</v>
      </c>
      <c r="L49" s="28">
        <v>1410.04</v>
      </c>
      <c r="M49" s="28">
        <v>425.72</v>
      </c>
      <c r="N49" s="28">
        <v>5401546.8099999996</v>
      </c>
      <c r="O49" s="28">
        <v>7096790.3200000003</v>
      </c>
      <c r="P49" s="21">
        <f t="shared" ref="P49:P69" si="16">(C49+2*SUM(D49:N49)+O49)/24</f>
        <v>4459509.5616666665</v>
      </c>
      <c r="Q49" s="21">
        <f t="shared" si="13"/>
        <v>4618981.0750000002</v>
      </c>
      <c r="R49" s="9">
        <f t="shared" si="14"/>
        <v>3.5759876983812111E-2</v>
      </c>
      <c r="T49" s="21"/>
      <c r="V49" s="21">
        <f>+P49</f>
        <v>4459509.5616666665</v>
      </c>
      <c r="X49" s="7"/>
      <c r="Y49" s="7"/>
      <c r="Z49" s="7">
        <f>+V49</f>
        <v>4459509.5616666665</v>
      </c>
      <c r="AA49" s="7">
        <f t="shared" ref="AA49" si="17">+Z49+X49+Y49</f>
        <v>4459509.5616666665</v>
      </c>
      <c r="AB49" s="7"/>
    </row>
    <row r="50" spans="1:29" s="20" customFormat="1">
      <c r="A50" s="20">
        <f t="shared" si="0"/>
        <v>44</v>
      </c>
      <c r="B50" s="17" t="s">
        <v>123</v>
      </c>
      <c r="C50" s="28">
        <f>17448003.59-3832658</f>
        <v>13615345.59</v>
      </c>
      <c r="D50" s="28">
        <f>18200640.45-4177598</f>
        <v>14023042.449999999</v>
      </c>
      <c r="E50" s="28">
        <f>16869698.42-2981313</f>
        <v>13888385.420000002</v>
      </c>
      <c r="F50" s="28">
        <f>26028906.65-3769561</f>
        <v>22259345.649999999</v>
      </c>
      <c r="G50" s="28">
        <f>26182537.25-3985539</f>
        <v>22196998.25</v>
      </c>
      <c r="H50" s="28">
        <f>26142421.03-3911954</f>
        <v>22230467.030000001</v>
      </c>
      <c r="I50" s="28">
        <v>7455751.9299999997</v>
      </c>
      <c r="J50" s="28">
        <v>11377449.02</v>
      </c>
      <c r="K50" s="28">
        <v>7568543.0800000001</v>
      </c>
      <c r="L50" s="28">
        <v>8458155.25</v>
      </c>
      <c r="M50" s="28">
        <v>8513686.5600000005</v>
      </c>
      <c r="N50" s="28">
        <v>8864716.2400000002</v>
      </c>
      <c r="O50" s="28">
        <v>8963216.2400000002</v>
      </c>
      <c r="P50" s="21">
        <f t="shared" si="16"/>
        <v>13177151.816249998</v>
      </c>
      <c r="Q50" s="21">
        <f t="shared" si="13"/>
        <v>12983313.093333334</v>
      </c>
      <c r="R50" s="9">
        <f t="shared" si="14"/>
        <v>-1.4710213983997966E-2</v>
      </c>
      <c r="T50" s="21">
        <f t="shared" ref="T50:T72" si="18">+P50</f>
        <v>13177151.816249998</v>
      </c>
      <c r="X50" s="7"/>
      <c r="Y50" s="7"/>
      <c r="Z50" s="7"/>
      <c r="AA50" s="7"/>
      <c r="AB50" s="7"/>
    </row>
    <row r="51" spans="1:29" s="20" customFormat="1">
      <c r="A51" s="20">
        <f t="shared" si="0"/>
        <v>45</v>
      </c>
      <c r="B51" s="17" t="s">
        <v>121</v>
      </c>
      <c r="C51" s="28">
        <v>223055023.03</v>
      </c>
      <c r="D51" s="28">
        <v>219515039.46000001</v>
      </c>
      <c r="E51" s="28">
        <v>221001653.46000001</v>
      </c>
      <c r="F51" s="28">
        <v>215461362.71000001</v>
      </c>
      <c r="G51" s="28">
        <v>217573738.69</v>
      </c>
      <c r="H51" s="28">
        <v>223404802.63</v>
      </c>
      <c r="I51" s="28">
        <v>236891213.87</v>
      </c>
      <c r="J51" s="28">
        <v>237788285.52000001</v>
      </c>
      <c r="K51" s="28">
        <v>248769937.15000001</v>
      </c>
      <c r="L51" s="28">
        <v>256520580.78</v>
      </c>
      <c r="M51" s="28">
        <v>262822496.34</v>
      </c>
      <c r="N51" s="28">
        <v>268040220.93000001</v>
      </c>
      <c r="O51" s="28">
        <v>269876271.56</v>
      </c>
      <c r="P51" s="21">
        <f t="shared" si="16"/>
        <v>237854581.5695833</v>
      </c>
      <c r="Q51" s="21">
        <f t="shared" si="13"/>
        <v>239805466.92499995</v>
      </c>
      <c r="R51" s="9">
        <f t="shared" si="14"/>
        <v>8.2020087338361414E-3</v>
      </c>
      <c r="T51" s="21">
        <f t="shared" si="18"/>
        <v>237854581.5695833</v>
      </c>
      <c r="V51" s="21"/>
      <c r="X51" s="7"/>
      <c r="Y51" s="7"/>
      <c r="Z51" s="7"/>
      <c r="AA51" s="7"/>
      <c r="AB51" s="7"/>
      <c r="AC51" s="7"/>
    </row>
    <row r="52" spans="1:29" s="20" customFormat="1">
      <c r="A52" s="20">
        <f t="shared" si="0"/>
        <v>46</v>
      </c>
      <c r="B52" s="17" t="s">
        <v>120</v>
      </c>
      <c r="C52" s="28"/>
      <c r="D52" s="28"/>
      <c r="E52" s="28"/>
      <c r="F52" s="28"/>
      <c r="G52" s="28"/>
      <c r="H52" s="28"/>
      <c r="I52" s="28"/>
      <c r="J52" s="28"/>
      <c r="K52" s="28"/>
      <c r="L52" s="28"/>
      <c r="M52" s="28"/>
      <c r="N52" s="28"/>
      <c r="O52" s="28"/>
      <c r="P52" s="21">
        <f t="shared" si="16"/>
        <v>0</v>
      </c>
      <c r="Q52" s="21" t="e">
        <f t="shared" si="13"/>
        <v>#DIV/0!</v>
      </c>
      <c r="R52" s="9"/>
      <c r="T52" s="21">
        <f t="shared" si="18"/>
        <v>0</v>
      </c>
      <c r="X52" s="7"/>
      <c r="Y52" s="7"/>
      <c r="Z52" s="7"/>
      <c r="AA52" s="7"/>
      <c r="AB52" s="7"/>
      <c r="AC52" s="7"/>
    </row>
    <row r="53" spans="1:29" s="20" customFormat="1">
      <c r="A53" s="20">
        <f t="shared" si="0"/>
        <v>47</v>
      </c>
      <c r="B53" s="17" t="s">
        <v>119</v>
      </c>
      <c r="C53" s="28"/>
      <c r="D53" s="28"/>
      <c r="E53" s="28"/>
      <c r="F53" s="28"/>
      <c r="G53" s="28"/>
      <c r="H53" s="28"/>
      <c r="I53" s="28"/>
      <c r="J53" s="28"/>
      <c r="K53" s="28"/>
      <c r="L53" s="28"/>
      <c r="M53" s="28"/>
      <c r="N53" s="28"/>
      <c r="O53" s="28"/>
      <c r="P53" s="21">
        <f t="shared" si="16"/>
        <v>0</v>
      </c>
      <c r="Q53" s="21" t="e">
        <f t="shared" si="13"/>
        <v>#DIV/0!</v>
      </c>
      <c r="R53" s="9"/>
      <c r="T53" s="21">
        <f t="shared" si="18"/>
        <v>0</v>
      </c>
      <c r="X53" s="7"/>
      <c r="Y53" s="7"/>
      <c r="Z53" s="7"/>
      <c r="AA53" s="7"/>
      <c r="AB53" s="7"/>
      <c r="AC53" s="7"/>
    </row>
    <row r="54" spans="1:29" s="20" customFormat="1">
      <c r="A54" s="20">
        <f t="shared" si="0"/>
        <v>48</v>
      </c>
      <c r="B54" s="17" t="s">
        <v>118</v>
      </c>
      <c r="C54" s="28">
        <v>191270513.40000001</v>
      </c>
      <c r="D54" s="28">
        <v>192533609.30000001</v>
      </c>
      <c r="E54" s="28">
        <v>193256203.62</v>
      </c>
      <c r="F54" s="28">
        <v>193195039.69</v>
      </c>
      <c r="G54" s="28">
        <v>193160297.68000001</v>
      </c>
      <c r="H54" s="28">
        <v>195887109.08000001</v>
      </c>
      <c r="I54" s="28">
        <v>196564767.27000001</v>
      </c>
      <c r="J54" s="28">
        <v>198165374.91999999</v>
      </c>
      <c r="K54" s="28">
        <v>198786081.30000001</v>
      </c>
      <c r="L54" s="28">
        <v>199643776.99000001</v>
      </c>
      <c r="M54" s="28">
        <v>198950803.88999999</v>
      </c>
      <c r="N54" s="28">
        <v>200138191.53</v>
      </c>
      <c r="O54" s="28">
        <v>200645004.03</v>
      </c>
      <c r="P54" s="21">
        <f t="shared" si="16"/>
        <v>196353251.16541669</v>
      </c>
      <c r="Q54" s="21">
        <f t="shared" si="13"/>
        <v>196743854.94166672</v>
      </c>
      <c r="R54" s="9">
        <f>+Q54/P54-1</f>
        <v>1.9892911063692509E-3</v>
      </c>
      <c r="T54" s="21">
        <f t="shared" si="18"/>
        <v>196353251.16541669</v>
      </c>
      <c r="V54" s="21"/>
      <c r="X54" s="7"/>
      <c r="Y54" s="7"/>
      <c r="Z54" s="7"/>
      <c r="AA54" s="7"/>
      <c r="AB54" s="7"/>
      <c r="AC54" s="7"/>
    </row>
    <row r="55" spans="1:29" s="20" customFormat="1">
      <c r="A55" s="20">
        <f t="shared" si="0"/>
        <v>49</v>
      </c>
      <c r="B55" s="17" t="s">
        <v>117</v>
      </c>
      <c r="C55" s="28"/>
      <c r="D55" s="28"/>
      <c r="E55" s="28"/>
      <c r="F55" s="28"/>
      <c r="G55" s="28"/>
      <c r="H55" s="28"/>
      <c r="I55" s="28"/>
      <c r="J55" s="28"/>
      <c r="K55" s="28"/>
      <c r="L55" s="28"/>
      <c r="M55" s="28"/>
      <c r="N55" s="28"/>
      <c r="O55" s="28"/>
      <c r="P55" s="21">
        <f t="shared" si="16"/>
        <v>0</v>
      </c>
      <c r="Q55" s="21" t="e">
        <f t="shared" si="13"/>
        <v>#DIV/0!</v>
      </c>
      <c r="R55" s="9"/>
      <c r="T55" s="21">
        <f t="shared" si="18"/>
        <v>0</v>
      </c>
      <c r="X55" s="7"/>
      <c r="Y55" s="7"/>
      <c r="Z55" s="7"/>
      <c r="AA55" s="7"/>
      <c r="AB55" s="7"/>
    </row>
    <row r="56" spans="1:29" s="20" customFormat="1">
      <c r="A56" s="20">
        <f t="shared" si="0"/>
        <v>50</v>
      </c>
      <c r="B56" s="17" t="s">
        <v>116</v>
      </c>
      <c r="C56" s="28"/>
      <c r="D56" s="28"/>
      <c r="E56" s="28"/>
      <c r="F56" s="28"/>
      <c r="G56" s="28"/>
      <c r="H56" s="28"/>
      <c r="I56" s="28"/>
      <c r="J56" s="28"/>
      <c r="K56" s="28"/>
      <c r="L56" s="28"/>
      <c r="M56" s="28"/>
      <c r="N56" s="28"/>
      <c r="O56" s="28"/>
      <c r="P56" s="21">
        <f t="shared" si="16"/>
        <v>0</v>
      </c>
      <c r="Q56" s="21" t="e">
        <f t="shared" si="13"/>
        <v>#DIV/0!</v>
      </c>
      <c r="R56" s="9"/>
      <c r="T56" s="21">
        <f t="shared" si="18"/>
        <v>0</v>
      </c>
      <c r="X56" s="7"/>
      <c r="Y56" s="7"/>
      <c r="Z56" s="7"/>
      <c r="AA56" s="7"/>
      <c r="AB56" s="7"/>
    </row>
    <row r="57" spans="1:29" s="20" customFormat="1">
      <c r="A57" s="20">
        <f t="shared" si="0"/>
        <v>51</v>
      </c>
      <c r="B57" s="17" t="s">
        <v>115</v>
      </c>
      <c r="C57" s="28"/>
      <c r="D57" s="28"/>
      <c r="E57" s="28"/>
      <c r="F57" s="28"/>
      <c r="G57" s="28"/>
      <c r="H57" s="28"/>
      <c r="I57" s="28"/>
      <c r="J57" s="28"/>
      <c r="K57" s="28"/>
      <c r="L57" s="28"/>
      <c r="M57" s="28"/>
      <c r="N57" s="28"/>
      <c r="O57" s="28"/>
      <c r="P57" s="21">
        <f t="shared" si="16"/>
        <v>0</v>
      </c>
      <c r="Q57" s="21" t="e">
        <f t="shared" si="13"/>
        <v>#DIV/0!</v>
      </c>
      <c r="R57" s="9"/>
      <c r="T57" s="21">
        <f t="shared" si="18"/>
        <v>0</v>
      </c>
      <c r="X57" s="7"/>
      <c r="Y57" s="7"/>
      <c r="Z57" s="7"/>
      <c r="AA57" s="7"/>
      <c r="AB57" s="7"/>
    </row>
    <row r="58" spans="1:29" s="20" customFormat="1">
      <c r="A58" s="20">
        <f t="shared" si="0"/>
        <v>52</v>
      </c>
      <c r="B58" s="17" t="s">
        <v>114</v>
      </c>
      <c r="C58" s="28"/>
      <c r="D58" s="28"/>
      <c r="E58" s="28"/>
      <c r="F58" s="28"/>
      <c r="G58" s="28"/>
      <c r="H58" s="28"/>
      <c r="I58" s="28"/>
      <c r="J58" s="28"/>
      <c r="K58" s="28"/>
      <c r="L58" s="28"/>
      <c r="M58" s="28"/>
      <c r="N58" s="28"/>
      <c r="O58" s="28"/>
      <c r="P58" s="21">
        <f t="shared" si="16"/>
        <v>0</v>
      </c>
      <c r="Q58" s="21" t="e">
        <f t="shared" si="13"/>
        <v>#DIV/0!</v>
      </c>
      <c r="R58" s="9"/>
      <c r="T58" s="21">
        <f t="shared" si="18"/>
        <v>0</v>
      </c>
      <c r="X58" s="7"/>
      <c r="Y58" s="7"/>
      <c r="Z58" s="7"/>
      <c r="AA58" s="7"/>
      <c r="AB58" s="7"/>
    </row>
    <row r="59" spans="1:29" s="20" customFormat="1">
      <c r="A59" s="20">
        <f t="shared" si="0"/>
        <v>53</v>
      </c>
      <c r="B59" s="17" t="s">
        <v>113</v>
      </c>
      <c r="C59" s="28"/>
      <c r="D59" s="28"/>
      <c r="E59" s="28"/>
      <c r="F59" s="28"/>
      <c r="G59" s="28"/>
      <c r="H59" s="28"/>
      <c r="I59" s="28"/>
      <c r="J59" s="28"/>
      <c r="K59" s="28"/>
      <c r="L59" s="28"/>
      <c r="M59" s="28"/>
      <c r="N59" s="28"/>
      <c r="O59" s="28"/>
      <c r="P59" s="21">
        <f t="shared" si="16"/>
        <v>0</v>
      </c>
      <c r="Q59" s="21" t="e">
        <f t="shared" si="13"/>
        <v>#DIV/0!</v>
      </c>
      <c r="R59" s="9"/>
      <c r="T59" s="21">
        <f t="shared" si="18"/>
        <v>0</v>
      </c>
      <c r="X59" s="7"/>
      <c r="Y59" s="7"/>
      <c r="Z59" s="7"/>
      <c r="AA59" s="7"/>
      <c r="AB59" s="7"/>
    </row>
    <row r="60" spans="1:29" s="20" customFormat="1">
      <c r="A60" s="20">
        <f t="shared" si="0"/>
        <v>54</v>
      </c>
      <c r="B60" s="17" t="s">
        <v>112</v>
      </c>
      <c r="C60" s="28"/>
      <c r="D60" s="28"/>
      <c r="E60" s="28"/>
      <c r="F60" s="28"/>
      <c r="G60" s="28"/>
      <c r="H60" s="28"/>
      <c r="I60" s="28"/>
      <c r="J60" s="28"/>
      <c r="K60" s="28"/>
      <c r="L60" s="28"/>
      <c r="M60" s="28"/>
      <c r="N60" s="28"/>
      <c r="O60" s="28"/>
      <c r="P60" s="21">
        <f t="shared" si="16"/>
        <v>0</v>
      </c>
      <c r="Q60" s="21" t="e">
        <f t="shared" si="13"/>
        <v>#DIV/0!</v>
      </c>
      <c r="R60" s="9"/>
      <c r="T60" s="21">
        <f t="shared" si="18"/>
        <v>0</v>
      </c>
      <c r="X60" s="7"/>
      <c r="Y60" s="7"/>
      <c r="Z60" s="7"/>
      <c r="AA60" s="7"/>
      <c r="AB60" s="7"/>
    </row>
    <row r="61" spans="1:29" s="20" customFormat="1">
      <c r="A61" s="20">
        <f t="shared" si="0"/>
        <v>55</v>
      </c>
      <c r="B61" s="17" t="s">
        <v>111</v>
      </c>
      <c r="C61" s="28"/>
      <c r="D61" s="28"/>
      <c r="E61" s="28"/>
      <c r="F61" s="28"/>
      <c r="G61" s="28"/>
      <c r="H61" s="28"/>
      <c r="I61" s="28"/>
      <c r="J61" s="28"/>
      <c r="K61" s="28"/>
      <c r="L61" s="28"/>
      <c r="M61" s="28"/>
      <c r="N61" s="28"/>
      <c r="O61" s="28"/>
      <c r="P61" s="21">
        <f t="shared" si="16"/>
        <v>0</v>
      </c>
      <c r="Q61" s="21" t="e">
        <f t="shared" si="13"/>
        <v>#DIV/0!</v>
      </c>
      <c r="R61" s="9"/>
      <c r="T61" s="21">
        <f t="shared" si="18"/>
        <v>0</v>
      </c>
      <c r="X61" s="7"/>
      <c r="Y61" s="7"/>
      <c r="Z61" s="7"/>
      <c r="AA61" s="7"/>
      <c r="AB61" s="7"/>
    </row>
    <row r="62" spans="1:29" s="20" customFormat="1">
      <c r="A62" s="20">
        <f t="shared" si="0"/>
        <v>56</v>
      </c>
      <c r="B62" s="17" t="s">
        <v>110</v>
      </c>
      <c r="C62" s="28"/>
      <c r="D62" s="28"/>
      <c r="E62" s="28"/>
      <c r="F62" s="28"/>
      <c r="G62" s="28"/>
      <c r="H62" s="28"/>
      <c r="I62" s="28"/>
      <c r="J62" s="28"/>
      <c r="K62" s="28"/>
      <c r="L62" s="28"/>
      <c r="M62" s="28"/>
      <c r="N62" s="28"/>
      <c r="O62" s="28"/>
      <c r="P62" s="21">
        <f t="shared" si="16"/>
        <v>0</v>
      </c>
      <c r="Q62" s="21" t="e">
        <f t="shared" si="13"/>
        <v>#DIV/0!</v>
      </c>
      <c r="R62" s="9"/>
      <c r="T62" s="21">
        <f t="shared" si="18"/>
        <v>0</v>
      </c>
      <c r="X62" s="7"/>
      <c r="Y62" s="7"/>
      <c r="Z62" s="7"/>
      <c r="AA62" s="7"/>
      <c r="AB62" s="7"/>
    </row>
    <row r="63" spans="1:29" s="20" customFormat="1">
      <c r="A63" s="20">
        <f t="shared" si="0"/>
        <v>57</v>
      </c>
      <c r="B63" s="17" t="s">
        <v>109</v>
      </c>
      <c r="C63" s="28">
        <f>87921903.63-249129</f>
        <v>87672774.629999995</v>
      </c>
      <c r="D63" s="28">
        <f>59298455.16-220048</f>
        <v>59078407.159999996</v>
      </c>
      <c r="E63" s="28">
        <f>34609797.12-189047</f>
        <v>34420750.119999997</v>
      </c>
      <c r="F63" s="28">
        <f>39397352.91-162805</f>
        <v>39234547.909999996</v>
      </c>
      <c r="G63" s="28">
        <f>30305514.98-133766</f>
        <v>30171748.98</v>
      </c>
      <c r="H63" s="28">
        <f>42623205.56-101519</f>
        <v>42521686.560000002</v>
      </c>
      <c r="I63" s="28">
        <v>113503387.98999999</v>
      </c>
      <c r="J63" s="28">
        <v>84230593.150000006</v>
      </c>
      <c r="K63" s="28">
        <v>63891087.710000001</v>
      </c>
      <c r="L63" s="28">
        <v>125176629.81</v>
      </c>
      <c r="M63" s="28">
        <v>33824015.210000001</v>
      </c>
      <c r="N63" s="28">
        <v>28959637.969999999</v>
      </c>
      <c r="O63" s="28">
        <v>27465999.329999998</v>
      </c>
      <c r="P63" s="21">
        <f t="shared" si="16"/>
        <v>59381823.295833327</v>
      </c>
      <c r="Q63" s="21">
        <f t="shared" si="13"/>
        <v>56873207.658333339</v>
      </c>
      <c r="R63" s="9">
        <f>+Q63/P63-1</f>
        <v>-4.2245513833456316E-2</v>
      </c>
      <c r="T63" s="21">
        <f t="shared" si="18"/>
        <v>59381823.295833327</v>
      </c>
      <c r="X63" s="7"/>
      <c r="Y63" s="7"/>
      <c r="Z63" s="7"/>
      <c r="AA63" s="7"/>
      <c r="AB63" s="7"/>
    </row>
    <row r="64" spans="1:29" s="20" customFormat="1">
      <c r="A64" s="20">
        <f t="shared" si="0"/>
        <v>58</v>
      </c>
      <c r="B64" s="17" t="s">
        <v>108</v>
      </c>
      <c r="C64" s="28"/>
      <c r="D64" s="28"/>
      <c r="E64" s="28"/>
      <c r="F64" s="28"/>
      <c r="G64" s="28"/>
      <c r="H64" s="28"/>
      <c r="I64" s="28"/>
      <c r="J64" s="28"/>
      <c r="K64" s="28"/>
      <c r="L64" s="28"/>
      <c r="M64" s="28"/>
      <c r="N64" s="28"/>
      <c r="O64" s="28"/>
      <c r="P64" s="21">
        <f t="shared" si="16"/>
        <v>0</v>
      </c>
      <c r="Q64" s="21" t="e">
        <f t="shared" si="13"/>
        <v>#DIV/0!</v>
      </c>
      <c r="R64" s="9"/>
      <c r="T64" s="21">
        <f t="shared" si="18"/>
        <v>0</v>
      </c>
      <c r="X64" s="7"/>
      <c r="Y64" s="7"/>
      <c r="Z64" s="7"/>
      <c r="AA64" s="7"/>
      <c r="AB64" s="7"/>
    </row>
    <row r="65" spans="1:28" s="20" customFormat="1">
      <c r="A65" s="20">
        <f t="shared" si="0"/>
        <v>59</v>
      </c>
      <c r="B65" s="17" t="s">
        <v>107</v>
      </c>
      <c r="C65" s="28">
        <v>12559.41</v>
      </c>
      <c r="D65" s="28">
        <v>14321.84</v>
      </c>
      <c r="E65" s="28">
        <v>24953.23</v>
      </c>
      <c r="F65" s="28">
        <v>24421.53</v>
      </c>
      <c r="G65" s="28">
        <v>26169.599999999999</v>
      </c>
      <c r="H65" s="28">
        <v>27787.09</v>
      </c>
      <c r="I65" s="28">
        <v>26886.799999999999</v>
      </c>
      <c r="J65" s="28">
        <v>16660.55</v>
      </c>
      <c r="K65" s="28">
        <v>18496</v>
      </c>
      <c r="L65" s="28">
        <v>19132.57</v>
      </c>
      <c r="M65" s="28">
        <v>-173483.88</v>
      </c>
      <c r="N65" s="28">
        <v>-164301.82999999999</v>
      </c>
      <c r="O65" s="28">
        <v>12909.74</v>
      </c>
      <c r="P65" s="21">
        <f t="shared" si="16"/>
        <v>-10518.493750000001</v>
      </c>
      <c r="Q65" s="21">
        <f t="shared" si="13"/>
        <v>-10503.896666666666</v>
      </c>
      <c r="R65" s="9">
        <f t="shared" ref="R65:R71" si="19">+Q65/P65-1</f>
        <v>-1.3877541481008837E-3</v>
      </c>
      <c r="T65" s="21">
        <f t="shared" si="18"/>
        <v>-10518.493750000001</v>
      </c>
      <c r="X65" s="7"/>
      <c r="Y65" s="7"/>
      <c r="Z65" s="7"/>
      <c r="AA65" s="7"/>
      <c r="AB65" s="7"/>
    </row>
    <row r="66" spans="1:28" s="20" customFormat="1">
      <c r="A66" s="20">
        <f t="shared" si="0"/>
        <v>60</v>
      </c>
      <c r="B66" s="17" t="s">
        <v>106</v>
      </c>
      <c r="C66" s="28">
        <v>1722621.89</v>
      </c>
      <c r="D66" s="28">
        <v>6060244.2599999998</v>
      </c>
      <c r="E66" s="28">
        <v>5235372.54</v>
      </c>
      <c r="F66" s="28">
        <v>1937962.18</v>
      </c>
      <c r="G66" s="28">
        <v>4163049.42</v>
      </c>
      <c r="H66" s="28">
        <v>2526726.4500000002</v>
      </c>
      <c r="I66" s="28">
        <v>2237540.79</v>
      </c>
      <c r="J66" s="28">
        <v>2428841</v>
      </c>
      <c r="K66" s="28">
        <v>2273451.9</v>
      </c>
      <c r="L66" s="28">
        <v>1981371.63</v>
      </c>
      <c r="M66" s="28">
        <v>2574624.5</v>
      </c>
      <c r="N66" s="28">
        <v>2487207.39</v>
      </c>
      <c r="O66" s="28">
        <v>1794821.98</v>
      </c>
      <c r="P66" s="21">
        <f t="shared" si="16"/>
        <v>2972092.8329166663</v>
      </c>
      <c r="Q66" s="21">
        <f t="shared" si="13"/>
        <v>2975101.1699999995</v>
      </c>
      <c r="R66" s="9">
        <f t="shared" si="19"/>
        <v>1.0121948581198748E-3</v>
      </c>
      <c r="T66" s="21">
        <f t="shared" si="18"/>
        <v>2972092.8329166663</v>
      </c>
      <c r="X66" s="7"/>
      <c r="Y66" s="7"/>
      <c r="Z66" s="7"/>
      <c r="AA66" s="7"/>
      <c r="AB66" s="7"/>
    </row>
    <row r="67" spans="1:28" s="20" customFormat="1">
      <c r="A67" s="20">
        <f t="shared" si="0"/>
        <v>61</v>
      </c>
      <c r="B67" s="17" t="s">
        <v>105</v>
      </c>
      <c r="C67" s="28">
        <v>214855971.06</v>
      </c>
      <c r="D67" s="28">
        <v>244604417.74000001</v>
      </c>
      <c r="E67" s="28">
        <v>251369995.72999999</v>
      </c>
      <c r="F67" s="28">
        <v>223160800</v>
      </c>
      <c r="G67" s="28">
        <v>233798100</v>
      </c>
      <c r="H67" s="28">
        <v>235272000</v>
      </c>
      <c r="I67" s="28">
        <v>236917500</v>
      </c>
      <c r="J67" s="28">
        <v>220973400</v>
      </c>
      <c r="K67" s="28">
        <v>211113100</v>
      </c>
      <c r="L67" s="28">
        <v>209913700</v>
      </c>
      <c r="M67" s="28">
        <v>202715100</v>
      </c>
      <c r="N67" s="28">
        <v>230254600</v>
      </c>
      <c r="O67" s="28">
        <v>258866700</v>
      </c>
      <c r="P67" s="21">
        <f t="shared" si="16"/>
        <v>228079504.08333337</v>
      </c>
      <c r="Q67" s="21">
        <f t="shared" si="13"/>
        <v>229913284.45583335</v>
      </c>
      <c r="R67" s="9">
        <f t="shared" si="19"/>
        <v>8.0400927732198202E-3</v>
      </c>
      <c r="T67" s="21">
        <f t="shared" si="18"/>
        <v>228079504.08333337</v>
      </c>
      <c r="X67" s="7"/>
      <c r="Y67" s="7"/>
      <c r="Z67" s="7"/>
      <c r="AA67" s="7"/>
      <c r="AB67" s="7"/>
    </row>
    <row r="68" spans="1:28" s="20" customFormat="1">
      <c r="A68" s="20">
        <f t="shared" si="0"/>
        <v>62</v>
      </c>
      <c r="B68" s="17" t="s">
        <v>104</v>
      </c>
      <c r="C68" s="28"/>
      <c r="D68" s="28"/>
      <c r="E68" s="28"/>
      <c r="F68" s="28"/>
      <c r="G68" s="28"/>
      <c r="H68" s="28"/>
      <c r="I68" s="28">
        <v>2574464</v>
      </c>
      <c r="J68" s="28">
        <v>2757414</v>
      </c>
      <c r="K68" s="28">
        <v>2558291</v>
      </c>
      <c r="L68" s="28">
        <v>2334726</v>
      </c>
      <c r="M68" s="28">
        <v>1977025</v>
      </c>
      <c r="N68" s="28">
        <v>1935890</v>
      </c>
      <c r="O68" s="28">
        <v>1743859</v>
      </c>
      <c r="P68" s="21">
        <f t="shared" si="16"/>
        <v>1250811.625</v>
      </c>
      <c r="Q68" s="21">
        <f t="shared" si="13"/>
        <v>2268809.8571428573</v>
      </c>
      <c r="R68" s="9">
        <f t="shared" si="19"/>
        <v>0.81387013983249257</v>
      </c>
      <c r="T68" s="21"/>
      <c r="V68" s="21">
        <f>P68</f>
        <v>1250811.625</v>
      </c>
      <c r="X68" s="7"/>
      <c r="Y68" s="7"/>
      <c r="Z68" s="279">
        <f>V68-X68-Y68</f>
        <v>1250811.625</v>
      </c>
      <c r="AA68" s="7">
        <f>+Z68+X68+Y68</f>
        <v>1250811.625</v>
      </c>
      <c r="AB68" s="7"/>
    </row>
    <row r="69" spans="1:28" s="20" customFormat="1">
      <c r="A69" s="20">
        <f t="shared" si="0"/>
        <v>63</v>
      </c>
      <c r="B69" s="17" t="s">
        <v>103</v>
      </c>
      <c r="C69" s="28">
        <v>52111171.880000003</v>
      </c>
      <c r="D69" s="28">
        <v>45411149.880000003</v>
      </c>
      <c r="E69" s="28">
        <v>37750575.880000003</v>
      </c>
      <c r="F69" s="28">
        <v>38177416</v>
      </c>
      <c r="G69" s="28">
        <v>35737478</v>
      </c>
      <c r="H69" s="28">
        <v>27422573</v>
      </c>
      <c r="I69" s="28">
        <v>15812193</v>
      </c>
      <c r="J69" s="28">
        <v>18436824</v>
      </c>
      <c r="K69" s="28">
        <v>21259908.309999999</v>
      </c>
      <c r="L69" s="28">
        <v>19653080.600000001</v>
      </c>
      <c r="M69" s="28">
        <v>18819517.260000002</v>
      </c>
      <c r="N69" s="28">
        <v>13113864.380000001</v>
      </c>
      <c r="O69" s="28">
        <v>12486971.060000001</v>
      </c>
      <c r="P69" s="21">
        <f t="shared" si="16"/>
        <v>26991137.64833333</v>
      </c>
      <c r="Q69" s="21">
        <f t="shared" si="13"/>
        <v>25340129.280833334</v>
      </c>
      <c r="R69" s="9">
        <f t="shared" si="19"/>
        <v>-6.1168535724982487E-2</v>
      </c>
      <c r="T69" s="21"/>
      <c r="U69" s="280"/>
      <c r="V69" s="143">
        <f>P69</f>
        <v>26991137.64833333</v>
      </c>
      <c r="W69" s="21"/>
      <c r="X69" s="7"/>
      <c r="Y69" s="7"/>
      <c r="Z69" s="279">
        <f>V69-X69-Y69</f>
        <v>26991137.64833333</v>
      </c>
      <c r="AA69" s="7">
        <f>+Z69+X69+Y69</f>
        <v>26991137.64833333</v>
      </c>
      <c r="AB69" s="7"/>
    </row>
    <row r="70" spans="1:28" s="20" customFormat="1">
      <c r="A70" s="20">
        <f t="shared" si="0"/>
        <v>64</v>
      </c>
      <c r="B70" s="17" t="s">
        <v>102</v>
      </c>
      <c r="C70" s="28">
        <v>5904320.1699999999</v>
      </c>
      <c r="D70" s="28">
        <v>5347478.17</v>
      </c>
      <c r="E70" s="28">
        <v>5702291.1699999999</v>
      </c>
      <c r="F70" s="28">
        <v>6297562</v>
      </c>
      <c r="G70" s="28">
        <v>6123786</v>
      </c>
      <c r="H70" s="28">
        <v>5637366</v>
      </c>
      <c r="I70" s="28">
        <v>4472312</v>
      </c>
      <c r="J70" s="28">
        <v>3800307</v>
      </c>
      <c r="K70" s="28">
        <v>2747187.72</v>
      </c>
      <c r="L70" s="28">
        <v>1068525.1100000001</v>
      </c>
      <c r="M70" s="28">
        <v>1057610.7</v>
      </c>
      <c r="N70" s="28">
        <v>953643.83</v>
      </c>
      <c r="O70" s="28">
        <v>843218.75</v>
      </c>
      <c r="P70" s="21">
        <f>-(C70+2*SUM(D70:N70)+O70)/24</f>
        <v>-3881819.93</v>
      </c>
      <c r="Q70" s="21">
        <f t="shared" si="13"/>
        <v>3670940.7041666671</v>
      </c>
      <c r="R70" s="9">
        <f t="shared" si="19"/>
        <v>-1.9456751653512858</v>
      </c>
      <c r="T70" s="21"/>
      <c r="V70" s="21">
        <f>P70</f>
        <v>-3881819.93</v>
      </c>
      <c r="W70" s="21"/>
      <c r="X70" s="7"/>
      <c r="Y70" s="7"/>
      <c r="Z70" s="7">
        <f>V70-X70-Y70</f>
        <v>-3881819.93</v>
      </c>
      <c r="AA70" s="7">
        <f>+Z70+X70+Y70</f>
        <v>-3881819.93</v>
      </c>
      <c r="AB70" s="7"/>
    </row>
    <row r="71" spans="1:28" s="20" customFormat="1">
      <c r="A71" s="20">
        <f t="shared" si="0"/>
        <v>65</v>
      </c>
      <c r="B71" s="17" t="s">
        <v>101</v>
      </c>
      <c r="C71" s="28"/>
      <c r="D71" s="28"/>
      <c r="E71" s="28"/>
      <c r="F71" s="28"/>
      <c r="G71" s="28"/>
      <c r="H71" s="28"/>
      <c r="I71" s="28"/>
      <c r="J71" s="28"/>
      <c r="K71" s="28"/>
      <c r="L71" s="28"/>
      <c r="M71" s="28"/>
      <c r="N71" s="28"/>
      <c r="O71" s="28"/>
      <c r="P71" s="21">
        <f>(C71+2*SUM(D71:N71)+O71)/24</f>
        <v>0</v>
      </c>
      <c r="Q71" s="21" t="e">
        <f t="shared" si="13"/>
        <v>#DIV/0!</v>
      </c>
      <c r="R71" s="9" t="e">
        <f t="shared" si="19"/>
        <v>#DIV/0!</v>
      </c>
      <c r="T71" s="21">
        <f t="shared" si="18"/>
        <v>0</v>
      </c>
      <c r="W71" s="21"/>
      <c r="X71" s="7"/>
      <c r="Y71" s="7"/>
      <c r="Z71" s="7"/>
      <c r="AA71" s="7"/>
      <c r="AB71" s="7"/>
    </row>
    <row r="72" spans="1:28" s="20" customFormat="1">
      <c r="A72" s="20">
        <f t="shared" ref="A72:A135" si="20">+A71+1</f>
        <v>66</v>
      </c>
      <c r="B72" s="17" t="s">
        <v>100</v>
      </c>
      <c r="C72" s="28"/>
      <c r="D72" s="28"/>
      <c r="E72" s="28"/>
      <c r="F72" s="28"/>
      <c r="G72" s="28"/>
      <c r="H72" s="28"/>
      <c r="I72" s="28"/>
      <c r="J72" s="28"/>
      <c r="K72" s="28"/>
      <c r="L72" s="28"/>
      <c r="M72" s="28"/>
      <c r="N72" s="28"/>
      <c r="O72" s="28"/>
      <c r="P72" s="21">
        <f>(C72+2*SUM(D72:N72)+O72)/24</f>
        <v>0</v>
      </c>
      <c r="Q72" s="21" t="e">
        <f t="shared" si="13"/>
        <v>#DIV/0!</v>
      </c>
      <c r="R72" s="9"/>
      <c r="T72" s="21">
        <f t="shared" si="18"/>
        <v>0</v>
      </c>
      <c r="X72" s="7"/>
      <c r="Y72" s="7"/>
      <c r="Z72" s="7"/>
      <c r="AA72" s="7"/>
      <c r="AB72" s="7"/>
    </row>
    <row r="73" spans="1:28" s="20" customFormat="1">
      <c r="A73" s="20">
        <f t="shared" si="20"/>
        <v>67</v>
      </c>
      <c r="B73" s="17" t="s">
        <v>99</v>
      </c>
      <c r="C73" s="28">
        <f t="shared" ref="C73:O73" si="21">SUM(C41:C47,C49:C58,C60:C69,C71)-SUM(C48,C59,C70,C72)</f>
        <v>1242476570.05</v>
      </c>
      <c r="D73" s="28">
        <f t="shared" si="21"/>
        <v>1212186052.4400001</v>
      </c>
      <c r="E73" s="28">
        <f t="shared" si="21"/>
        <v>1191414452.5500002</v>
      </c>
      <c r="F73" s="28">
        <f t="shared" si="21"/>
        <v>1264120897.23</v>
      </c>
      <c r="G73" s="28">
        <f t="shared" si="21"/>
        <v>1219490809.8199999</v>
      </c>
      <c r="H73" s="28">
        <f t="shared" si="21"/>
        <v>1155050759.8900001</v>
      </c>
      <c r="I73" s="28">
        <f t="shared" si="21"/>
        <v>1268581646.0999999</v>
      </c>
      <c r="J73" s="28">
        <f t="shared" si="21"/>
        <v>1228770459.9699998</v>
      </c>
      <c r="K73" s="28">
        <f t="shared" si="21"/>
        <v>1181106794.2199998</v>
      </c>
      <c r="L73" s="28">
        <f t="shared" si="21"/>
        <v>1222089702.6800001</v>
      </c>
      <c r="M73" s="28">
        <f t="shared" si="21"/>
        <v>1103753135.28</v>
      </c>
      <c r="N73" s="28">
        <f t="shared" si="21"/>
        <v>1114147361.79</v>
      </c>
      <c r="O73" s="28">
        <f t="shared" si="21"/>
        <v>1240006124.6799998</v>
      </c>
      <c r="P73" s="41">
        <f>SUBTOTAL(9,P41:P72)</f>
        <v>1200162784.9445834</v>
      </c>
      <c r="Q73" s="21">
        <f t="shared" si="13"/>
        <v>1200059849.7208335</v>
      </c>
      <c r="R73" s="9">
        <f>+Q73/P73-1</f>
        <v>-8.5767718380536095E-5</v>
      </c>
      <c r="T73" s="41">
        <f>SUBTOTAL(9,T41:T72)</f>
        <v>1131880332.9654169</v>
      </c>
      <c r="V73" s="41">
        <f>SUBTOTAL(9,V41:V72)</f>
        <v>68282451.979166657</v>
      </c>
      <c r="X73" s="41">
        <f>SUBTOTAL(9,X41:X72)</f>
        <v>0</v>
      </c>
      <c r="Y73" s="41">
        <f>SUBTOTAL(9,Y41:Y72)</f>
        <v>0</v>
      </c>
      <c r="Z73" s="41">
        <f>SUBTOTAL(9,Z41:Z72)</f>
        <v>68282451.979166657</v>
      </c>
      <c r="AA73" s="7"/>
      <c r="AB73" s="7"/>
    </row>
    <row r="74" spans="1:28" s="20" customFormat="1">
      <c r="A74" s="20">
        <f t="shared" si="20"/>
        <v>68</v>
      </c>
      <c r="B74" s="17"/>
      <c r="C74" s="32"/>
      <c r="D74" s="32"/>
      <c r="E74" s="32"/>
      <c r="F74" s="32"/>
      <c r="G74" s="32"/>
      <c r="H74" s="32"/>
      <c r="I74" s="32"/>
      <c r="J74" s="32"/>
      <c r="K74" s="32"/>
      <c r="L74" s="32"/>
      <c r="M74" s="32"/>
      <c r="N74" s="32"/>
      <c r="O74" s="32"/>
      <c r="P74" s="40"/>
      <c r="Q74" s="21"/>
      <c r="R74" s="9"/>
      <c r="T74" s="40"/>
      <c r="V74" s="40"/>
      <c r="X74" s="40"/>
      <c r="Y74" s="40"/>
      <c r="Z74" s="40"/>
      <c r="AA74" s="7"/>
      <c r="AB74" s="7"/>
    </row>
    <row r="75" spans="1:28" s="20" customFormat="1">
      <c r="A75" s="20">
        <f t="shared" si="20"/>
        <v>69</v>
      </c>
      <c r="B75" s="17" t="s">
        <v>98</v>
      </c>
      <c r="C75" s="47"/>
      <c r="D75" s="47"/>
      <c r="E75" s="47"/>
      <c r="F75" s="47"/>
      <c r="G75" s="47"/>
      <c r="H75" s="47"/>
      <c r="I75" s="47"/>
      <c r="J75" s="47"/>
      <c r="K75" s="47"/>
      <c r="L75" s="47"/>
      <c r="M75" s="47"/>
      <c r="N75" s="47"/>
      <c r="O75" s="47"/>
      <c r="P75" s="21"/>
      <c r="Q75" s="21"/>
      <c r="R75" s="9"/>
      <c r="X75" s="7"/>
      <c r="Y75" s="7"/>
      <c r="Z75" s="7"/>
      <c r="AA75" s="7"/>
      <c r="AB75" s="7"/>
    </row>
    <row r="76" spans="1:28" s="20" customFormat="1">
      <c r="A76" s="20">
        <f t="shared" si="20"/>
        <v>70</v>
      </c>
      <c r="B76" s="17" t="s">
        <v>97</v>
      </c>
      <c r="C76" s="28">
        <v>34637123.829999998</v>
      </c>
      <c r="D76" s="28">
        <v>34541541.789999999</v>
      </c>
      <c r="E76" s="28">
        <v>34415758.329999998</v>
      </c>
      <c r="F76" s="28">
        <v>34181877.619999997</v>
      </c>
      <c r="G76" s="28">
        <v>33935949.840000004</v>
      </c>
      <c r="H76" s="28">
        <v>33690021.890000001</v>
      </c>
      <c r="I76" s="28">
        <v>33449340.809999999</v>
      </c>
      <c r="J76" s="28">
        <v>37726980.609999999</v>
      </c>
      <c r="K76" s="28">
        <v>37717993.310000002</v>
      </c>
      <c r="L76" s="28">
        <v>36290380.920000002</v>
      </c>
      <c r="M76" s="28">
        <v>36286705.590000004</v>
      </c>
      <c r="N76" s="28">
        <v>36391742.439999998</v>
      </c>
      <c r="O76" s="28">
        <v>36154416.020000003</v>
      </c>
      <c r="P76" s="21">
        <f t="shared" ref="P76:P90" si="22">(C76+2*SUM(D76:N76)+O76)/24</f>
        <v>35335338.589583337</v>
      </c>
      <c r="Q76" s="21">
        <f t="shared" ref="Q76:Q91" si="23">AVERAGE(D76:O76)</f>
        <v>35398559.097500004</v>
      </c>
      <c r="R76" s="9">
        <f>+Q76/P76-1</f>
        <v>1.7891581187594596E-3</v>
      </c>
      <c r="V76" s="21"/>
      <c r="W76" s="21">
        <f>-P76</f>
        <v>-35335338.589583337</v>
      </c>
      <c r="X76" s="7"/>
      <c r="Y76" s="7"/>
      <c r="Z76" s="7"/>
      <c r="AA76" s="7"/>
      <c r="AB76" s="7"/>
    </row>
    <row r="77" spans="1:28" s="20" customFormat="1">
      <c r="A77" s="20">
        <f t="shared" si="20"/>
        <v>71</v>
      </c>
      <c r="B77" s="17" t="s">
        <v>96</v>
      </c>
      <c r="C77" s="28"/>
      <c r="D77" s="28"/>
      <c r="E77" s="28"/>
      <c r="F77" s="28"/>
      <c r="G77" s="28"/>
      <c r="H77" s="28"/>
      <c r="I77" s="28"/>
      <c r="J77" s="28"/>
      <c r="K77" s="28"/>
      <c r="L77" s="28"/>
      <c r="M77" s="28"/>
      <c r="N77" s="28"/>
      <c r="O77" s="28"/>
      <c r="P77" s="21">
        <f t="shared" si="22"/>
        <v>0</v>
      </c>
      <c r="Q77" s="21" t="e">
        <f t="shared" si="23"/>
        <v>#DIV/0!</v>
      </c>
      <c r="R77" s="9"/>
      <c r="V77" s="21">
        <f t="shared" ref="V77:V87" si="24">+P77</f>
        <v>0</v>
      </c>
      <c r="X77" s="7"/>
      <c r="Y77" s="7"/>
      <c r="Z77" s="7"/>
      <c r="AA77" s="7"/>
      <c r="AB77" s="7"/>
    </row>
    <row r="78" spans="1:28" s="20" customFormat="1">
      <c r="A78" s="20">
        <f t="shared" si="20"/>
        <v>72</v>
      </c>
      <c r="B78" s="17" t="s">
        <v>95</v>
      </c>
      <c r="C78" s="28"/>
      <c r="D78" s="28"/>
      <c r="E78" s="28"/>
      <c r="F78" s="28"/>
      <c r="G78" s="28"/>
      <c r="H78" s="28"/>
      <c r="I78" s="28"/>
      <c r="J78" s="28"/>
      <c r="K78" s="28"/>
      <c r="L78" s="28"/>
      <c r="M78" s="28"/>
      <c r="N78" s="28"/>
      <c r="O78" s="28"/>
      <c r="P78" s="21">
        <f t="shared" si="22"/>
        <v>0</v>
      </c>
      <c r="Q78" s="21" t="e">
        <f t="shared" si="23"/>
        <v>#DIV/0!</v>
      </c>
      <c r="R78" s="9" t="e">
        <f>+Q78/P78-1</f>
        <v>#DIV/0!</v>
      </c>
      <c r="V78" s="21">
        <f t="shared" si="24"/>
        <v>0</v>
      </c>
      <c r="X78" s="7">
        <f>+[4]Report!$K$2626</f>
        <v>0</v>
      </c>
      <c r="Y78" s="7">
        <f>+[4]Report!$J$2626</f>
        <v>0</v>
      </c>
      <c r="Z78" s="7">
        <f>+P78-X78-Y78</f>
        <v>0</v>
      </c>
      <c r="AA78" s="7">
        <f>+Z78+X78+Y78</f>
        <v>0</v>
      </c>
      <c r="AB78" s="7"/>
    </row>
    <row r="79" spans="1:28" s="20" customFormat="1">
      <c r="A79" s="20">
        <f t="shared" si="20"/>
        <v>73</v>
      </c>
      <c r="B79" s="17" t="s">
        <v>94</v>
      </c>
      <c r="C79" s="28">
        <v>1734854643.03</v>
      </c>
      <c r="D79" s="28">
        <v>1792493711.3599999</v>
      </c>
      <c r="E79" s="28">
        <v>1761310118.45</v>
      </c>
      <c r="F79" s="28">
        <v>1750711757.6600001</v>
      </c>
      <c r="G79" s="28">
        <v>1722826104.52</v>
      </c>
      <c r="H79" s="28">
        <v>1736666394.3800001</v>
      </c>
      <c r="I79" s="28">
        <v>1874535670.9200001</v>
      </c>
      <c r="J79" s="28">
        <v>1894207267.27</v>
      </c>
      <c r="K79" s="28">
        <v>1867152369.53</v>
      </c>
      <c r="L79" s="28">
        <v>1896130240.8599999</v>
      </c>
      <c r="M79" s="28">
        <v>1877281334.51</v>
      </c>
      <c r="N79" s="28">
        <v>1846018075.21</v>
      </c>
      <c r="O79" s="28">
        <v>1819877305.8199999</v>
      </c>
      <c r="P79" s="21">
        <f t="shared" si="22"/>
        <v>1816391584.9245832</v>
      </c>
      <c r="Q79" s="21">
        <f t="shared" si="23"/>
        <v>1819934195.8741665</v>
      </c>
      <c r="R79" s="9">
        <f>+Q79/P79-1</f>
        <v>1.9503563983591654E-3</v>
      </c>
      <c r="T79" s="143">
        <f>'GL balances'!D20</f>
        <v>650332516.61458337</v>
      </c>
      <c r="V79" s="21">
        <f>+P79-T79</f>
        <v>1166059068.3099999</v>
      </c>
      <c r="X79" s="7">
        <f>'Accountts 182,186,253,254,283'!G96</f>
        <v>13830508.039840423</v>
      </c>
      <c r="Y79" s="7">
        <f>+[4]Report!$J$2463+[4]Report!$J$2567</f>
        <v>168336505.04307589</v>
      </c>
      <c r="Z79" s="7">
        <f>V79-X79-Y79</f>
        <v>983892055.22708356</v>
      </c>
      <c r="AA79" s="7">
        <f>+Z79+X79+Y79</f>
        <v>1166059068.3099999</v>
      </c>
      <c r="AB79" s="7"/>
    </row>
    <row r="80" spans="1:28" s="20" customFormat="1">
      <c r="A80" s="20">
        <f t="shared" si="20"/>
        <v>74</v>
      </c>
      <c r="B80" s="17" t="s">
        <v>93</v>
      </c>
      <c r="C80" s="28">
        <v>3037151.89</v>
      </c>
      <c r="D80" s="28">
        <v>2983030.97</v>
      </c>
      <c r="E80" s="28">
        <v>3349423.32</v>
      </c>
      <c r="F80" s="28">
        <v>3024702.33</v>
      </c>
      <c r="G80" s="28">
        <v>3019844.81</v>
      </c>
      <c r="H80" s="28">
        <v>3056444.79</v>
      </c>
      <c r="I80" s="28">
        <v>3115356.43</v>
      </c>
      <c r="J80" s="28">
        <v>3156779.52</v>
      </c>
      <c r="K80" s="28">
        <v>3240548.66</v>
      </c>
      <c r="L80" s="28">
        <v>3431846.32</v>
      </c>
      <c r="M80" s="28">
        <v>4068428.84</v>
      </c>
      <c r="N80" s="28">
        <v>4074045.74</v>
      </c>
      <c r="O80" s="28">
        <v>4987809.3099999996</v>
      </c>
      <c r="P80" s="21">
        <f t="shared" si="22"/>
        <v>3377744.3608333338</v>
      </c>
      <c r="Q80" s="21">
        <f t="shared" si="23"/>
        <v>3459021.7533333339</v>
      </c>
      <c r="R80" s="9">
        <f>+Q80/P80-1</f>
        <v>2.4062623993234222E-2</v>
      </c>
      <c r="V80" s="21">
        <f t="shared" si="24"/>
        <v>3377744.3608333338</v>
      </c>
      <c r="X80" s="7">
        <v>0</v>
      </c>
      <c r="Y80" s="7">
        <v>0</v>
      </c>
      <c r="Z80" s="7">
        <f>+V80</f>
        <v>3377744.3608333338</v>
      </c>
      <c r="AA80" s="7">
        <f>+Z80+X80+Y80</f>
        <v>3377744.3608333338</v>
      </c>
      <c r="AB80" s="7"/>
    </row>
    <row r="81" spans="1:28" s="20" customFormat="1">
      <c r="A81" s="20">
        <f t="shared" si="20"/>
        <v>75</v>
      </c>
      <c r="B81" s="17" t="s">
        <v>92</v>
      </c>
      <c r="C81" s="28"/>
      <c r="D81" s="28"/>
      <c r="E81" s="28"/>
      <c r="F81" s="28"/>
      <c r="G81" s="28"/>
      <c r="H81" s="28"/>
      <c r="I81" s="28"/>
      <c r="J81" s="28"/>
      <c r="K81" s="28"/>
      <c r="L81" s="28"/>
      <c r="M81" s="28"/>
      <c r="N81" s="28"/>
      <c r="O81" s="28"/>
      <c r="P81" s="21">
        <f t="shared" si="22"/>
        <v>0</v>
      </c>
      <c r="Q81" s="21" t="e">
        <f t="shared" si="23"/>
        <v>#DIV/0!</v>
      </c>
      <c r="R81" s="9"/>
      <c r="V81" s="21">
        <f t="shared" si="24"/>
        <v>0</v>
      </c>
      <c r="X81" s="7"/>
      <c r="Y81" s="7"/>
      <c r="Z81" s="7"/>
      <c r="AA81" s="7"/>
      <c r="AB81" s="7"/>
    </row>
    <row r="82" spans="1:28" s="20" customFormat="1">
      <c r="A82" s="20">
        <f t="shared" si="20"/>
        <v>76</v>
      </c>
      <c r="B82" s="17" t="s">
        <v>91</v>
      </c>
      <c r="C82" s="28"/>
      <c r="D82" s="28"/>
      <c r="E82" s="28"/>
      <c r="F82" s="28"/>
      <c r="G82" s="28"/>
      <c r="H82" s="28"/>
      <c r="I82" s="28"/>
      <c r="J82" s="28"/>
      <c r="K82" s="28"/>
      <c r="L82" s="28"/>
      <c r="M82" s="28"/>
      <c r="N82" s="28"/>
      <c r="O82" s="28"/>
      <c r="P82" s="21">
        <f t="shared" si="22"/>
        <v>0</v>
      </c>
      <c r="Q82" s="21" t="e">
        <f t="shared" si="23"/>
        <v>#DIV/0!</v>
      </c>
      <c r="R82" s="9"/>
      <c r="V82" s="21">
        <f t="shared" si="24"/>
        <v>0</v>
      </c>
      <c r="X82" s="7"/>
      <c r="Y82" s="7"/>
      <c r="Z82" s="7"/>
      <c r="AA82" s="7"/>
      <c r="AB82" s="7"/>
    </row>
    <row r="83" spans="1:28" s="20" customFormat="1">
      <c r="A83" s="20">
        <f t="shared" si="20"/>
        <v>77</v>
      </c>
      <c r="B83" s="17" t="s">
        <v>90</v>
      </c>
      <c r="C83" s="28">
        <v>-214512.86</v>
      </c>
      <c r="D83" s="28">
        <v>128507.14</v>
      </c>
      <c r="E83" s="28">
        <v>-167498.88</v>
      </c>
      <c r="F83" s="28">
        <v>-167077.38</v>
      </c>
      <c r="G83" s="28">
        <v>-163096.39000000001</v>
      </c>
      <c r="H83" s="28">
        <v>340274.45</v>
      </c>
      <c r="I83" s="28"/>
      <c r="J83" s="28">
        <v>-48232.54</v>
      </c>
      <c r="K83" s="28">
        <v>-95146.81</v>
      </c>
      <c r="L83" s="28">
        <v>-173339.33</v>
      </c>
      <c r="M83" s="28">
        <v>-183723.69</v>
      </c>
      <c r="N83" s="28">
        <v>-176411.57</v>
      </c>
      <c r="O83" s="28">
        <v>-115896.56</v>
      </c>
      <c r="P83" s="21">
        <f t="shared" si="22"/>
        <v>-72579.142500000002</v>
      </c>
      <c r="Q83" s="21">
        <f t="shared" si="23"/>
        <v>-74694.687272727271</v>
      </c>
      <c r="R83" s="9"/>
      <c r="V83" s="21">
        <f t="shared" si="24"/>
        <v>-72579.142500000002</v>
      </c>
      <c r="X83" s="7"/>
      <c r="Y83" s="7"/>
      <c r="Z83" s="7">
        <f>+V83</f>
        <v>-72579.142500000002</v>
      </c>
      <c r="AA83" s="7">
        <f>+Z83+X83+Y83</f>
        <v>-72579.142500000002</v>
      </c>
      <c r="AB83" s="7"/>
    </row>
    <row r="84" spans="1:28" s="20" customFormat="1">
      <c r="A84" s="20">
        <f t="shared" si="20"/>
        <v>78</v>
      </c>
      <c r="B84" s="17" t="s">
        <v>89</v>
      </c>
      <c r="C84" s="28">
        <v>89719.83</v>
      </c>
      <c r="D84" s="28">
        <v>90509.05</v>
      </c>
      <c r="E84" s="28">
        <v>101892.9</v>
      </c>
      <c r="F84" s="28">
        <v>110494.66</v>
      </c>
      <c r="G84" s="28">
        <v>81932.39</v>
      </c>
      <c r="H84" s="28">
        <v>52246.99</v>
      </c>
      <c r="I84" s="28">
        <v>66905.259999999995</v>
      </c>
      <c r="J84" s="28">
        <v>81157.94</v>
      </c>
      <c r="K84" s="28">
        <v>45669.84</v>
      </c>
      <c r="L84" s="28">
        <v>40431.64</v>
      </c>
      <c r="M84" s="28">
        <v>37356.480000000003</v>
      </c>
      <c r="N84" s="28">
        <v>18822.490000000002</v>
      </c>
      <c r="O84" s="28">
        <v>56151.65</v>
      </c>
      <c r="P84" s="21">
        <f t="shared" si="22"/>
        <v>66696.281666666662</v>
      </c>
      <c r="Q84" s="21">
        <f t="shared" si="23"/>
        <v>65297.607499999991</v>
      </c>
      <c r="R84" s="9">
        <f>+Q84/P84-1</f>
        <v>-2.0970796747814768E-2</v>
      </c>
      <c r="V84" s="21">
        <f t="shared" si="24"/>
        <v>66696.281666666662</v>
      </c>
      <c r="X84" s="7">
        <v>0</v>
      </c>
      <c r="Y84" s="7">
        <v>0</v>
      </c>
      <c r="Z84" s="7">
        <f>+V84</f>
        <v>66696.281666666662</v>
      </c>
      <c r="AA84" s="7">
        <f>+Z84+X84+Y84</f>
        <v>66696.281666666662</v>
      </c>
      <c r="AB84" s="7"/>
    </row>
    <row r="85" spans="1:28" s="20" customFormat="1">
      <c r="A85" s="20">
        <f t="shared" si="20"/>
        <v>79</v>
      </c>
      <c r="B85" s="17" t="s">
        <v>88</v>
      </c>
      <c r="C85" s="28">
        <f>77886299.32-70296</f>
        <v>77816003.319999993</v>
      </c>
      <c r="D85" s="28">
        <f>78489308.8-21032</f>
        <v>78468276.799999997</v>
      </c>
      <c r="E85" s="28">
        <f>79723472.36-10334</f>
        <v>79713138.359999999</v>
      </c>
      <c r="F85" s="28">
        <f>86094472.84-58984</f>
        <v>86035488.840000004</v>
      </c>
      <c r="G85" s="28">
        <f>86509758.32-59743</f>
        <v>86450015.319999993</v>
      </c>
      <c r="H85" s="28">
        <f>85626652.23-65682</f>
        <v>85560970.230000004</v>
      </c>
      <c r="I85" s="28">
        <v>88864233.069999993</v>
      </c>
      <c r="J85" s="28">
        <v>90143100.909999996</v>
      </c>
      <c r="K85" s="28">
        <v>91035900.159999996</v>
      </c>
      <c r="L85" s="28">
        <v>92309599.370000005</v>
      </c>
      <c r="M85" s="28">
        <v>92462258.879999995</v>
      </c>
      <c r="N85" s="28">
        <v>92403595.709999993</v>
      </c>
      <c r="O85" s="28">
        <v>95646917.120000005</v>
      </c>
      <c r="P85" s="21">
        <f t="shared" si="22"/>
        <v>87514836.489166662</v>
      </c>
      <c r="Q85" s="21">
        <f t="shared" si="23"/>
        <v>88257791.230833337</v>
      </c>
      <c r="R85" s="9">
        <f>+Q85/P85-1</f>
        <v>8.4894718595360796E-3</v>
      </c>
      <c r="T85" s="143"/>
      <c r="V85" s="21">
        <f>+P85-T85</f>
        <v>87514836.489166662</v>
      </c>
      <c r="X85" s="7">
        <f>'Accountts 182,186,253,254,283'!G158</f>
        <v>4213626.3067053203</v>
      </c>
      <c r="Y85" s="7">
        <f>+[4]Report!$J$2582</f>
        <v>81548519.994961098</v>
      </c>
      <c r="Z85" s="7">
        <f>V85-X85-Y85</f>
        <v>1752690.1875002384</v>
      </c>
      <c r="AA85" s="7">
        <f>+Z85+X85+Y85</f>
        <v>87514836.489166662</v>
      </c>
      <c r="AB85" s="7"/>
    </row>
    <row r="86" spans="1:28" s="20" customFormat="1">
      <c r="A86" s="20">
        <f t="shared" si="20"/>
        <v>80</v>
      </c>
      <c r="B86" s="17" t="s">
        <v>87</v>
      </c>
      <c r="C86" s="28"/>
      <c r="D86" s="28"/>
      <c r="E86" s="28"/>
      <c r="F86" s="28"/>
      <c r="G86" s="28"/>
      <c r="H86" s="28"/>
      <c r="I86" s="28"/>
      <c r="J86" s="28"/>
      <c r="K86" s="28"/>
      <c r="L86" s="28"/>
      <c r="M86" s="28"/>
      <c r="N86" s="28"/>
      <c r="O86" s="28"/>
      <c r="P86" s="21">
        <f t="shared" si="22"/>
        <v>0</v>
      </c>
      <c r="Q86" s="21" t="e">
        <f t="shared" si="23"/>
        <v>#DIV/0!</v>
      </c>
      <c r="R86" s="9"/>
      <c r="V86" s="21">
        <f t="shared" si="24"/>
        <v>0</v>
      </c>
      <c r="X86" s="7"/>
      <c r="Y86" s="7"/>
      <c r="Z86" s="7"/>
      <c r="AA86" s="7"/>
      <c r="AB86" s="7"/>
    </row>
    <row r="87" spans="1:28" s="20" customFormat="1">
      <c r="A87" s="20">
        <f t="shared" si="20"/>
        <v>81</v>
      </c>
      <c r="B87" s="17" t="s">
        <v>86</v>
      </c>
      <c r="C87" s="28"/>
      <c r="D87" s="28"/>
      <c r="E87" s="28"/>
      <c r="F87" s="28"/>
      <c r="G87" s="28"/>
      <c r="H87" s="28"/>
      <c r="I87" s="28"/>
      <c r="J87" s="28"/>
      <c r="K87" s="28"/>
      <c r="L87" s="28"/>
      <c r="M87" s="28"/>
      <c r="N87" s="28"/>
      <c r="O87" s="28"/>
      <c r="P87" s="21">
        <f t="shared" si="22"/>
        <v>0</v>
      </c>
      <c r="Q87" s="21" t="e">
        <f t="shared" si="23"/>
        <v>#DIV/0!</v>
      </c>
      <c r="R87" s="9"/>
      <c r="V87" s="21">
        <f t="shared" si="24"/>
        <v>0</v>
      </c>
      <c r="X87" s="7"/>
      <c r="Y87" s="7"/>
      <c r="Z87" s="7"/>
      <c r="AA87" s="7"/>
      <c r="AB87" s="7"/>
    </row>
    <row r="88" spans="1:28" s="20" customFormat="1">
      <c r="A88" s="20">
        <f t="shared" si="20"/>
        <v>82</v>
      </c>
      <c r="B88" s="17" t="s">
        <v>85</v>
      </c>
      <c r="C88" s="28">
        <v>10559054.24</v>
      </c>
      <c r="D88" s="28">
        <v>10411105.83</v>
      </c>
      <c r="E88" s="28">
        <v>10263157.529999999</v>
      </c>
      <c r="F88" s="28">
        <v>10115209.119999999</v>
      </c>
      <c r="G88" s="28">
        <v>9967260.8300000001</v>
      </c>
      <c r="H88" s="28">
        <v>9819312.4100000001</v>
      </c>
      <c r="I88" s="28">
        <v>9676901.3300000001</v>
      </c>
      <c r="J88" s="28">
        <v>9534490.1099999994</v>
      </c>
      <c r="K88" s="28">
        <v>9392079.0500000007</v>
      </c>
      <c r="L88" s="28">
        <v>10869558.51</v>
      </c>
      <c r="M88" s="28">
        <v>10715001.050000001</v>
      </c>
      <c r="N88" s="28">
        <v>10558848.43</v>
      </c>
      <c r="O88" s="28">
        <v>10402695.970000001</v>
      </c>
      <c r="P88" s="21">
        <f t="shared" si="22"/>
        <v>10150316.608749999</v>
      </c>
      <c r="Q88" s="21">
        <f t="shared" si="23"/>
        <v>10143801.680833332</v>
      </c>
      <c r="R88" s="9">
        <f>+Q88/P88-1</f>
        <v>-6.4184479832385399E-4</v>
      </c>
      <c r="V88" s="21"/>
      <c r="W88" s="21">
        <f>-P88</f>
        <v>-10150316.608749999</v>
      </c>
      <c r="X88" s="7"/>
      <c r="Y88" s="7"/>
      <c r="Z88" s="7"/>
      <c r="AA88" s="7"/>
      <c r="AB88" s="7"/>
    </row>
    <row r="89" spans="1:28" s="20" customFormat="1">
      <c r="A89" s="20">
        <f t="shared" si="20"/>
        <v>83</v>
      </c>
      <c r="B89" s="17" t="s">
        <v>84</v>
      </c>
      <c r="C89" s="28">
        <v>563674504.14999998</v>
      </c>
      <c r="D89" s="28">
        <v>563674504.14999998</v>
      </c>
      <c r="E89" s="28">
        <v>563674504.14999998</v>
      </c>
      <c r="F89" s="28">
        <v>570961967.14999998</v>
      </c>
      <c r="G89" s="28">
        <v>570977554.14999998</v>
      </c>
      <c r="H89" s="28">
        <v>570977554.14999998</v>
      </c>
      <c r="I89" s="28">
        <v>639645755</v>
      </c>
      <c r="J89" s="28">
        <v>639645755</v>
      </c>
      <c r="K89" s="28">
        <v>639645755</v>
      </c>
      <c r="L89" s="28">
        <v>641098330</v>
      </c>
      <c r="M89" s="28">
        <v>641098330</v>
      </c>
      <c r="N89" s="28">
        <v>641098330</v>
      </c>
      <c r="O89" s="28">
        <v>623424543</v>
      </c>
      <c r="P89" s="21">
        <f t="shared" si="22"/>
        <v>606337321.86041665</v>
      </c>
      <c r="Q89" s="21">
        <f t="shared" si="23"/>
        <v>608826906.8125</v>
      </c>
      <c r="R89" s="9">
        <f>+Q89/P89-1</f>
        <v>4.1059404762429086E-3</v>
      </c>
      <c r="T89" s="143">
        <f>'GL balances'!C61</f>
        <v>146766081.04166666</v>
      </c>
      <c r="V89" s="21">
        <f>+P89-T89</f>
        <v>459571240.81875002</v>
      </c>
      <c r="X89" s="7">
        <f>+[4]Report!$K$2704</f>
        <v>7023759.1323354822</v>
      </c>
      <c r="Y89" s="7">
        <f>+[4]Report!$J$2704</f>
        <v>145585178.76974773</v>
      </c>
      <c r="Z89" s="7">
        <f>+V89-X89-Y89</f>
        <v>306962302.91666681</v>
      </c>
      <c r="AA89" s="7">
        <f>+Z89+X89+Y89</f>
        <v>459571240.81875002</v>
      </c>
      <c r="AB89" s="7"/>
    </row>
    <row r="90" spans="1:28" s="20" customFormat="1">
      <c r="A90" s="20">
        <f t="shared" si="20"/>
        <v>84</v>
      </c>
      <c r="B90" s="17" t="s">
        <v>83</v>
      </c>
      <c r="C90" s="28"/>
      <c r="D90" s="28"/>
      <c r="E90" s="28"/>
      <c r="F90" s="28"/>
      <c r="G90" s="28"/>
      <c r="H90" s="28"/>
      <c r="I90" s="28"/>
      <c r="J90" s="28"/>
      <c r="K90" s="28"/>
      <c r="L90" s="28"/>
      <c r="M90" s="28"/>
      <c r="N90" s="28"/>
      <c r="O90" s="28"/>
      <c r="P90" s="21">
        <f t="shared" si="22"/>
        <v>0</v>
      </c>
      <c r="Q90" s="21" t="e">
        <f t="shared" si="23"/>
        <v>#DIV/0!</v>
      </c>
      <c r="R90" s="9"/>
      <c r="V90" s="21">
        <f>+P90</f>
        <v>0</v>
      </c>
      <c r="X90" s="7"/>
      <c r="Y90" s="7"/>
      <c r="Z90" s="7"/>
      <c r="AA90" s="7"/>
      <c r="AB90" s="7"/>
    </row>
    <row r="91" spans="1:28" s="20" customFormat="1">
      <c r="A91" s="20">
        <f t="shared" si="20"/>
        <v>85</v>
      </c>
      <c r="B91" s="17" t="s">
        <v>82</v>
      </c>
      <c r="C91" s="28">
        <f t="shared" ref="C91:O91" si="25">SUM(C76:C90)</f>
        <v>2424453687.4299998</v>
      </c>
      <c r="D91" s="28">
        <f t="shared" si="25"/>
        <v>2482791187.0899997</v>
      </c>
      <c r="E91" s="28">
        <f t="shared" si="25"/>
        <v>2452660494.1599998</v>
      </c>
      <c r="F91" s="28">
        <f t="shared" si="25"/>
        <v>2454974419.9999995</v>
      </c>
      <c r="G91" s="28">
        <f t="shared" si="25"/>
        <v>2427095565.4699998</v>
      </c>
      <c r="H91" s="28">
        <f t="shared" si="25"/>
        <v>2440163219.2900004</v>
      </c>
      <c r="I91" s="28">
        <f t="shared" si="25"/>
        <v>2649354162.8199997</v>
      </c>
      <c r="J91" s="28">
        <f t="shared" si="25"/>
        <v>2674447298.8199997</v>
      </c>
      <c r="K91" s="28">
        <f t="shared" si="25"/>
        <v>2648135168.7399998</v>
      </c>
      <c r="L91" s="28">
        <f t="shared" si="25"/>
        <v>2679997048.29</v>
      </c>
      <c r="M91" s="28">
        <f t="shared" si="25"/>
        <v>2661765691.6599998</v>
      </c>
      <c r="N91" s="28">
        <f t="shared" si="25"/>
        <v>2630387048.4500003</v>
      </c>
      <c r="O91" s="28">
        <f t="shared" si="25"/>
        <v>2590433942.3299999</v>
      </c>
      <c r="P91" s="41">
        <f>SUBTOTAL(9,P76:P90)</f>
        <v>2559101259.9725003</v>
      </c>
      <c r="Q91" s="21">
        <f t="shared" si="23"/>
        <v>2566017103.9266667</v>
      </c>
      <c r="R91" s="9">
        <f>+Q91/P91-1</f>
        <v>2.702450294694847E-3</v>
      </c>
      <c r="T91" s="41">
        <f>SUBTOTAL(9,T76:T90)</f>
        <v>797098597.65625</v>
      </c>
      <c r="V91" s="41">
        <f t="shared" ref="V91:AA91" si="26">SUBTOTAL(9,V76:V90)</f>
        <v>1716517007.1179171</v>
      </c>
      <c r="W91" s="41">
        <f t="shared" si="26"/>
        <v>-45485655.198333338</v>
      </c>
      <c r="X91" s="41">
        <f t="shared" si="26"/>
        <v>25067893.478881225</v>
      </c>
      <c r="Y91" s="41">
        <f t="shared" si="26"/>
        <v>395470203.80778474</v>
      </c>
      <c r="Z91" s="41">
        <f t="shared" si="26"/>
        <v>1295978909.8312504</v>
      </c>
      <c r="AA91" s="41">
        <f t="shared" si="26"/>
        <v>1716517007.1179171</v>
      </c>
      <c r="AB91" s="7"/>
    </row>
    <row r="92" spans="1:28" s="20" customFormat="1">
      <c r="A92" s="20">
        <f t="shared" si="20"/>
        <v>86</v>
      </c>
      <c r="B92" s="17"/>
      <c r="C92" s="28"/>
      <c r="D92" s="28"/>
      <c r="E92" s="28"/>
      <c r="F92" s="28"/>
      <c r="G92" s="28"/>
      <c r="H92" s="28"/>
      <c r="I92" s="28"/>
      <c r="J92" s="28"/>
      <c r="K92" s="28"/>
      <c r="L92" s="28"/>
      <c r="M92" s="28"/>
      <c r="N92" s="28"/>
      <c r="O92" s="28"/>
      <c r="P92" s="40"/>
      <c r="Q92" s="21"/>
      <c r="R92" s="9"/>
      <c r="T92" s="281"/>
      <c r="V92" s="281"/>
      <c r="W92" s="281"/>
      <c r="X92" s="281"/>
      <c r="Y92" s="281"/>
      <c r="Z92" s="281"/>
      <c r="AA92" s="40"/>
      <c r="AB92" s="7"/>
    </row>
    <row r="93" spans="1:28" s="20" customFormat="1">
      <c r="A93" s="20">
        <f t="shared" si="20"/>
        <v>87</v>
      </c>
      <c r="B93" s="18" t="s">
        <v>81</v>
      </c>
      <c r="C93" s="26">
        <f t="shared" ref="C93:O93" si="27">SUM(C91,C73,C38,C21,)</f>
        <v>19953307084.610001</v>
      </c>
      <c r="D93" s="26">
        <f t="shared" si="27"/>
        <v>20075921717.970001</v>
      </c>
      <c r="E93" s="26">
        <f t="shared" si="27"/>
        <v>20096986112.93</v>
      </c>
      <c r="F93" s="26">
        <f t="shared" si="27"/>
        <v>20235602915.330002</v>
      </c>
      <c r="G93" s="26">
        <f t="shared" si="27"/>
        <v>20263532743.540001</v>
      </c>
      <c r="H93" s="26">
        <f t="shared" si="27"/>
        <v>20309775369.610001</v>
      </c>
      <c r="I93" s="26">
        <f t="shared" si="27"/>
        <v>20818161762.669994</v>
      </c>
      <c r="J93" s="26">
        <f t="shared" si="27"/>
        <v>20859021609.669998</v>
      </c>
      <c r="K93" s="26">
        <f t="shared" si="27"/>
        <v>20854899034.559998</v>
      </c>
      <c r="L93" s="26">
        <f t="shared" si="27"/>
        <v>21005250463.389996</v>
      </c>
      <c r="M93" s="26">
        <f t="shared" si="27"/>
        <v>20965882945.720001</v>
      </c>
      <c r="N93" s="26">
        <f t="shared" si="27"/>
        <v>21008000084.280003</v>
      </c>
      <c r="O93" s="26">
        <f t="shared" si="27"/>
        <v>21141063731.310001</v>
      </c>
      <c r="P93" s="25">
        <f>(C93+2*SUM(D93:N93)+O93)/24</f>
        <v>20586685013.969166</v>
      </c>
      <c r="Q93" s="25">
        <f>AVERAGE(D93:O93)</f>
        <v>20636174874.248333</v>
      </c>
      <c r="R93" s="9">
        <f>+Q93/P93-1</f>
        <v>2.4039742311880996E-3</v>
      </c>
      <c r="T93" s="37">
        <f>SUBTOTAL(9,T7:T91)</f>
        <v>1968261911.6447227</v>
      </c>
      <c r="V93" s="37">
        <f>SUBTOTAL(9,V7:V91)</f>
        <v>18572937447.126102</v>
      </c>
      <c r="W93" s="37">
        <f>SUBTOTAL(9,W7:W91)</f>
        <v>-45485655.198333338</v>
      </c>
      <c r="X93" s="37">
        <f>SUBTOTAL(9,X7:X91)</f>
        <v>1003526688.1831921</v>
      </c>
      <c r="Y93" s="37">
        <f>SUBTOTAL(9,Y7:Y91)</f>
        <v>14739267647.406822</v>
      </c>
      <c r="Z93" s="37">
        <f>SUBTOTAL(9,Z7:Z91)</f>
        <v>2830143111.5360956</v>
      </c>
      <c r="AA93" s="7">
        <f>+Z93+Y93+X93</f>
        <v>18572937447.12611</v>
      </c>
      <c r="AB93" s="7"/>
    </row>
    <row r="94" spans="1:28" s="20" customFormat="1">
      <c r="A94" s="20">
        <f t="shared" si="20"/>
        <v>88</v>
      </c>
      <c r="B94" s="282" t="s">
        <v>80</v>
      </c>
      <c r="C94" s="16">
        <f>C93-C169</f>
        <v>0</v>
      </c>
      <c r="D94" s="16">
        <f t="shared" ref="D94:O94" si="28">D93-D169</f>
        <v>0</v>
      </c>
      <c r="E94" s="16">
        <f t="shared" si="28"/>
        <v>0</v>
      </c>
      <c r="F94" s="16">
        <f t="shared" si="28"/>
        <v>0</v>
      </c>
      <c r="G94" s="16">
        <f t="shared" si="28"/>
        <v>0</v>
      </c>
      <c r="H94" s="16">
        <f t="shared" si="28"/>
        <v>0</v>
      </c>
      <c r="I94" s="16">
        <f t="shared" si="28"/>
        <v>0</v>
      </c>
      <c r="J94" s="16">
        <f t="shared" si="28"/>
        <v>0</v>
      </c>
      <c r="K94" s="16">
        <f t="shared" si="28"/>
        <v>0</v>
      </c>
      <c r="L94" s="16">
        <f t="shared" si="28"/>
        <v>0</v>
      </c>
      <c r="M94" s="16">
        <f t="shared" si="28"/>
        <v>0</v>
      </c>
      <c r="N94" s="16">
        <f t="shared" si="28"/>
        <v>0</v>
      </c>
      <c r="O94" s="16">
        <f t="shared" si="28"/>
        <v>0</v>
      </c>
      <c r="P94" s="11">
        <f>+T93+V93-W93</f>
        <v>20586685013.969158</v>
      </c>
      <c r="Q94" s="25"/>
      <c r="R94" s="9"/>
      <c r="V94" s="21"/>
      <c r="X94" s="277"/>
      <c r="Y94" s="277"/>
      <c r="Z94" s="277"/>
      <c r="AA94" s="7"/>
      <c r="AB94" s="7"/>
    </row>
    <row r="95" spans="1:28" s="20" customFormat="1">
      <c r="A95" s="20">
        <f t="shared" si="20"/>
        <v>89</v>
      </c>
      <c r="B95" s="18"/>
      <c r="C95" s="16"/>
      <c r="D95" s="16"/>
      <c r="E95" s="16"/>
      <c r="F95" s="16"/>
      <c r="G95" s="16"/>
      <c r="H95" s="16"/>
      <c r="I95" s="16"/>
      <c r="J95" s="16"/>
      <c r="K95" s="16"/>
      <c r="L95" s="16"/>
      <c r="M95" s="16"/>
      <c r="N95" s="16"/>
      <c r="O95" s="16"/>
      <c r="P95" s="25"/>
      <c r="Q95" s="25"/>
      <c r="R95" s="9"/>
      <c r="T95" s="21"/>
      <c r="V95" s="21"/>
      <c r="X95" s="7"/>
      <c r="Y95" s="7"/>
      <c r="Z95" s="7"/>
      <c r="AA95" s="7"/>
      <c r="AB95" s="7"/>
    </row>
    <row r="96" spans="1:28" s="20" customFormat="1">
      <c r="A96" s="20">
        <f t="shared" si="20"/>
        <v>90</v>
      </c>
      <c r="B96" s="18"/>
      <c r="C96" s="16"/>
      <c r="D96" s="16"/>
      <c r="E96" s="16"/>
      <c r="F96" s="16"/>
      <c r="G96" s="16"/>
      <c r="H96" s="16"/>
      <c r="I96" s="16"/>
      <c r="J96" s="16"/>
      <c r="K96" s="16"/>
      <c r="L96" s="16"/>
      <c r="M96" s="16"/>
      <c r="N96" s="16"/>
      <c r="O96" s="16"/>
      <c r="P96" s="25"/>
      <c r="Q96" s="25"/>
      <c r="R96" s="9"/>
      <c r="T96" s="21"/>
      <c r="V96" s="21"/>
      <c r="X96" s="7"/>
      <c r="Y96" s="7"/>
      <c r="Z96" s="7"/>
      <c r="AA96" s="7"/>
      <c r="AB96" s="7"/>
    </row>
    <row r="97" spans="1:28" s="20" customFormat="1">
      <c r="A97" s="20">
        <f t="shared" si="20"/>
        <v>91</v>
      </c>
      <c r="B97" s="17" t="s">
        <v>79</v>
      </c>
      <c r="C97" s="47"/>
      <c r="D97" s="47"/>
      <c r="E97" s="47"/>
      <c r="F97" s="47"/>
      <c r="G97" s="47"/>
      <c r="H97" s="47"/>
      <c r="I97" s="47"/>
      <c r="J97" s="47"/>
      <c r="K97" s="47"/>
      <c r="L97" s="47"/>
      <c r="M97" s="47"/>
      <c r="N97" s="47"/>
      <c r="O97" s="47"/>
      <c r="P97" s="21"/>
      <c r="Q97" s="21"/>
      <c r="R97" s="9"/>
      <c r="X97" s="7"/>
      <c r="Y97" s="7"/>
      <c r="Z97" s="7"/>
      <c r="AA97" s="7"/>
      <c r="AB97" s="7"/>
    </row>
    <row r="98" spans="1:28" s="20" customFormat="1">
      <c r="A98" s="20">
        <f t="shared" si="20"/>
        <v>92</v>
      </c>
      <c r="B98" s="17" t="s">
        <v>78</v>
      </c>
      <c r="C98" s="28">
        <v>3417945896.2399998</v>
      </c>
      <c r="D98" s="28">
        <v>3417945896.2399998</v>
      </c>
      <c r="E98" s="28">
        <v>3417945896.2399998</v>
      </c>
      <c r="F98" s="28">
        <v>3417945896.2399998</v>
      </c>
      <c r="G98" s="28">
        <v>3417945896.2399998</v>
      </c>
      <c r="H98" s="28">
        <v>3417945896.2399998</v>
      </c>
      <c r="I98" s="28">
        <v>3417945896.2399998</v>
      </c>
      <c r="J98" s="28">
        <v>3417945896.2399998</v>
      </c>
      <c r="K98" s="28">
        <v>3417945896.2399998</v>
      </c>
      <c r="L98" s="28">
        <v>3417945896.2399998</v>
      </c>
      <c r="M98" s="28">
        <v>3417945896.2399998</v>
      </c>
      <c r="N98" s="28">
        <v>3417945896.2399998</v>
      </c>
      <c r="O98" s="28">
        <v>3417945896.2399998</v>
      </c>
      <c r="P98" s="21">
        <f t="shared" ref="P98:P104" si="29">(C98+2*SUM(D98:N98)+O98)/24</f>
        <v>3417945896.2399998</v>
      </c>
      <c r="Q98" s="21">
        <f t="shared" ref="Q98:Q114" si="30">AVERAGE(D98:O98)</f>
        <v>3417945896.2399993</v>
      </c>
      <c r="R98" s="9">
        <f>+Q98/P98-1</f>
        <v>0</v>
      </c>
      <c r="W98" s="21">
        <f t="shared" ref="W98:W113" si="31">+P98</f>
        <v>3417945896.2399998</v>
      </c>
      <c r="X98" s="7"/>
      <c r="Y98" s="7"/>
      <c r="Z98" s="7"/>
      <c r="AA98" s="7"/>
      <c r="AB98" s="7"/>
    </row>
    <row r="99" spans="1:28" s="20" customFormat="1">
      <c r="A99" s="20">
        <f t="shared" si="20"/>
        <v>93</v>
      </c>
      <c r="B99" s="17" t="s">
        <v>77</v>
      </c>
      <c r="C99" s="28">
        <v>40733100</v>
      </c>
      <c r="D99" s="28">
        <v>40733100</v>
      </c>
      <c r="E99" s="28">
        <v>40733100</v>
      </c>
      <c r="F99" s="28">
        <v>40733100</v>
      </c>
      <c r="G99" s="28">
        <v>40733100</v>
      </c>
      <c r="H99" s="28">
        <v>40733100</v>
      </c>
      <c r="I99" s="28">
        <v>40733100</v>
      </c>
      <c r="J99" s="28">
        <v>40733100</v>
      </c>
      <c r="K99" s="28">
        <v>40733100</v>
      </c>
      <c r="L99" s="28">
        <v>40733100</v>
      </c>
      <c r="M99" s="28">
        <v>40733100</v>
      </c>
      <c r="N99" s="28">
        <v>40733100</v>
      </c>
      <c r="O99" s="28">
        <v>40733100</v>
      </c>
      <c r="P99" s="21">
        <f t="shared" si="29"/>
        <v>40733100</v>
      </c>
      <c r="Q99" s="21">
        <f t="shared" si="30"/>
        <v>40733100</v>
      </c>
      <c r="R99" s="9">
        <f>+Q99/P99-1</f>
        <v>0</v>
      </c>
      <c r="W99" s="21">
        <f t="shared" si="31"/>
        <v>40733100</v>
      </c>
      <c r="X99" s="7"/>
      <c r="Y99" s="7"/>
      <c r="Z99" s="7"/>
      <c r="AA99" s="7"/>
      <c r="AB99" s="7"/>
    </row>
    <row r="100" spans="1:28" s="20" customFormat="1">
      <c r="A100" s="20">
        <f t="shared" si="20"/>
        <v>94</v>
      </c>
      <c r="B100" s="17" t="s">
        <v>76</v>
      </c>
      <c r="C100" s="28">
        <v>0</v>
      </c>
      <c r="D100" s="28">
        <v>0</v>
      </c>
      <c r="E100" s="28">
        <v>0</v>
      </c>
      <c r="F100" s="28">
        <v>0</v>
      </c>
      <c r="G100" s="28">
        <v>0</v>
      </c>
      <c r="H100" s="28">
        <v>0</v>
      </c>
      <c r="I100" s="28">
        <v>0</v>
      </c>
      <c r="J100" s="28">
        <v>0</v>
      </c>
      <c r="K100" s="28">
        <v>0</v>
      </c>
      <c r="L100" s="28">
        <v>0</v>
      </c>
      <c r="M100" s="28">
        <v>0</v>
      </c>
      <c r="N100" s="28">
        <v>0</v>
      </c>
      <c r="O100" s="28">
        <v>0</v>
      </c>
      <c r="P100" s="21">
        <f t="shared" si="29"/>
        <v>0</v>
      </c>
      <c r="Q100" s="21">
        <f t="shared" si="30"/>
        <v>0</v>
      </c>
      <c r="R100" s="9"/>
      <c r="W100" s="21">
        <f t="shared" si="31"/>
        <v>0</v>
      </c>
      <c r="X100" s="7"/>
      <c r="Y100" s="7"/>
      <c r="Z100" s="7"/>
      <c r="AA100" s="7"/>
      <c r="AB100" s="7"/>
    </row>
    <row r="101" spans="1:28" s="20" customFormat="1">
      <c r="A101" s="20">
        <f t="shared" si="20"/>
        <v>95</v>
      </c>
      <c r="B101" s="17" t="s">
        <v>75</v>
      </c>
      <c r="C101" s="28">
        <v>0</v>
      </c>
      <c r="D101" s="28">
        <v>0</v>
      </c>
      <c r="E101" s="28">
        <v>0</v>
      </c>
      <c r="F101" s="28">
        <v>0</v>
      </c>
      <c r="G101" s="28">
        <v>0</v>
      </c>
      <c r="H101" s="28">
        <v>0</v>
      </c>
      <c r="I101" s="28">
        <v>0</v>
      </c>
      <c r="J101" s="28">
        <v>0</v>
      </c>
      <c r="K101" s="28">
        <v>0</v>
      </c>
      <c r="L101" s="28">
        <v>0</v>
      </c>
      <c r="M101" s="28">
        <v>0</v>
      </c>
      <c r="N101" s="28">
        <v>0</v>
      </c>
      <c r="O101" s="28">
        <v>0</v>
      </c>
      <c r="P101" s="21">
        <f t="shared" si="29"/>
        <v>0</v>
      </c>
      <c r="Q101" s="21">
        <f t="shared" si="30"/>
        <v>0</v>
      </c>
      <c r="R101" s="9"/>
      <c r="W101" s="21">
        <f t="shared" si="31"/>
        <v>0</v>
      </c>
      <c r="X101" s="7"/>
      <c r="Y101" s="7"/>
      <c r="Z101" s="7"/>
      <c r="AA101" s="7"/>
      <c r="AB101" s="7"/>
    </row>
    <row r="102" spans="1:28" s="20" customFormat="1">
      <c r="A102" s="20">
        <f t="shared" si="20"/>
        <v>96</v>
      </c>
      <c r="B102" s="17" t="s">
        <v>74</v>
      </c>
      <c r="C102" s="28">
        <v>0</v>
      </c>
      <c r="D102" s="28">
        <v>0</v>
      </c>
      <c r="E102" s="28">
        <v>0</v>
      </c>
      <c r="F102" s="28">
        <v>0</v>
      </c>
      <c r="G102" s="28">
        <v>0</v>
      </c>
      <c r="H102" s="28">
        <v>0</v>
      </c>
      <c r="I102" s="28">
        <v>0</v>
      </c>
      <c r="J102" s="28">
        <v>0</v>
      </c>
      <c r="K102" s="28">
        <v>0</v>
      </c>
      <c r="L102" s="28">
        <v>0</v>
      </c>
      <c r="M102" s="28">
        <v>0</v>
      </c>
      <c r="N102" s="28">
        <v>0</v>
      </c>
      <c r="O102" s="28">
        <v>0</v>
      </c>
      <c r="P102" s="21">
        <f t="shared" si="29"/>
        <v>0</v>
      </c>
      <c r="Q102" s="21">
        <f t="shared" si="30"/>
        <v>0</v>
      </c>
      <c r="R102" s="9"/>
      <c r="W102" s="21">
        <f t="shared" si="31"/>
        <v>0</v>
      </c>
      <c r="X102" s="7"/>
      <c r="Y102" s="7"/>
      <c r="Z102" s="7"/>
      <c r="AA102" s="7"/>
      <c r="AB102" s="7"/>
    </row>
    <row r="103" spans="1:28" s="20" customFormat="1">
      <c r="A103" s="20">
        <f t="shared" si="20"/>
        <v>97</v>
      </c>
      <c r="B103" s="17" t="s">
        <v>73</v>
      </c>
      <c r="C103" s="28">
        <v>1102229981.23</v>
      </c>
      <c r="D103" s="28">
        <v>1102229981.23</v>
      </c>
      <c r="E103" s="28">
        <v>1102229981.23</v>
      </c>
      <c r="F103" s="28">
        <v>1102229981.23</v>
      </c>
      <c r="G103" s="28">
        <v>1102229981.23</v>
      </c>
      <c r="H103" s="28">
        <v>1102229981.23</v>
      </c>
      <c r="I103" s="28">
        <v>1102229981.23</v>
      </c>
      <c r="J103" s="28">
        <v>1102229981.23</v>
      </c>
      <c r="K103" s="28">
        <v>1102229981.23</v>
      </c>
      <c r="L103" s="28">
        <v>1102229981.23</v>
      </c>
      <c r="M103" s="28">
        <v>1102229981.23</v>
      </c>
      <c r="N103" s="28">
        <v>1102229981.23</v>
      </c>
      <c r="O103" s="28">
        <v>1102229981.23</v>
      </c>
      <c r="P103" s="21">
        <f t="shared" si="29"/>
        <v>1102229981.2299998</v>
      </c>
      <c r="Q103" s="21">
        <f t="shared" si="30"/>
        <v>1102229981.2299998</v>
      </c>
      <c r="R103" s="9">
        <f>+Q103/P103-1</f>
        <v>0</v>
      </c>
      <c r="W103" s="21">
        <f t="shared" si="31"/>
        <v>1102229981.2299998</v>
      </c>
      <c r="X103" s="7"/>
      <c r="Y103" s="7"/>
      <c r="Z103" s="7"/>
      <c r="AA103" s="7"/>
      <c r="AB103" s="7"/>
    </row>
    <row r="104" spans="1:28" s="20" customFormat="1">
      <c r="A104" s="20">
        <f t="shared" si="20"/>
        <v>98</v>
      </c>
      <c r="B104" s="17" t="s">
        <v>72</v>
      </c>
      <c r="C104" s="28">
        <v>0</v>
      </c>
      <c r="D104" s="28">
        <v>0</v>
      </c>
      <c r="E104" s="28">
        <v>0</v>
      </c>
      <c r="F104" s="28">
        <v>0</v>
      </c>
      <c r="G104" s="28">
        <v>0</v>
      </c>
      <c r="H104" s="28">
        <v>0</v>
      </c>
      <c r="I104" s="28">
        <v>0</v>
      </c>
      <c r="J104" s="28">
        <v>0</v>
      </c>
      <c r="K104" s="28">
        <v>0</v>
      </c>
      <c r="L104" s="28">
        <v>0</v>
      </c>
      <c r="M104" s="28">
        <v>0</v>
      </c>
      <c r="N104" s="28">
        <v>0</v>
      </c>
      <c r="O104" s="28">
        <v>0</v>
      </c>
      <c r="P104" s="21">
        <f t="shared" si="29"/>
        <v>0</v>
      </c>
      <c r="Q104" s="21">
        <f t="shared" si="30"/>
        <v>0</v>
      </c>
      <c r="R104" s="9"/>
      <c r="W104" s="21">
        <f t="shared" si="31"/>
        <v>0</v>
      </c>
      <c r="X104" s="7"/>
      <c r="Y104" s="7"/>
      <c r="Z104" s="7"/>
      <c r="AA104" s="7"/>
      <c r="AB104" s="7"/>
    </row>
    <row r="105" spans="1:28" s="20" customFormat="1">
      <c r="A105" s="20">
        <f t="shared" si="20"/>
        <v>99</v>
      </c>
      <c r="B105" s="17" t="s">
        <v>71</v>
      </c>
      <c r="C105" s="28">
        <v>0</v>
      </c>
      <c r="D105" s="28">
        <v>0</v>
      </c>
      <c r="E105" s="28">
        <v>0</v>
      </c>
      <c r="F105" s="28">
        <v>0</v>
      </c>
      <c r="G105" s="28">
        <v>0</v>
      </c>
      <c r="H105" s="28">
        <v>0</v>
      </c>
      <c r="I105" s="28">
        <v>0</v>
      </c>
      <c r="J105" s="28">
        <v>0</v>
      </c>
      <c r="K105" s="28">
        <v>0</v>
      </c>
      <c r="L105" s="28">
        <v>0</v>
      </c>
      <c r="M105" s="28">
        <v>0</v>
      </c>
      <c r="N105" s="28">
        <v>0</v>
      </c>
      <c r="O105" s="28">
        <v>0</v>
      </c>
      <c r="P105" s="21">
        <f>-(C105+2*SUM(D105:N105)+O105)/24</f>
        <v>0</v>
      </c>
      <c r="Q105" s="21">
        <f t="shared" si="30"/>
        <v>0</v>
      </c>
      <c r="R105" s="9"/>
      <c r="W105" s="21">
        <f t="shared" si="31"/>
        <v>0</v>
      </c>
      <c r="X105" s="7"/>
      <c r="Y105" s="7"/>
      <c r="Z105" s="7"/>
      <c r="AA105" s="7"/>
      <c r="AB105" s="7"/>
    </row>
    <row r="106" spans="1:28" s="20" customFormat="1">
      <c r="A106" s="20">
        <f t="shared" si="20"/>
        <v>100</v>
      </c>
      <c r="B106" s="17" t="s">
        <v>70</v>
      </c>
      <c r="C106" s="28">
        <v>41284559.600000001</v>
      </c>
      <c r="D106" s="28">
        <v>41284559.600000001</v>
      </c>
      <c r="E106" s="28">
        <v>41284559.600000001</v>
      </c>
      <c r="F106" s="28">
        <v>41284559.600000001</v>
      </c>
      <c r="G106" s="28">
        <v>41284559.600000001</v>
      </c>
      <c r="H106" s="28">
        <v>41284559.600000001</v>
      </c>
      <c r="I106" s="28">
        <v>41284559.600000001</v>
      </c>
      <c r="J106" s="28">
        <v>41284559.600000001</v>
      </c>
      <c r="K106" s="28">
        <v>41284559.600000001</v>
      </c>
      <c r="L106" s="28">
        <v>41284559.600000001</v>
      </c>
      <c r="M106" s="28">
        <v>41284559.600000001</v>
      </c>
      <c r="N106" s="28">
        <v>41284559.600000001</v>
      </c>
      <c r="O106" s="28">
        <v>41284559.600000001</v>
      </c>
      <c r="P106" s="21">
        <f>-(C106+2*SUM(D106:N106)+O106)/24</f>
        <v>-41284559.600000009</v>
      </c>
      <c r="Q106" s="21">
        <f t="shared" si="30"/>
        <v>41284559.600000009</v>
      </c>
      <c r="R106" s="9">
        <f>+Q106/P106-1</f>
        <v>-2</v>
      </c>
      <c r="W106" s="21">
        <f t="shared" si="31"/>
        <v>-41284559.600000009</v>
      </c>
      <c r="X106" s="7"/>
      <c r="Y106" s="7"/>
      <c r="Z106" s="7"/>
      <c r="AA106" s="7"/>
      <c r="AB106" s="7"/>
    </row>
    <row r="107" spans="1:28" s="20" customFormat="1">
      <c r="A107" s="20">
        <f t="shared" si="20"/>
        <v>101</v>
      </c>
      <c r="B107" s="17" t="s">
        <v>69</v>
      </c>
      <c r="C107" s="28"/>
      <c r="D107" s="28"/>
      <c r="E107" s="28"/>
      <c r="F107" s="28"/>
      <c r="G107" s="28"/>
      <c r="H107" s="28"/>
      <c r="I107" s="28"/>
      <c r="J107" s="28"/>
      <c r="K107" s="28"/>
      <c r="L107" s="28"/>
      <c r="M107" s="28"/>
      <c r="N107" s="28"/>
      <c r="O107" s="28"/>
      <c r="P107" s="21">
        <f>(C107+2*SUM(D107:N107)+O107)/24</f>
        <v>0</v>
      </c>
      <c r="Q107" s="21" t="e">
        <f t="shared" si="30"/>
        <v>#DIV/0!</v>
      </c>
      <c r="R107" s="9"/>
      <c r="W107" s="21">
        <f t="shared" si="31"/>
        <v>0</v>
      </c>
      <c r="X107" s="7"/>
      <c r="Y107" s="7"/>
      <c r="Z107" s="7"/>
      <c r="AA107" s="7"/>
      <c r="AB107" s="7"/>
    </row>
    <row r="108" spans="1:28" s="20" customFormat="1">
      <c r="A108" s="20">
        <f t="shared" si="20"/>
        <v>102</v>
      </c>
      <c r="B108" s="17" t="s">
        <v>68</v>
      </c>
      <c r="C108" s="28"/>
      <c r="D108" s="28"/>
      <c r="E108" s="28"/>
      <c r="F108" s="28"/>
      <c r="G108" s="28"/>
      <c r="H108" s="28"/>
      <c r="I108" s="28"/>
      <c r="J108" s="28"/>
      <c r="K108" s="28"/>
      <c r="L108" s="28"/>
      <c r="M108" s="28"/>
      <c r="N108" s="28"/>
      <c r="O108" s="28"/>
      <c r="P108" s="21">
        <f>(C108+2*SUM(D108:N108)+O108)/24</f>
        <v>0</v>
      </c>
      <c r="Q108" s="21" t="e">
        <f t="shared" si="30"/>
        <v>#DIV/0!</v>
      </c>
      <c r="R108" s="9"/>
      <c r="W108" s="21">
        <f t="shared" si="31"/>
        <v>0</v>
      </c>
      <c r="X108" s="7"/>
      <c r="Y108" s="7"/>
      <c r="Z108" s="7"/>
      <c r="AA108" s="7"/>
      <c r="AB108" s="7"/>
    </row>
    <row r="109" spans="1:28" s="20" customFormat="1">
      <c r="A109" s="20">
        <f t="shared" si="20"/>
        <v>103</v>
      </c>
      <c r="B109" s="17" t="s">
        <v>67</v>
      </c>
      <c r="C109" s="28"/>
      <c r="D109" s="28"/>
      <c r="E109" s="28"/>
      <c r="F109" s="28"/>
      <c r="G109" s="28"/>
      <c r="H109" s="28"/>
      <c r="I109" s="28"/>
      <c r="J109" s="28"/>
      <c r="K109" s="28"/>
      <c r="L109" s="28"/>
      <c r="M109" s="28"/>
      <c r="N109" s="28"/>
      <c r="O109" s="28"/>
      <c r="P109" s="21">
        <f>(C109+2*SUM(D109:N109)+O109)/24</f>
        <v>0</v>
      </c>
      <c r="Q109" s="21" t="e">
        <f t="shared" si="30"/>
        <v>#DIV/0!</v>
      </c>
      <c r="R109" s="9"/>
      <c r="W109" s="21">
        <f t="shared" si="31"/>
        <v>0</v>
      </c>
      <c r="X109" s="7"/>
      <c r="Y109" s="7"/>
      <c r="Z109" s="7"/>
      <c r="AA109" s="7"/>
      <c r="AB109" s="7"/>
    </row>
    <row r="110" spans="1:28" s="20" customFormat="1">
      <c r="A110" s="20">
        <f t="shared" si="20"/>
        <v>104</v>
      </c>
      <c r="B110" s="17" t="s">
        <v>66</v>
      </c>
      <c r="C110" s="28">
        <f>2497602627.69-131513944</f>
        <v>2366088683.6900001</v>
      </c>
      <c r="D110" s="28">
        <f>2575340250.46-133661343</f>
        <v>2441678907.46</v>
      </c>
      <c r="E110" s="28">
        <f>2625629894.3-135784298</f>
        <v>2489845596.3000002</v>
      </c>
      <c r="F110" s="28">
        <f>2666460213.71-136886360</f>
        <v>2529573853.71</v>
      </c>
      <c r="G110" s="28">
        <f>2710116247.7-141177624</f>
        <v>2568938623.6999998</v>
      </c>
      <c r="H110" s="28">
        <f>2751351275.69-146641306</f>
        <v>2604709969.6900001</v>
      </c>
      <c r="I110" s="28">
        <v>2649231265.7000003</v>
      </c>
      <c r="J110" s="28">
        <v>2655174175.4799995</v>
      </c>
      <c r="K110" s="28">
        <v>2697122608.4599996</v>
      </c>
      <c r="L110" s="28">
        <v>2742817321.8299999</v>
      </c>
      <c r="M110" s="28">
        <v>2773194013.0699997</v>
      </c>
      <c r="N110" s="28">
        <v>2823317007.4200001</v>
      </c>
      <c r="O110" s="28">
        <v>2874133189.3899999</v>
      </c>
      <c r="P110" s="21">
        <f>(C110+2*SUM(D110:N110)+O110)/24</f>
        <v>2632976189.9466667</v>
      </c>
      <c r="Q110" s="21">
        <f t="shared" si="30"/>
        <v>2654144711.0174999</v>
      </c>
      <c r="R110" s="9">
        <f>+Q110/P110-1</f>
        <v>8.0397692738960469E-3</v>
      </c>
      <c r="W110" s="21">
        <f t="shared" si="31"/>
        <v>2632976189.9466667</v>
      </c>
      <c r="X110" s="7"/>
      <c r="Y110" s="7"/>
      <c r="Z110" s="7"/>
      <c r="AA110" s="7"/>
      <c r="AB110" s="7"/>
    </row>
    <row r="111" spans="1:28" s="20" customFormat="1">
      <c r="A111" s="20">
        <f t="shared" si="20"/>
        <v>105</v>
      </c>
      <c r="B111" s="17" t="s">
        <v>65</v>
      </c>
      <c r="C111" s="28">
        <f>6021120.21+131513944</f>
        <v>137535064.21000001</v>
      </c>
      <c r="D111" s="28">
        <f>5972439.04+133661343</f>
        <v>139633782.03999999</v>
      </c>
      <c r="E111" s="28">
        <f>5926727.96+135784298</f>
        <v>141711025.96000001</v>
      </c>
      <c r="F111" s="28">
        <f>5863788.39+136886360</f>
        <v>142750148.38999999</v>
      </c>
      <c r="G111" s="28">
        <f>5815453.78+141177624</f>
        <v>146993077.78</v>
      </c>
      <c r="H111" s="28">
        <f>5768388.13+146641306</f>
        <v>152409694.13</v>
      </c>
      <c r="I111" s="28">
        <v>151915641.18000001</v>
      </c>
      <c r="J111" s="28">
        <v>153120440.46000001</v>
      </c>
      <c r="K111" s="28">
        <v>156357865.37</v>
      </c>
      <c r="L111" s="28">
        <v>158352609.31</v>
      </c>
      <c r="M111" s="28">
        <v>157830848.56</v>
      </c>
      <c r="N111" s="28">
        <v>157173071.19999999</v>
      </c>
      <c r="O111" s="28">
        <v>156873370.63999999</v>
      </c>
      <c r="P111" s="21">
        <f>(C111+2*SUM(D111:N111)+O111)/24</f>
        <v>150454368.48374999</v>
      </c>
      <c r="Q111" s="21">
        <f t="shared" si="30"/>
        <v>151260131.25166667</v>
      </c>
      <c r="R111" s="9">
        <f>+Q111/P111-1</f>
        <v>5.3555292281439737E-3</v>
      </c>
      <c r="W111" s="21">
        <f t="shared" si="31"/>
        <v>150454368.48374999</v>
      </c>
      <c r="X111" s="7"/>
      <c r="Y111" s="7"/>
      <c r="Z111" s="7"/>
      <c r="AA111" s="7"/>
      <c r="AB111" s="7"/>
    </row>
    <row r="112" spans="1:28" s="20" customFormat="1">
      <c r="A112" s="20">
        <f t="shared" si="20"/>
        <v>106</v>
      </c>
      <c r="B112" s="17" t="s">
        <v>64</v>
      </c>
      <c r="C112" s="28">
        <v>0</v>
      </c>
      <c r="D112" s="28">
        <v>0</v>
      </c>
      <c r="E112" s="28">
        <v>0</v>
      </c>
      <c r="F112" s="28">
        <v>0</v>
      </c>
      <c r="G112" s="28">
        <v>0</v>
      </c>
      <c r="H112" s="28">
        <v>0</v>
      </c>
      <c r="I112" s="28">
        <v>0</v>
      </c>
      <c r="J112" s="28">
        <v>0</v>
      </c>
      <c r="K112" s="28">
        <v>0</v>
      </c>
      <c r="L112" s="28">
        <v>0</v>
      </c>
      <c r="M112" s="28">
        <v>0</v>
      </c>
      <c r="N112" s="28">
        <v>0</v>
      </c>
      <c r="O112" s="28">
        <v>0</v>
      </c>
      <c r="P112" s="21">
        <f>-(C112+2*SUM(D112:N112)+O112)/24</f>
        <v>0</v>
      </c>
      <c r="Q112" s="21">
        <f t="shared" si="30"/>
        <v>0</v>
      </c>
      <c r="R112" s="9"/>
      <c r="W112" s="21">
        <f t="shared" si="31"/>
        <v>0</v>
      </c>
      <c r="X112" s="7"/>
      <c r="Y112" s="7"/>
      <c r="Z112" s="7"/>
      <c r="AA112" s="7"/>
      <c r="AB112" s="7"/>
    </row>
    <row r="113" spans="1:28" s="20" customFormat="1">
      <c r="A113" s="20">
        <f t="shared" si="20"/>
        <v>107</v>
      </c>
      <c r="B113" s="17" t="s">
        <v>63</v>
      </c>
      <c r="C113" s="28">
        <v>-6854242.9800000004</v>
      </c>
      <c r="D113" s="28">
        <v>-6825326.3099999996</v>
      </c>
      <c r="E113" s="28">
        <v>-6796410.6399999997</v>
      </c>
      <c r="F113" s="28">
        <v>-6800415.9699999997</v>
      </c>
      <c r="G113" s="28">
        <v>-6771499.2999999998</v>
      </c>
      <c r="H113" s="28">
        <v>-6742582.6299999999</v>
      </c>
      <c r="I113" s="28">
        <v>-9055432</v>
      </c>
      <c r="J113" s="28">
        <v>-9012848.6600000001</v>
      </c>
      <c r="K113" s="28">
        <v>-8970265.3200000003</v>
      </c>
      <c r="L113" s="28">
        <v>-8976163.9800000004</v>
      </c>
      <c r="M113" s="28">
        <v>-8933580.6400000006</v>
      </c>
      <c r="N113" s="28">
        <v>-8890997.3000000007</v>
      </c>
      <c r="O113" s="28">
        <v>-8896896.9600000009</v>
      </c>
      <c r="P113" s="21">
        <f>(C113+2*SUM(D113:N113)+O113)/24</f>
        <v>-7970924.3933333335</v>
      </c>
      <c r="Q113" s="21">
        <f t="shared" si="30"/>
        <v>-8056034.975833334</v>
      </c>
      <c r="R113" s="9">
        <f>+Q113/P113-1</f>
        <v>1.0677630134239502E-2</v>
      </c>
      <c r="T113" s="21"/>
      <c r="W113" s="21">
        <f t="shared" si="31"/>
        <v>-7970924.3933333335</v>
      </c>
      <c r="X113" s="7"/>
      <c r="Y113" s="7"/>
      <c r="Z113" s="7"/>
      <c r="AA113" s="7"/>
      <c r="AB113" s="7"/>
    </row>
    <row r="114" spans="1:28" s="20" customFormat="1">
      <c r="A114" s="20">
        <f t="shared" si="20"/>
        <v>108</v>
      </c>
      <c r="B114" s="17" t="s">
        <v>62</v>
      </c>
      <c r="C114" s="28">
        <f>SUM(C98:C104,C110:C111,C113)-SUM(C105,C106,C112)</f>
        <v>7016393922.79</v>
      </c>
      <c r="D114" s="28">
        <f t="shared" ref="D114:O114" si="32">SUM(D98:D104,D110:D111,D113)-SUM(D105,D106,D112)</f>
        <v>7094111781.0599985</v>
      </c>
      <c r="E114" s="28">
        <f t="shared" si="32"/>
        <v>7144384629.4899988</v>
      </c>
      <c r="F114" s="28">
        <f t="shared" si="32"/>
        <v>7185148003.999999</v>
      </c>
      <c r="G114" s="28">
        <f t="shared" si="32"/>
        <v>7228784620.0499983</v>
      </c>
      <c r="H114" s="28">
        <f t="shared" si="32"/>
        <v>7270001499.0599995</v>
      </c>
      <c r="I114" s="28">
        <f t="shared" si="32"/>
        <v>7311715892.75</v>
      </c>
      <c r="J114" s="28">
        <f t="shared" si="32"/>
        <v>7318906185.1499987</v>
      </c>
      <c r="K114" s="28">
        <f t="shared" si="32"/>
        <v>7364134626.3799982</v>
      </c>
      <c r="L114" s="28">
        <f t="shared" si="32"/>
        <v>7411818185.0299997</v>
      </c>
      <c r="M114" s="28">
        <f t="shared" si="32"/>
        <v>7441715698.8599987</v>
      </c>
      <c r="N114" s="28">
        <f t="shared" si="32"/>
        <v>7491223499.1899986</v>
      </c>
      <c r="O114" s="28">
        <f t="shared" si="32"/>
        <v>7541734080.9399986</v>
      </c>
      <c r="P114" s="41">
        <f>SUBTOTAL(9,P98:P113)</f>
        <v>7295084051.9070826</v>
      </c>
      <c r="Q114" s="21">
        <f t="shared" si="30"/>
        <v>7316973225.1633329</v>
      </c>
      <c r="R114" s="9">
        <f>+Q114/P114-1</f>
        <v>3.0005374990200728E-3</v>
      </c>
      <c r="T114" s="41">
        <f>SUBTOTAL(9,T98:T113)</f>
        <v>0</v>
      </c>
      <c r="W114" s="41">
        <f>SUBTOTAL(9,W98:W113)</f>
        <v>7295084051.9070826</v>
      </c>
      <c r="X114" s="7"/>
      <c r="Y114" s="7"/>
      <c r="Z114" s="7"/>
      <c r="AA114" s="7"/>
      <c r="AB114" s="7"/>
    </row>
    <row r="115" spans="1:28" s="20" customFormat="1">
      <c r="A115" s="20">
        <f t="shared" si="20"/>
        <v>109</v>
      </c>
      <c r="B115" s="17"/>
      <c r="C115" s="32"/>
      <c r="D115" s="32"/>
      <c r="E115" s="32"/>
      <c r="F115" s="32"/>
      <c r="G115" s="32"/>
      <c r="H115" s="32"/>
      <c r="I115" s="32"/>
      <c r="J115" s="32"/>
      <c r="K115" s="32"/>
      <c r="L115" s="32"/>
      <c r="M115" s="32"/>
      <c r="N115" s="32"/>
      <c r="O115" s="32"/>
      <c r="P115" s="40"/>
      <c r="Q115" s="21"/>
      <c r="R115" s="9"/>
      <c r="W115" s="40"/>
      <c r="X115" s="7"/>
      <c r="Y115" s="7"/>
      <c r="Z115" s="7"/>
      <c r="AA115" s="7"/>
      <c r="AB115" s="7"/>
    </row>
    <row r="116" spans="1:28" s="20" customFormat="1">
      <c r="A116" s="20">
        <f t="shared" si="20"/>
        <v>110</v>
      </c>
      <c r="B116" s="17" t="s">
        <v>61</v>
      </c>
      <c r="C116" s="47"/>
      <c r="D116" s="47"/>
      <c r="E116" s="47"/>
      <c r="F116" s="47"/>
      <c r="G116" s="47"/>
      <c r="H116" s="47"/>
      <c r="I116" s="47"/>
      <c r="J116" s="47"/>
      <c r="K116" s="47"/>
      <c r="L116" s="47"/>
      <c r="M116" s="47"/>
      <c r="N116" s="47"/>
      <c r="O116" s="47"/>
      <c r="P116" s="21"/>
      <c r="Q116" s="21"/>
      <c r="R116" s="9"/>
      <c r="X116" s="7"/>
      <c r="Y116" s="7"/>
      <c r="Z116" s="7"/>
      <c r="AA116" s="7"/>
      <c r="AB116" s="7"/>
    </row>
    <row r="117" spans="1:28" s="20" customFormat="1">
      <c r="A117" s="20">
        <f t="shared" si="20"/>
        <v>111</v>
      </c>
      <c r="B117" s="17" t="s">
        <v>60</v>
      </c>
      <c r="C117" s="28">
        <v>6757741000</v>
      </c>
      <c r="D117" s="28">
        <v>6757741000</v>
      </c>
      <c r="E117" s="28">
        <v>6749741000</v>
      </c>
      <c r="F117" s="28">
        <v>6684741000</v>
      </c>
      <c r="G117" s="28">
        <v>6674055000</v>
      </c>
      <c r="H117" s="28">
        <v>6174055000</v>
      </c>
      <c r="I117" s="28">
        <v>6171055000</v>
      </c>
      <c r="J117" s="28">
        <v>6818055000</v>
      </c>
      <c r="K117" s="28">
        <v>6815055000</v>
      </c>
      <c r="L117" s="28">
        <v>6831180000</v>
      </c>
      <c r="M117" s="28">
        <v>6831180000</v>
      </c>
      <c r="N117" s="28">
        <v>6831180000</v>
      </c>
      <c r="O117" s="28">
        <v>6831180000</v>
      </c>
      <c r="P117" s="21">
        <f>(C117+2*SUM(D117:N117)+O117)/24</f>
        <v>6677708208.333333</v>
      </c>
      <c r="Q117" s="21">
        <f t="shared" ref="Q117:Q123" si="33">AVERAGE(D117:O117)</f>
        <v>6680768166.666667</v>
      </c>
      <c r="R117" s="9">
        <f>+Q117/P117-1</f>
        <v>4.5823480719264786E-4</v>
      </c>
      <c r="W117" s="21">
        <f t="shared" ref="W117:W122" si="34">+P117</f>
        <v>6677708208.333333</v>
      </c>
      <c r="X117" s="7"/>
      <c r="Y117" s="7"/>
      <c r="Z117" s="7"/>
      <c r="AA117" s="7"/>
      <c r="AB117" s="7"/>
    </row>
    <row r="118" spans="1:28" s="20" customFormat="1">
      <c r="A118" s="20">
        <f t="shared" si="20"/>
        <v>112</v>
      </c>
      <c r="B118" s="17" t="s">
        <v>59</v>
      </c>
      <c r="C118" s="28">
        <v>0</v>
      </c>
      <c r="D118" s="28">
        <v>0</v>
      </c>
      <c r="E118" s="28">
        <v>0</v>
      </c>
      <c r="F118" s="28">
        <v>0</v>
      </c>
      <c r="G118" s="28">
        <v>0</v>
      </c>
      <c r="H118" s="28">
        <v>0</v>
      </c>
      <c r="I118" s="28">
        <v>0</v>
      </c>
      <c r="J118" s="28">
        <v>0</v>
      </c>
      <c r="K118" s="28">
        <v>0</v>
      </c>
      <c r="L118" s="28">
        <v>0</v>
      </c>
      <c r="M118" s="28">
        <v>0</v>
      </c>
      <c r="N118" s="28">
        <v>0</v>
      </c>
      <c r="O118" s="28">
        <v>0</v>
      </c>
      <c r="P118" s="21">
        <f>(C118+2*SUM(D118:N118)+O118)/24</f>
        <v>0</v>
      </c>
      <c r="Q118" s="21">
        <f t="shared" si="33"/>
        <v>0</v>
      </c>
      <c r="R118" s="9"/>
      <c r="W118" s="21">
        <f t="shared" si="34"/>
        <v>0</v>
      </c>
      <c r="X118" s="7"/>
      <c r="Y118" s="7"/>
      <c r="Z118" s="7"/>
      <c r="AA118" s="7"/>
      <c r="AB118" s="7"/>
    </row>
    <row r="119" spans="1:28" s="20" customFormat="1">
      <c r="A119" s="20">
        <f t="shared" si="20"/>
        <v>113</v>
      </c>
      <c r="B119" s="17" t="s">
        <v>58</v>
      </c>
      <c r="C119" s="28">
        <v>0</v>
      </c>
      <c r="D119" s="28">
        <v>0</v>
      </c>
      <c r="E119" s="28">
        <v>0</v>
      </c>
      <c r="F119" s="28">
        <v>0</v>
      </c>
      <c r="G119" s="28">
        <v>0</v>
      </c>
      <c r="H119" s="28">
        <v>0</v>
      </c>
      <c r="I119" s="28">
        <v>0</v>
      </c>
      <c r="J119" s="28">
        <v>0</v>
      </c>
      <c r="K119" s="28">
        <v>0</v>
      </c>
      <c r="L119" s="28">
        <v>0</v>
      </c>
      <c r="M119" s="28">
        <v>0</v>
      </c>
      <c r="N119" s="28">
        <v>0</v>
      </c>
      <c r="O119" s="28">
        <v>0</v>
      </c>
      <c r="P119" s="21">
        <f>(C119+2*SUM(D119:N119)+O119)/24</f>
        <v>0</v>
      </c>
      <c r="Q119" s="21">
        <f t="shared" si="33"/>
        <v>0</v>
      </c>
      <c r="R119" s="9"/>
      <c r="W119" s="21">
        <f t="shared" si="34"/>
        <v>0</v>
      </c>
      <c r="X119" s="7"/>
      <c r="Y119" s="7"/>
      <c r="Z119" s="7"/>
      <c r="AA119" s="7"/>
      <c r="AB119" s="7"/>
    </row>
    <row r="120" spans="1:28" s="20" customFormat="1">
      <c r="A120" s="20">
        <f t="shared" si="20"/>
        <v>114</v>
      </c>
      <c r="B120" s="17" t="s">
        <v>57</v>
      </c>
      <c r="C120" s="28">
        <v>0</v>
      </c>
      <c r="D120" s="28">
        <v>0</v>
      </c>
      <c r="E120" s="28">
        <v>0</v>
      </c>
      <c r="F120" s="28">
        <v>0</v>
      </c>
      <c r="G120" s="28">
        <v>0</v>
      </c>
      <c r="H120" s="28">
        <v>0</v>
      </c>
      <c r="I120" s="28">
        <v>0</v>
      </c>
      <c r="J120" s="28">
        <v>0</v>
      </c>
      <c r="K120" s="28">
        <v>0</v>
      </c>
      <c r="L120" s="28">
        <v>0</v>
      </c>
      <c r="M120" s="28">
        <v>0</v>
      </c>
      <c r="N120" s="28">
        <v>0</v>
      </c>
      <c r="O120" s="28">
        <v>0</v>
      </c>
      <c r="P120" s="21">
        <f>(C120+2*SUM(D120:N120)+O120)/24</f>
        <v>0</v>
      </c>
      <c r="Q120" s="21">
        <f t="shared" si="33"/>
        <v>0</v>
      </c>
      <c r="R120" s="9"/>
      <c r="W120" s="21">
        <f t="shared" si="34"/>
        <v>0</v>
      </c>
      <c r="X120" s="7"/>
      <c r="Y120" s="7"/>
      <c r="Z120" s="7"/>
      <c r="AA120" s="7"/>
      <c r="AB120" s="7"/>
    </row>
    <row r="121" spans="1:28" s="20" customFormat="1">
      <c r="A121" s="20">
        <f t="shared" si="20"/>
        <v>115</v>
      </c>
      <c r="B121" s="17" t="s">
        <v>56</v>
      </c>
      <c r="C121" s="28">
        <v>31485.58</v>
      </c>
      <c r="D121" s="28">
        <v>31259.07</v>
      </c>
      <c r="E121" s="28">
        <v>31032.55</v>
      </c>
      <c r="F121" s="28">
        <v>30806.04</v>
      </c>
      <c r="G121" s="28">
        <v>30579.52</v>
      </c>
      <c r="H121" s="28">
        <v>30353.01</v>
      </c>
      <c r="I121" s="28">
        <v>30126.49</v>
      </c>
      <c r="J121" s="28">
        <v>29899.98</v>
      </c>
      <c r="K121" s="28">
        <v>29673.46</v>
      </c>
      <c r="L121" s="28">
        <v>110446.95</v>
      </c>
      <c r="M121" s="28">
        <v>109528.12</v>
      </c>
      <c r="N121" s="28">
        <v>108609.3</v>
      </c>
      <c r="O121" s="28">
        <v>107690.47</v>
      </c>
      <c r="P121" s="21">
        <f>(C121+2*SUM(D121:N121)+O121)/24</f>
        <v>53491.876250000001</v>
      </c>
      <c r="Q121" s="21">
        <f t="shared" si="33"/>
        <v>56667.079999999994</v>
      </c>
      <c r="R121" s="9">
        <f>+Q121/P121-1</f>
        <v>5.9358616159963073E-2</v>
      </c>
      <c r="W121" s="21">
        <f t="shared" si="34"/>
        <v>53491.876250000001</v>
      </c>
      <c r="X121" s="7"/>
      <c r="Y121" s="7"/>
      <c r="Z121" s="7"/>
      <c r="AA121" s="7"/>
      <c r="AB121" s="7"/>
    </row>
    <row r="122" spans="1:28" s="20" customFormat="1">
      <c r="A122" s="20">
        <f t="shared" si="20"/>
        <v>116</v>
      </c>
      <c r="B122" s="17" t="s">
        <v>55</v>
      </c>
      <c r="C122" s="28">
        <v>14596709.640000001</v>
      </c>
      <c r="D122" s="28">
        <v>14504488.890000001</v>
      </c>
      <c r="E122" s="28">
        <v>14412268.15</v>
      </c>
      <c r="F122" s="28">
        <v>14320047.4</v>
      </c>
      <c r="G122" s="28">
        <v>14227826.66</v>
      </c>
      <c r="H122" s="28">
        <v>14150064.25</v>
      </c>
      <c r="I122" s="28">
        <v>14072301.85</v>
      </c>
      <c r="J122" s="28">
        <v>15284231.09</v>
      </c>
      <c r="K122" s="28">
        <v>15201160.35</v>
      </c>
      <c r="L122" s="28">
        <v>14802705.6</v>
      </c>
      <c r="M122" s="28">
        <v>14721746.73</v>
      </c>
      <c r="N122" s="28">
        <v>14640787.869999999</v>
      </c>
      <c r="O122" s="28">
        <v>14559829</v>
      </c>
      <c r="P122" s="21">
        <f>-(C122+2*SUM(D122:N122)+O122)/24</f>
        <v>-14576324.846666664</v>
      </c>
      <c r="Q122" s="21">
        <f t="shared" si="33"/>
        <v>14574788.153333331</v>
      </c>
      <c r="R122" s="9">
        <f>+Q122/P122-1</f>
        <v>-1.9998945760780238</v>
      </c>
      <c r="W122" s="21">
        <f t="shared" si="34"/>
        <v>-14576324.846666664</v>
      </c>
      <c r="X122" s="7"/>
      <c r="Y122" s="7"/>
      <c r="Z122" s="7"/>
      <c r="AA122" s="7"/>
      <c r="AB122" s="7"/>
    </row>
    <row r="123" spans="1:28" s="20" customFormat="1">
      <c r="A123" s="20">
        <f t="shared" si="20"/>
        <v>117</v>
      </c>
      <c r="B123" s="17" t="s">
        <v>54</v>
      </c>
      <c r="C123" s="28">
        <f t="shared" ref="C123:O123" si="35">SUM(C117,C119:C121)-SUM(C118,C122)</f>
        <v>6743175775.9399996</v>
      </c>
      <c r="D123" s="28">
        <f t="shared" si="35"/>
        <v>6743267770.1799994</v>
      </c>
      <c r="E123" s="28">
        <f t="shared" si="35"/>
        <v>6735359764.4000006</v>
      </c>
      <c r="F123" s="28">
        <f t="shared" si="35"/>
        <v>6670451758.6400003</v>
      </c>
      <c r="G123" s="28">
        <f t="shared" si="35"/>
        <v>6659857752.8600006</v>
      </c>
      <c r="H123" s="28">
        <f t="shared" si="35"/>
        <v>6159935288.7600002</v>
      </c>
      <c r="I123" s="28">
        <f t="shared" si="35"/>
        <v>6157012824.6399994</v>
      </c>
      <c r="J123" s="28">
        <f t="shared" si="35"/>
        <v>6802800668.8899994</v>
      </c>
      <c r="K123" s="28">
        <f t="shared" si="35"/>
        <v>6799883513.1099997</v>
      </c>
      <c r="L123" s="28">
        <f t="shared" si="35"/>
        <v>6816487741.3499994</v>
      </c>
      <c r="M123" s="28">
        <f t="shared" si="35"/>
        <v>6816567781.3900003</v>
      </c>
      <c r="N123" s="28">
        <f t="shared" si="35"/>
        <v>6816647821.4300003</v>
      </c>
      <c r="O123" s="28">
        <f t="shared" si="35"/>
        <v>6816727861.4700003</v>
      </c>
      <c r="P123" s="41">
        <f>SUBTOTAL(9,P117:P122)</f>
        <v>6663185375.3629169</v>
      </c>
      <c r="Q123" s="21">
        <f t="shared" si="33"/>
        <v>6666250045.5933332</v>
      </c>
      <c r="R123" s="9">
        <f>+Q123/P123-1</f>
        <v>4.5994071270305525E-4</v>
      </c>
      <c r="T123" s="41">
        <f>SUBTOTAL(9,T117:T122)</f>
        <v>0</v>
      </c>
      <c r="W123" s="41">
        <f>SUBTOTAL(9,W117:W122)</f>
        <v>6663185375.3629169</v>
      </c>
      <c r="X123" s="7"/>
      <c r="Y123" s="7"/>
      <c r="Z123" s="7"/>
      <c r="AA123" s="7"/>
      <c r="AB123" s="7"/>
    </row>
    <row r="124" spans="1:28" s="20" customFormat="1">
      <c r="A124" s="20">
        <f t="shared" si="20"/>
        <v>118</v>
      </c>
      <c r="B124" s="17"/>
      <c r="C124" s="32"/>
      <c r="D124" s="32"/>
      <c r="E124" s="32"/>
      <c r="F124" s="32"/>
      <c r="G124" s="32"/>
      <c r="H124" s="32"/>
      <c r="I124" s="32"/>
      <c r="J124" s="32"/>
      <c r="K124" s="32"/>
      <c r="L124" s="32"/>
      <c r="M124" s="32"/>
      <c r="N124" s="32"/>
      <c r="O124" s="32"/>
      <c r="P124" s="40"/>
      <c r="Q124" s="21"/>
      <c r="R124" s="9"/>
      <c r="W124" s="40"/>
      <c r="X124" s="7"/>
      <c r="Y124" s="7"/>
      <c r="Z124" s="7"/>
      <c r="AA124" s="7"/>
      <c r="AB124" s="7"/>
    </row>
    <row r="125" spans="1:28" s="20" customFormat="1">
      <c r="A125" s="20">
        <f t="shared" si="20"/>
        <v>119</v>
      </c>
      <c r="B125" s="17" t="s">
        <v>53</v>
      </c>
      <c r="C125" s="47"/>
      <c r="D125" s="47"/>
      <c r="E125" s="47"/>
      <c r="F125" s="47"/>
      <c r="G125" s="47"/>
      <c r="H125" s="47"/>
      <c r="I125" s="47"/>
      <c r="J125" s="47"/>
      <c r="K125" s="47"/>
      <c r="L125" s="47"/>
      <c r="M125" s="47"/>
      <c r="N125" s="47"/>
      <c r="O125" s="47"/>
      <c r="P125" s="21"/>
      <c r="Q125" s="21"/>
      <c r="R125" s="9"/>
      <c r="X125" s="7"/>
      <c r="Y125" s="7"/>
      <c r="Z125" s="7"/>
      <c r="AA125" s="7"/>
      <c r="AB125" s="7"/>
    </row>
    <row r="126" spans="1:28" s="20" customFormat="1">
      <c r="A126" s="20">
        <f t="shared" si="20"/>
        <v>120</v>
      </c>
      <c r="B126" s="17" t="s">
        <v>52</v>
      </c>
      <c r="C126" s="28">
        <v>55279101.810000002</v>
      </c>
      <c r="D126" s="28">
        <v>55224369.43</v>
      </c>
      <c r="E126" s="28">
        <v>55168825.109999999</v>
      </c>
      <c r="F126" s="28">
        <v>54941005.439999998</v>
      </c>
      <c r="G126" s="28">
        <v>54036338.119999997</v>
      </c>
      <c r="H126" s="28">
        <v>53970518.43</v>
      </c>
      <c r="I126" s="28">
        <v>53732331.350000001</v>
      </c>
      <c r="J126" s="28">
        <v>53663077.649999999</v>
      </c>
      <c r="K126" s="28">
        <v>53167526.93</v>
      </c>
      <c r="L126" s="28">
        <v>52495953.149999999</v>
      </c>
      <c r="M126" s="28">
        <v>52200262</v>
      </c>
      <c r="N126" s="28">
        <v>51761525.850000001</v>
      </c>
      <c r="O126" s="28">
        <v>51147667.280000001</v>
      </c>
      <c r="P126" s="21">
        <f t="shared" ref="P126:P134" si="36">(C126+2*SUM(D126:N126)+O126)/24</f>
        <v>53631259.833749987</v>
      </c>
      <c r="Q126" s="21">
        <f t="shared" ref="Q126:Q135" si="37">AVERAGE(D126:O126)</f>
        <v>53459116.728333324</v>
      </c>
      <c r="R126" s="9">
        <f>+Q126/P126-1</f>
        <v>-3.2097531542291113E-3</v>
      </c>
      <c r="V126" s="21"/>
      <c r="W126" s="21">
        <f>+P126</f>
        <v>53631259.833749987</v>
      </c>
      <c r="X126" s="7"/>
      <c r="Y126" s="7"/>
      <c r="Z126" s="7"/>
      <c r="AA126" s="7"/>
      <c r="AB126" s="7"/>
    </row>
    <row r="127" spans="1:28" s="20" customFormat="1">
      <c r="A127" s="20">
        <f t="shared" si="20"/>
        <v>121</v>
      </c>
      <c r="B127" s="17" t="s">
        <v>51</v>
      </c>
      <c r="C127" s="28">
        <v>0</v>
      </c>
      <c r="D127" s="28">
        <v>0</v>
      </c>
      <c r="E127" s="28">
        <v>0</v>
      </c>
      <c r="F127" s="28">
        <v>0</v>
      </c>
      <c r="G127" s="28">
        <v>0</v>
      </c>
      <c r="H127" s="28">
        <v>0</v>
      </c>
      <c r="I127" s="28">
        <v>0</v>
      </c>
      <c r="J127" s="28">
        <v>0</v>
      </c>
      <c r="K127" s="28">
        <v>0</v>
      </c>
      <c r="L127" s="28">
        <v>0</v>
      </c>
      <c r="M127" s="28">
        <v>0</v>
      </c>
      <c r="N127" s="28">
        <v>0</v>
      </c>
      <c r="O127" s="28">
        <v>0</v>
      </c>
      <c r="P127" s="21">
        <f t="shared" si="36"/>
        <v>0</v>
      </c>
      <c r="Q127" s="21">
        <f t="shared" si="37"/>
        <v>0</v>
      </c>
      <c r="R127" s="9"/>
      <c r="V127" s="21">
        <f>-P127</f>
        <v>0</v>
      </c>
      <c r="W127" s="21"/>
      <c r="X127" s="7"/>
      <c r="Y127" s="7"/>
      <c r="Z127" s="7"/>
      <c r="AA127" s="7"/>
      <c r="AB127" s="7"/>
    </row>
    <row r="128" spans="1:28" s="20" customFormat="1">
      <c r="A128" s="20">
        <f t="shared" si="20"/>
        <v>122</v>
      </c>
      <c r="B128" s="17" t="s">
        <v>50</v>
      </c>
      <c r="C128" s="28">
        <v>6485000</v>
      </c>
      <c r="D128" s="28">
        <v>7832000</v>
      </c>
      <c r="E128" s="28">
        <v>7790500</v>
      </c>
      <c r="F128" s="28">
        <v>7098500</v>
      </c>
      <c r="G128" s="28">
        <v>7137500</v>
      </c>
      <c r="H128" s="28">
        <v>6238000</v>
      </c>
      <c r="I128" s="28">
        <v>5468000</v>
      </c>
      <c r="J128" s="28">
        <v>4928000</v>
      </c>
      <c r="K128" s="28">
        <v>4787000</v>
      </c>
      <c r="L128" s="28">
        <v>6382000</v>
      </c>
      <c r="M128" s="28">
        <v>6311500</v>
      </c>
      <c r="N128" s="28">
        <v>6306500</v>
      </c>
      <c r="O128" s="28">
        <v>12639000</v>
      </c>
      <c r="P128" s="21">
        <f t="shared" si="36"/>
        <v>6653458.333333333</v>
      </c>
      <c r="Q128" s="21">
        <f t="shared" si="37"/>
        <v>6909875</v>
      </c>
      <c r="R128" s="9">
        <f>+Q128/P128-1</f>
        <v>3.8538855106680092E-2</v>
      </c>
      <c r="T128" s="21"/>
      <c r="U128" s="21"/>
      <c r="V128" s="21">
        <f>-P128</f>
        <v>-6653458.333333333</v>
      </c>
      <c r="W128" s="21"/>
      <c r="X128" s="7">
        <f>+[4]Report!$K$2644</f>
        <v>-455561.04037006554</v>
      </c>
      <c r="Y128" s="7">
        <f>+[4]Report!$J$2644</f>
        <v>-6197897.2929632645</v>
      </c>
      <c r="Z128" s="7">
        <f>-P128-X128-Y128</f>
        <v>0</v>
      </c>
      <c r="AA128" s="7">
        <f>+Z128+Y128+X128</f>
        <v>-6653458.3333333302</v>
      </c>
      <c r="AB128" s="7"/>
    </row>
    <row r="129" spans="1:28" s="20" customFormat="1">
      <c r="A129" s="20">
        <f t="shared" si="20"/>
        <v>123</v>
      </c>
      <c r="B129" s="17" t="s">
        <v>48</v>
      </c>
      <c r="C129" s="28">
        <f>440039605.66-8605654</f>
        <v>431433951.66000003</v>
      </c>
      <c r="D129" s="28">
        <f>432808214.33-8605606</f>
        <v>424202608.32999998</v>
      </c>
      <c r="E129" s="28">
        <f>424350299.21-8605606</f>
        <v>415744693.20999998</v>
      </c>
      <c r="F129" s="28">
        <f>417673627.48-8109069</f>
        <v>409564558.48000002</v>
      </c>
      <c r="G129" s="28">
        <f>418031960.61-8109069</f>
        <v>409922891.61000001</v>
      </c>
      <c r="H129" s="28">
        <v>412947643.81999999</v>
      </c>
      <c r="I129" s="28">
        <v>580877622.84000003</v>
      </c>
      <c r="J129" s="28">
        <v>580774842.45000005</v>
      </c>
      <c r="K129" s="28">
        <v>575824860.84000003</v>
      </c>
      <c r="L129" s="28">
        <v>567777957.41999996</v>
      </c>
      <c r="M129" s="28">
        <v>561561403.12</v>
      </c>
      <c r="N129" s="28">
        <v>554743819.07000005</v>
      </c>
      <c r="O129" s="28">
        <v>545632591.19000006</v>
      </c>
      <c r="P129" s="21">
        <f t="shared" si="36"/>
        <v>498539681.05124998</v>
      </c>
      <c r="Q129" s="21">
        <f t="shared" si="37"/>
        <v>503297957.69833326</v>
      </c>
      <c r="R129" s="9">
        <f>+Q129/P129-1</f>
        <v>9.5444291155515337E-3</v>
      </c>
      <c r="U129" s="21">
        <f>-'GL balances'!C78</f>
        <v>412957520.69708329</v>
      </c>
      <c r="V129" s="21">
        <f>-P129+U129</f>
        <v>-85582160.354166687</v>
      </c>
      <c r="W129" s="21"/>
      <c r="X129" s="7">
        <f>+[4]Report!$K$2645+[4]Report!$K$2646</f>
        <v>-232739.14412963449</v>
      </c>
      <c r="Y129" s="7">
        <f>+[4]Report!$J$2645+[4]Report!$J$2646</f>
        <v>-3166410.6092036958</v>
      </c>
      <c r="Z129" s="7">
        <f>V129-X129-Y129</f>
        <v>-82183010.600833356</v>
      </c>
      <c r="AA129" s="7">
        <f t="shared" ref="AA129:AA134" si="38">+Z129+X129+Y129</f>
        <v>-85582160.354166687</v>
      </c>
      <c r="AB129" s="7"/>
    </row>
    <row r="130" spans="1:28" s="20" customFormat="1">
      <c r="A130" s="20">
        <f t="shared" si="20"/>
        <v>124</v>
      </c>
      <c r="B130" s="17" t="s">
        <v>47</v>
      </c>
      <c r="C130" s="28">
        <v>38008577.960000001</v>
      </c>
      <c r="D130" s="28">
        <v>38103419.869999997</v>
      </c>
      <c r="E130" s="28">
        <v>37971820.359999999</v>
      </c>
      <c r="F130" s="28">
        <v>37995795.159999996</v>
      </c>
      <c r="G130" s="28">
        <v>38130572.100000001</v>
      </c>
      <c r="H130" s="28">
        <v>38250278.979999997</v>
      </c>
      <c r="I130" s="28">
        <v>38369540.359999999</v>
      </c>
      <c r="J130" s="28">
        <v>37907645.170000002</v>
      </c>
      <c r="K130" s="28">
        <v>38123222.170000002</v>
      </c>
      <c r="L130" s="28">
        <v>38267720.960000001</v>
      </c>
      <c r="M130" s="28">
        <v>38246722.609999999</v>
      </c>
      <c r="N130" s="28">
        <v>38373196.240000002</v>
      </c>
      <c r="O130" s="28">
        <v>38258246.969999999</v>
      </c>
      <c r="P130" s="21">
        <f t="shared" si="36"/>
        <v>38156112.203750007</v>
      </c>
      <c r="Q130" s="21">
        <f t="shared" si="37"/>
        <v>38166515.079166673</v>
      </c>
      <c r="R130" s="9">
        <f>+Q130/P130-1</f>
        <v>2.7263981616143518E-4</v>
      </c>
      <c r="U130" s="21"/>
      <c r="V130" s="21">
        <f>-P130</f>
        <v>-38156112.203750007</v>
      </c>
      <c r="W130" s="21"/>
      <c r="X130" s="7">
        <f>+[4]Report!$K$2653+[4]Report!$K$2656</f>
        <v>-335802.44440276822</v>
      </c>
      <c r="Y130" s="7">
        <f>+[4]Report!$J$2653+[4]Report!$J$2656</f>
        <v>-1148309.5097638918</v>
      </c>
      <c r="Z130" s="7">
        <f>-P130-X130-Y130</f>
        <v>-36672000.249583349</v>
      </c>
      <c r="AA130" s="7">
        <f t="shared" si="38"/>
        <v>-38156112.203750007</v>
      </c>
      <c r="AB130" s="7"/>
    </row>
    <row r="131" spans="1:28" s="20" customFormat="1">
      <c r="A131" s="20">
        <f t="shared" si="20"/>
        <v>125</v>
      </c>
      <c r="B131" s="17" t="s">
        <v>46</v>
      </c>
      <c r="C131" s="28">
        <v>0</v>
      </c>
      <c r="D131" s="28">
        <v>0</v>
      </c>
      <c r="E131" s="28">
        <v>0</v>
      </c>
      <c r="F131" s="28">
        <v>0</v>
      </c>
      <c r="G131" s="28">
        <v>0</v>
      </c>
      <c r="H131" s="28">
        <v>0</v>
      </c>
      <c r="I131" s="28">
        <v>0</v>
      </c>
      <c r="J131" s="28">
        <v>295320.40000000002</v>
      </c>
      <c r="K131" s="28">
        <v>603043.47</v>
      </c>
      <c r="L131" s="28">
        <v>1034114.64</v>
      </c>
      <c r="M131" s="28">
        <v>1596285.26</v>
      </c>
      <c r="N131" s="28">
        <v>1514157.85</v>
      </c>
      <c r="O131" s="28">
        <v>2070370.49</v>
      </c>
      <c r="P131" s="21">
        <f t="shared" si="36"/>
        <v>506508.9054166667</v>
      </c>
      <c r="Q131" s="21">
        <f t="shared" si="37"/>
        <v>592774.34250000003</v>
      </c>
      <c r="R131" s="9"/>
      <c r="V131" s="21">
        <f>-P131</f>
        <v>-506508.9054166667</v>
      </c>
      <c r="W131" s="21"/>
      <c r="X131" s="7"/>
      <c r="Y131" s="7"/>
      <c r="Z131" s="7">
        <f>-P131-X131-Y131</f>
        <v>-506508.9054166667</v>
      </c>
      <c r="AA131" s="7">
        <f t="shared" si="38"/>
        <v>-506508.9054166667</v>
      </c>
      <c r="AB131" s="7"/>
    </row>
    <row r="132" spans="1:28" s="20" customFormat="1">
      <c r="A132" s="20">
        <f t="shared" si="20"/>
        <v>126</v>
      </c>
      <c r="B132" s="17" t="s">
        <v>45</v>
      </c>
      <c r="C132" s="28">
        <v>304885084.47000003</v>
      </c>
      <c r="D132" s="28">
        <v>305572526.47000003</v>
      </c>
      <c r="E132" s="28">
        <v>276732229.47000003</v>
      </c>
      <c r="F132" s="28">
        <v>265989975</v>
      </c>
      <c r="G132" s="28">
        <v>234844947</v>
      </c>
      <c r="H132" s="28">
        <v>231435370</v>
      </c>
      <c r="I132" s="28">
        <v>66449954</v>
      </c>
      <c r="J132" s="28">
        <v>66104295</v>
      </c>
      <c r="K132" s="28">
        <v>56996587.560000002</v>
      </c>
      <c r="L132" s="28">
        <v>97761532.900000006</v>
      </c>
      <c r="M132" s="28">
        <v>46504412.530000001</v>
      </c>
      <c r="N132" s="28">
        <v>53823002.57</v>
      </c>
      <c r="O132" s="28">
        <v>48165171.43</v>
      </c>
      <c r="P132" s="21">
        <f t="shared" si="36"/>
        <v>156561663.37083334</v>
      </c>
      <c r="Q132" s="21">
        <f t="shared" si="37"/>
        <v>145865000.32750002</v>
      </c>
      <c r="R132" s="9">
        <f>+Q132/P132-1</f>
        <v>-6.832236457527352E-2</v>
      </c>
      <c r="U132" s="21"/>
      <c r="V132" s="143">
        <f>-P132</f>
        <v>-156561663.37083334</v>
      </c>
      <c r="W132" s="21"/>
      <c r="X132" s="7"/>
      <c r="Y132" s="7"/>
      <c r="Z132" s="7">
        <f>V132-X132-Y132</f>
        <v>-156561663.37083334</v>
      </c>
      <c r="AA132" s="7">
        <f t="shared" si="38"/>
        <v>-156561663.37083334</v>
      </c>
      <c r="AB132" s="7"/>
    </row>
    <row r="133" spans="1:28" s="20" customFormat="1">
      <c r="A133" s="20">
        <f t="shared" si="20"/>
        <v>127</v>
      </c>
      <c r="B133" s="17" t="s">
        <v>44</v>
      </c>
      <c r="C133" s="28">
        <v>0</v>
      </c>
      <c r="D133" s="28">
        <v>0</v>
      </c>
      <c r="E133" s="28">
        <v>0</v>
      </c>
      <c r="F133" s="28">
        <v>0</v>
      </c>
      <c r="G133" s="28">
        <v>0</v>
      </c>
      <c r="H133" s="28">
        <v>0</v>
      </c>
      <c r="I133" s="28">
        <v>0</v>
      </c>
      <c r="J133" s="28">
        <v>0</v>
      </c>
      <c r="K133" s="28">
        <v>0</v>
      </c>
      <c r="L133" s="28">
        <v>0</v>
      </c>
      <c r="M133" s="28">
        <v>0</v>
      </c>
      <c r="N133" s="28">
        <v>0</v>
      </c>
      <c r="O133" s="28">
        <v>0</v>
      </c>
      <c r="P133" s="21">
        <f t="shared" si="36"/>
        <v>0</v>
      </c>
      <c r="Q133" s="21">
        <f t="shared" si="37"/>
        <v>0</v>
      </c>
      <c r="R133" s="9"/>
      <c r="W133" s="21"/>
      <c r="X133" s="7"/>
      <c r="Y133" s="7"/>
      <c r="Z133" s="7"/>
      <c r="AA133" s="7">
        <f t="shared" si="38"/>
        <v>0</v>
      </c>
      <c r="AB133" s="7"/>
    </row>
    <row r="134" spans="1:28" s="20" customFormat="1">
      <c r="A134" s="20">
        <f t="shared" si="20"/>
        <v>128</v>
      </c>
      <c r="B134" s="17" t="s">
        <v>43</v>
      </c>
      <c r="C134" s="28">
        <v>131612876.81</v>
      </c>
      <c r="D134" s="28">
        <v>131645398.25</v>
      </c>
      <c r="E134" s="28">
        <v>131645193.11</v>
      </c>
      <c r="F134" s="28">
        <v>125852740.73999999</v>
      </c>
      <c r="G134" s="28">
        <v>125832556.42</v>
      </c>
      <c r="H134" s="28">
        <v>125803113.87</v>
      </c>
      <c r="I134" s="28">
        <v>123312478.81999999</v>
      </c>
      <c r="J134" s="28">
        <v>123287773.90000001</v>
      </c>
      <c r="K134" s="28">
        <v>123278086.69</v>
      </c>
      <c r="L134" s="28">
        <v>133651626.56999999</v>
      </c>
      <c r="M134" s="28">
        <v>133616731.84</v>
      </c>
      <c r="N134" s="28">
        <v>133621788.91</v>
      </c>
      <c r="O134" s="28">
        <v>127837665</v>
      </c>
      <c r="P134" s="21">
        <f t="shared" si="36"/>
        <v>128439396.66874999</v>
      </c>
      <c r="Q134" s="21">
        <f t="shared" si="37"/>
        <v>128282096.17666666</v>
      </c>
      <c r="R134" s="9">
        <f>+Q134/P134-1</f>
        <v>-1.2247059404133509E-3</v>
      </c>
      <c r="V134" s="21">
        <f>-P134</f>
        <v>-128439396.66874999</v>
      </c>
      <c r="W134" s="21"/>
      <c r="X134" s="7">
        <f>+[4]Report!$K$2604+[4]Report!$K$2605+[4]Report!$K$2606</f>
        <v>0</v>
      </c>
      <c r="Y134" s="7">
        <f>+[4]Report!$J$2604+[4]Report!$J$2605+[4]Report!$J$2606</f>
        <v>-2849851.2324999939</v>
      </c>
      <c r="Z134" s="7">
        <f>-P134-X134-Y134</f>
        <v>-125589545.43625</v>
      </c>
      <c r="AA134" s="7">
        <f t="shared" si="38"/>
        <v>-128439396.66874999</v>
      </c>
      <c r="AB134" s="7"/>
    </row>
    <row r="135" spans="1:28" s="20" customFormat="1">
      <c r="A135" s="20">
        <f t="shared" si="20"/>
        <v>129</v>
      </c>
      <c r="B135" s="17" t="s">
        <v>42</v>
      </c>
      <c r="C135" s="28">
        <f t="shared" ref="C135:O135" si="39">SUM(C126:C134)</f>
        <v>967704592.71000004</v>
      </c>
      <c r="D135" s="28">
        <f t="shared" si="39"/>
        <v>962580322.35000002</v>
      </c>
      <c r="E135" s="28">
        <f t="shared" si="39"/>
        <v>925053261.26000011</v>
      </c>
      <c r="F135" s="28">
        <f t="shared" si="39"/>
        <v>901442574.82000005</v>
      </c>
      <c r="G135" s="28">
        <f t="shared" si="39"/>
        <v>869904805.25</v>
      </c>
      <c r="H135" s="28">
        <f t="shared" si="39"/>
        <v>868644925.10000002</v>
      </c>
      <c r="I135" s="28">
        <f t="shared" si="39"/>
        <v>868209927.37000012</v>
      </c>
      <c r="J135" s="28">
        <f t="shared" si="39"/>
        <v>866960954.56999993</v>
      </c>
      <c r="K135" s="28">
        <f t="shared" si="39"/>
        <v>852780327.66000009</v>
      </c>
      <c r="L135" s="28">
        <f t="shared" si="39"/>
        <v>897370905.63999987</v>
      </c>
      <c r="M135" s="28">
        <f t="shared" si="39"/>
        <v>840037317.36000001</v>
      </c>
      <c r="N135" s="28">
        <f t="shared" si="39"/>
        <v>840143990.49000013</v>
      </c>
      <c r="O135" s="28">
        <f t="shared" si="39"/>
        <v>825750712.36000001</v>
      </c>
      <c r="P135" s="41">
        <f>SUBTOTAL(9,P126:P134)</f>
        <v>882488080.36708331</v>
      </c>
      <c r="Q135" s="21">
        <f t="shared" si="37"/>
        <v>876573335.35250008</v>
      </c>
      <c r="R135" s="9">
        <f>+Q135/P135-1</f>
        <v>-6.7023511661742363E-3</v>
      </c>
      <c r="S135" s="274"/>
      <c r="T135" s="41">
        <f t="shared" ref="T135:Z135" si="40">SUBTOTAL(9,T126:T134)</f>
        <v>0</v>
      </c>
      <c r="U135" s="41">
        <f t="shared" si="40"/>
        <v>412957520.69708329</v>
      </c>
      <c r="V135" s="41">
        <f t="shared" si="40"/>
        <v>-415899299.83625001</v>
      </c>
      <c r="W135" s="41">
        <f t="shared" si="40"/>
        <v>53631259.833749987</v>
      </c>
      <c r="X135" s="41">
        <f t="shared" si="40"/>
        <v>-1024102.6289024684</v>
      </c>
      <c r="Y135" s="41">
        <f t="shared" si="40"/>
        <v>-13362468.644430846</v>
      </c>
      <c r="Z135" s="41">
        <f t="shared" si="40"/>
        <v>-401512728.56291676</v>
      </c>
      <c r="AA135" s="7"/>
      <c r="AB135" s="7"/>
    </row>
    <row r="136" spans="1:28" s="20" customFormat="1">
      <c r="A136" s="20">
        <f t="shared" ref="A136:A182" si="41">+A135+1</f>
        <v>130</v>
      </c>
      <c r="B136" s="17"/>
      <c r="C136" s="32"/>
      <c r="D136" s="32"/>
      <c r="E136" s="32"/>
      <c r="F136" s="32"/>
      <c r="G136" s="32"/>
      <c r="H136" s="32"/>
      <c r="I136" s="32"/>
      <c r="J136" s="32"/>
      <c r="K136" s="32"/>
      <c r="L136" s="32"/>
      <c r="M136" s="32"/>
      <c r="N136" s="32"/>
      <c r="O136" s="32"/>
      <c r="P136" s="40"/>
      <c r="Q136" s="21"/>
      <c r="R136" s="9"/>
      <c r="S136" s="274"/>
      <c r="U136" s="40"/>
      <c r="V136" s="40"/>
      <c r="W136" s="40"/>
      <c r="X136" s="40"/>
      <c r="Y136" s="40"/>
      <c r="Z136" s="40"/>
      <c r="AA136" s="7"/>
      <c r="AB136" s="7"/>
    </row>
    <row r="137" spans="1:28" s="20" customFormat="1">
      <c r="A137" s="20">
        <f t="shared" si="41"/>
        <v>131</v>
      </c>
      <c r="B137" s="17" t="s">
        <v>41</v>
      </c>
      <c r="C137" s="47"/>
      <c r="D137" s="47"/>
      <c r="E137" s="47"/>
      <c r="F137" s="47"/>
      <c r="G137" s="47"/>
      <c r="H137" s="47"/>
      <c r="I137" s="47"/>
      <c r="J137" s="47"/>
      <c r="K137" s="47"/>
      <c r="L137" s="47"/>
      <c r="M137" s="47"/>
      <c r="N137" s="47"/>
      <c r="O137" s="47"/>
      <c r="P137" s="21"/>
      <c r="Q137" s="21"/>
      <c r="R137" s="9"/>
      <c r="X137" s="7"/>
      <c r="Y137" s="7"/>
      <c r="Z137" s="7"/>
      <c r="AA137" s="7"/>
      <c r="AB137" s="7"/>
    </row>
    <row r="138" spans="1:28" s="20" customFormat="1">
      <c r="A138" s="20">
        <f t="shared" si="41"/>
        <v>132</v>
      </c>
      <c r="B138" s="17" t="s">
        <v>40</v>
      </c>
      <c r="C138" s="28">
        <v>0</v>
      </c>
      <c r="D138" s="28">
        <v>0</v>
      </c>
      <c r="E138" s="28">
        <v>0</v>
      </c>
      <c r="F138" s="28">
        <v>0</v>
      </c>
      <c r="G138" s="28">
        <v>0</v>
      </c>
      <c r="H138" s="28">
        <v>490450000</v>
      </c>
      <c r="I138" s="28">
        <v>688527000</v>
      </c>
      <c r="J138" s="28">
        <v>127000000</v>
      </c>
      <c r="K138" s="28">
        <v>147000000</v>
      </c>
      <c r="L138" s="28">
        <v>0</v>
      </c>
      <c r="M138" s="28">
        <v>0</v>
      </c>
      <c r="N138" s="28">
        <v>0</v>
      </c>
      <c r="O138" s="28">
        <v>0</v>
      </c>
      <c r="P138" s="21">
        <f t="shared" ref="P138:P151" si="42">(C138+2*SUM(D138:N138)+O138)/24</f>
        <v>121081416.66666667</v>
      </c>
      <c r="Q138" s="21">
        <f t="shared" ref="Q138:Q155" si="43">AVERAGE(D138:O138)</f>
        <v>121081416.66666667</v>
      </c>
      <c r="R138" s="9">
        <f>+Q138/P138-1</f>
        <v>0</v>
      </c>
      <c r="U138" s="21"/>
      <c r="W138" s="21">
        <f>+P138</f>
        <v>121081416.66666667</v>
      </c>
      <c r="X138" s="7"/>
      <c r="Y138" s="7"/>
      <c r="Z138" s="7"/>
      <c r="AA138" s="7"/>
      <c r="AB138" s="7"/>
    </row>
    <row r="139" spans="1:28" s="20" customFormat="1">
      <c r="A139" s="20">
        <f t="shared" si="41"/>
        <v>133</v>
      </c>
      <c r="B139" s="17" t="s">
        <v>39</v>
      </c>
      <c r="C139" s="28">
        <f>516820593.08-34956156</f>
        <v>481864437.07999998</v>
      </c>
      <c r="D139" s="28">
        <f>500876986.23-15019830</f>
        <v>485857156.23000002</v>
      </c>
      <c r="E139" s="28">
        <f>518593801.99-14319405</f>
        <v>504274396.99000001</v>
      </c>
      <c r="F139" s="28">
        <f>507407718.77-14742985</f>
        <v>492664733.76999998</v>
      </c>
      <c r="G139" s="28">
        <f>541431841.24-13901260</f>
        <v>527530581.24000001</v>
      </c>
      <c r="H139" s="28">
        <f>608528911.49-15154474</f>
        <v>593374437.49000001</v>
      </c>
      <c r="I139" s="28">
        <v>536085456.56</v>
      </c>
      <c r="J139" s="28">
        <v>467119435.20999998</v>
      </c>
      <c r="K139" s="28">
        <v>455641723.52999997</v>
      </c>
      <c r="L139" s="28">
        <v>459333800.83999997</v>
      </c>
      <c r="M139" s="28">
        <v>485257067.61000001</v>
      </c>
      <c r="N139" s="28">
        <v>467790961.01999998</v>
      </c>
      <c r="O139" s="28">
        <v>496365317.94999999</v>
      </c>
      <c r="P139" s="21">
        <f t="shared" si="42"/>
        <v>497003719.0004167</v>
      </c>
      <c r="Q139" s="21">
        <f t="shared" si="43"/>
        <v>497607922.36999995</v>
      </c>
      <c r="R139" s="9">
        <f>+Q139/P139-1</f>
        <v>1.2156918479371281E-3</v>
      </c>
      <c r="U139" s="21">
        <f>P139</f>
        <v>497003719.0004167</v>
      </c>
      <c r="X139" s="7"/>
      <c r="Y139" s="7"/>
      <c r="Z139" s="7"/>
      <c r="AA139" s="7"/>
      <c r="AB139" s="7"/>
    </row>
    <row r="140" spans="1:28" s="20" customFormat="1">
      <c r="A140" s="20">
        <f t="shared" si="41"/>
        <v>134</v>
      </c>
      <c r="B140" s="17" t="s">
        <v>38</v>
      </c>
      <c r="C140" s="28">
        <f>0+474</f>
        <v>474</v>
      </c>
      <c r="D140" s="28">
        <v>608611</v>
      </c>
      <c r="E140" s="28">
        <v>0</v>
      </c>
      <c r="F140" s="28">
        <v>0</v>
      </c>
      <c r="G140" s="28">
        <v>0</v>
      </c>
      <c r="H140" s="28">
        <v>0</v>
      </c>
      <c r="I140" s="28">
        <v>0</v>
      </c>
      <c r="J140" s="28">
        <v>0</v>
      </c>
      <c r="K140" s="28">
        <v>0</v>
      </c>
      <c r="L140" s="28">
        <v>2824601.92</v>
      </c>
      <c r="M140" s="28">
        <v>6230941.1299999999</v>
      </c>
      <c r="N140" s="28">
        <v>60.57</v>
      </c>
      <c r="O140" s="28">
        <v>0</v>
      </c>
      <c r="P140" s="21">
        <f t="shared" si="42"/>
        <v>805370.96833333338</v>
      </c>
      <c r="Q140" s="21">
        <f t="shared" si="43"/>
        <v>805351.21833333338</v>
      </c>
      <c r="R140" s="9"/>
      <c r="U140" s="21">
        <f>P140</f>
        <v>805370.96833333338</v>
      </c>
      <c r="X140" s="7"/>
      <c r="Y140" s="7"/>
      <c r="Z140" s="7"/>
      <c r="AA140" s="7"/>
      <c r="AB140" s="7"/>
    </row>
    <row r="141" spans="1:28" s="20" customFormat="1">
      <c r="A141" s="20">
        <f t="shared" si="41"/>
        <v>135</v>
      </c>
      <c r="B141" s="17" t="s">
        <v>37</v>
      </c>
      <c r="C141" s="28">
        <f>11642508.35+17665924</f>
        <v>29308432.350000001</v>
      </c>
      <c r="D141" s="28">
        <f>11550566.73+17522120</f>
        <v>29072686.73</v>
      </c>
      <c r="E141" s="28">
        <f>14471844.85+18698375</f>
        <v>33170219.850000001</v>
      </c>
      <c r="F141" s="28">
        <f>16068646.08+18179512</f>
        <v>34248158.079999998</v>
      </c>
      <c r="G141" s="28">
        <f>17124910.22+16195543</f>
        <v>33320453.219999999</v>
      </c>
      <c r="H141" s="28">
        <f>28795237.47+9026064</f>
        <v>37821301.469999999</v>
      </c>
      <c r="I141" s="28">
        <v>56292853.049999997</v>
      </c>
      <c r="J141" s="28">
        <v>43188298.380000003</v>
      </c>
      <c r="K141" s="28">
        <v>47694991.780000001</v>
      </c>
      <c r="L141" s="28">
        <v>43035774.039999999</v>
      </c>
      <c r="M141" s="28">
        <v>34011947.329999998</v>
      </c>
      <c r="N141" s="28">
        <v>41588128.890000001</v>
      </c>
      <c r="O141" s="28">
        <v>42418384.43</v>
      </c>
      <c r="P141" s="21">
        <f t="shared" si="42"/>
        <v>39109018.434166662</v>
      </c>
      <c r="Q141" s="21">
        <f t="shared" si="43"/>
        <v>39655266.437499993</v>
      </c>
      <c r="R141" s="9">
        <f>+Q141/P141-1</f>
        <v>1.396731560146014E-2</v>
      </c>
      <c r="U141" s="21">
        <f>P141</f>
        <v>39109018.434166662</v>
      </c>
      <c r="X141" s="7"/>
      <c r="Y141" s="7"/>
      <c r="Z141" s="7"/>
      <c r="AA141" s="7"/>
      <c r="AB141" s="7"/>
    </row>
    <row r="142" spans="1:28" s="20" customFormat="1">
      <c r="A142" s="20">
        <f t="shared" si="41"/>
        <v>136</v>
      </c>
      <c r="B142" s="17" t="s">
        <v>36</v>
      </c>
      <c r="C142" s="28">
        <v>39824509.030000001</v>
      </c>
      <c r="D142" s="28">
        <v>39582160.539999999</v>
      </c>
      <c r="E142" s="28">
        <v>33199883.780000001</v>
      </c>
      <c r="F142" s="28">
        <v>34065611.759999998</v>
      </c>
      <c r="G142" s="28">
        <v>34487124.149999999</v>
      </c>
      <c r="H142" s="28">
        <v>35532162.280000001</v>
      </c>
      <c r="I142" s="28">
        <v>36226196.130000003</v>
      </c>
      <c r="J142" s="28">
        <v>35766162.469999999</v>
      </c>
      <c r="K142" s="28">
        <v>40437477.060000002</v>
      </c>
      <c r="L142" s="28">
        <v>40369835.450000003</v>
      </c>
      <c r="M142" s="28">
        <v>40493663.700000003</v>
      </c>
      <c r="N142" s="28">
        <v>38801054.170000002</v>
      </c>
      <c r="O142" s="28">
        <v>38942057.060000002</v>
      </c>
      <c r="P142" s="21">
        <f t="shared" si="42"/>
        <v>37362051.21125</v>
      </c>
      <c r="Q142" s="21">
        <f t="shared" si="43"/>
        <v>37325282.379166663</v>
      </c>
      <c r="R142" s="9">
        <f>+Q142/P142-1</f>
        <v>-9.8412241542733536E-4</v>
      </c>
      <c r="U142" s="21"/>
      <c r="V142" s="21">
        <f>-P142</f>
        <v>-37362051.21125</v>
      </c>
      <c r="X142" s="7">
        <f>+[4]Report!$K$2641</f>
        <v>0</v>
      </c>
      <c r="Y142" s="7">
        <f>+V142-X142</f>
        <v>-37362051.21125</v>
      </c>
      <c r="Z142" s="7"/>
      <c r="AA142" s="7">
        <f>+Z142+X142+Y142</f>
        <v>-37362051.21125</v>
      </c>
      <c r="AB142" s="7"/>
    </row>
    <row r="143" spans="1:28" s="20" customFormat="1">
      <c r="A143" s="20">
        <f t="shared" si="41"/>
        <v>137</v>
      </c>
      <c r="B143" s="17" t="s">
        <v>35</v>
      </c>
      <c r="C143" s="28">
        <f>81617797.54-369471</f>
        <v>81248326.540000007</v>
      </c>
      <c r="D143" s="28">
        <f>91234409.65-296325</f>
        <v>90938084.650000006</v>
      </c>
      <c r="E143" s="28">
        <f>95401692.29-231295</f>
        <v>95170397.290000007</v>
      </c>
      <c r="F143" s="28">
        <f>105082128.32-203838</f>
        <v>104878290.31999999</v>
      </c>
      <c r="G143" s="28">
        <f>119120255.66-284474</f>
        <v>118835781.66</v>
      </c>
      <c r="H143" s="28">
        <f>70722676.45-289853</f>
        <v>70432823.450000003</v>
      </c>
      <c r="I143" s="28">
        <v>52714616.009999998</v>
      </c>
      <c r="J143" s="28">
        <v>63058908.640000001</v>
      </c>
      <c r="K143" s="28">
        <v>71691134.200000003</v>
      </c>
      <c r="L143" s="28">
        <v>82362258.150000006</v>
      </c>
      <c r="M143" s="28">
        <v>138745483.88999999</v>
      </c>
      <c r="N143" s="28">
        <v>153964516.59999999</v>
      </c>
      <c r="O143" s="28">
        <v>132284949.61</v>
      </c>
      <c r="P143" s="21">
        <f t="shared" si="42"/>
        <v>95796577.744583353</v>
      </c>
      <c r="Q143" s="21">
        <f t="shared" si="43"/>
        <v>97923103.705833331</v>
      </c>
      <c r="R143" s="9">
        <f>+Q143/P143-1</f>
        <v>2.2198349996591871E-2</v>
      </c>
      <c r="U143" s="21">
        <f t="shared" ref="U143:U148" si="44">P143</f>
        <v>95796577.744583353</v>
      </c>
      <c r="X143" s="7"/>
      <c r="Y143" s="7"/>
      <c r="Z143" s="7"/>
      <c r="AA143" s="7"/>
      <c r="AB143" s="7"/>
    </row>
    <row r="144" spans="1:28" s="20" customFormat="1">
      <c r="A144" s="20">
        <f t="shared" si="41"/>
        <v>138</v>
      </c>
      <c r="B144" s="17" t="s">
        <v>34</v>
      </c>
      <c r="C144" s="28">
        <v>119203634.2</v>
      </c>
      <c r="D144" s="28">
        <v>94126392.680000007</v>
      </c>
      <c r="E144" s="28">
        <v>103156320.31</v>
      </c>
      <c r="F144" s="28">
        <v>117321691.42</v>
      </c>
      <c r="G144" s="28">
        <v>104544853.05</v>
      </c>
      <c r="H144" s="28">
        <v>102756355.98999999</v>
      </c>
      <c r="I144" s="28">
        <v>110248092.42</v>
      </c>
      <c r="J144" s="28">
        <v>82811952.469999999</v>
      </c>
      <c r="K144" s="28">
        <v>91261280.459999993</v>
      </c>
      <c r="L144" s="28">
        <v>99700928.230000004</v>
      </c>
      <c r="M144" s="28">
        <v>85762718.159999996</v>
      </c>
      <c r="N144" s="28">
        <v>103195492.08</v>
      </c>
      <c r="O144" s="28">
        <v>118683899.73999999</v>
      </c>
      <c r="P144" s="21">
        <f t="shared" si="42"/>
        <v>101152487.01999998</v>
      </c>
      <c r="Q144" s="21">
        <f t="shared" si="43"/>
        <v>101130831.4175</v>
      </c>
      <c r="R144" s="9">
        <f>+Q144/P144-1</f>
        <v>-2.1408868074290766E-4</v>
      </c>
      <c r="U144" s="21">
        <f t="shared" si="44"/>
        <v>101152487.01999998</v>
      </c>
      <c r="X144" s="7"/>
      <c r="Y144" s="7"/>
      <c r="Z144" s="7"/>
      <c r="AA144" s="7"/>
      <c r="AB144" s="7"/>
    </row>
    <row r="145" spans="1:28" s="20" customFormat="1">
      <c r="A145" s="20">
        <f t="shared" si="41"/>
        <v>139</v>
      </c>
      <c r="B145" s="17" t="s">
        <v>33</v>
      </c>
      <c r="C145" s="28">
        <v>512461.71</v>
      </c>
      <c r="D145" s="28">
        <v>512461.71</v>
      </c>
      <c r="E145" s="28">
        <v>0</v>
      </c>
      <c r="F145" s="28">
        <v>512461.71</v>
      </c>
      <c r="G145" s="28">
        <v>512461.71</v>
      </c>
      <c r="H145" s="28">
        <v>0</v>
      </c>
      <c r="I145" s="28">
        <v>512461.71</v>
      </c>
      <c r="J145" s="28">
        <v>50512461.710000001</v>
      </c>
      <c r="K145" s="28">
        <v>0</v>
      </c>
      <c r="L145" s="28">
        <v>512461.71</v>
      </c>
      <c r="M145" s="28">
        <v>512461.71</v>
      </c>
      <c r="N145" s="28">
        <v>0</v>
      </c>
      <c r="O145" s="28">
        <v>512461.71</v>
      </c>
      <c r="P145" s="21">
        <f t="shared" si="42"/>
        <v>4508307.8066666666</v>
      </c>
      <c r="Q145" s="21">
        <f t="shared" si="43"/>
        <v>4508307.8066666676</v>
      </c>
      <c r="R145" s="9">
        <f>+Q145/P145-1</f>
        <v>0</v>
      </c>
      <c r="U145" s="21">
        <f t="shared" si="44"/>
        <v>4508307.8066666666</v>
      </c>
      <c r="X145" s="7"/>
      <c r="Y145" s="7"/>
      <c r="Z145" s="7"/>
      <c r="AA145" s="7"/>
      <c r="AB145" s="7"/>
    </row>
    <row r="146" spans="1:28" s="20" customFormat="1">
      <c r="A146" s="20">
        <f t="shared" si="41"/>
        <v>140</v>
      </c>
      <c r="B146" s="17" t="s">
        <v>32</v>
      </c>
      <c r="C146" s="28">
        <v>0</v>
      </c>
      <c r="D146" s="28">
        <v>0</v>
      </c>
      <c r="E146" s="28">
        <v>0</v>
      </c>
      <c r="F146" s="28">
        <v>0</v>
      </c>
      <c r="G146" s="28">
        <v>0</v>
      </c>
      <c r="H146" s="28">
        <v>0</v>
      </c>
      <c r="I146" s="28">
        <v>0</v>
      </c>
      <c r="J146" s="28">
        <v>0</v>
      </c>
      <c r="K146" s="28">
        <v>0</v>
      </c>
      <c r="L146" s="28">
        <v>0</v>
      </c>
      <c r="M146" s="28">
        <v>0</v>
      </c>
      <c r="N146" s="28">
        <v>0</v>
      </c>
      <c r="O146" s="28">
        <v>0</v>
      </c>
      <c r="P146" s="21">
        <f t="shared" si="42"/>
        <v>0</v>
      </c>
      <c r="Q146" s="21">
        <f t="shared" si="43"/>
        <v>0</v>
      </c>
      <c r="R146" s="9"/>
      <c r="U146" s="21">
        <f t="shared" si="44"/>
        <v>0</v>
      </c>
      <c r="X146" s="7"/>
      <c r="Y146" s="7"/>
      <c r="Z146" s="7"/>
      <c r="AA146" s="7"/>
      <c r="AB146" s="7"/>
    </row>
    <row r="147" spans="1:28" s="20" customFormat="1">
      <c r="A147" s="20">
        <f t="shared" si="41"/>
        <v>141</v>
      </c>
      <c r="B147" s="17" t="s">
        <v>31</v>
      </c>
      <c r="C147" s="28">
        <v>0</v>
      </c>
      <c r="D147" s="28">
        <v>0</v>
      </c>
      <c r="E147" s="28">
        <v>0</v>
      </c>
      <c r="F147" s="28">
        <v>0</v>
      </c>
      <c r="G147" s="28">
        <v>0</v>
      </c>
      <c r="H147" s="28">
        <v>0</v>
      </c>
      <c r="I147" s="28">
        <v>0</v>
      </c>
      <c r="J147" s="28">
        <v>0</v>
      </c>
      <c r="K147" s="28">
        <v>0</v>
      </c>
      <c r="L147" s="28">
        <v>0</v>
      </c>
      <c r="M147" s="28">
        <v>0</v>
      </c>
      <c r="N147" s="28">
        <v>0</v>
      </c>
      <c r="O147" s="28">
        <v>0</v>
      </c>
      <c r="P147" s="21">
        <f t="shared" si="42"/>
        <v>0</v>
      </c>
      <c r="Q147" s="21">
        <f t="shared" si="43"/>
        <v>0</v>
      </c>
      <c r="R147" s="9"/>
      <c r="U147" s="21">
        <f t="shared" si="44"/>
        <v>0</v>
      </c>
      <c r="X147" s="7"/>
      <c r="Y147" s="7"/>
      <c r="Z147" s="7"/>
      <c r="AA147" s="7"/>
      <c r="AB147" s="7"/>
    </row>
    <row r="148" spans="1:28" s="20" customFormat="1">
      <c r="A148" s="20">
        <f t="shared" si="41"/>
        <v>142</v>
      </c>
      <c r="B148" s="17" t="s">
        <v>30</v>
      </c>
      <c r="C148" s="28">
        <f>14719750.47-108245</f>
        <v>14611505.470000001</v>
      </c>
      <c r="D148" s="28">
        <f>21845441.69-71312</f>
        <v>21774129.690000001</v>
      </c>
      <c r="E148" s="28">
        <f>18420743.08-121540</f>
        <v>18299203.079999998</v>
      </c>
      <c r="F148" s="28">
        <f>19135579.83-110195</f>
        <v>19025384.829999998</v>
      </c>
      <c r="G148" s="28">
        <f>14610277.28-75121</f>
        <v>14535156.279999999</v>
      </c>
      <c r="H148" s="28">
        <f>14421153.4-92031</f>
        <v>14329122.4</v>
      </c>
      <c r="I148" s="28">
        <v>17536762.48</v>
      </c>
      <c r="J148" s="28">
        <v>16042329.640000001</v>
      </c>
      <c r="K148" s="28">
        <v>15050204.59</v>
      </c>
      <c r="L148" s="28">
        <v>15035674.880000001</v>
      </c>
      <c r="M148" s="28">
        <v>13871574.300000001</v>
      </c>
      <c r="N148" s="28">
        <v>14088392.65</v>
      </c>
      <c r="O148" s="28">
        <v>16723760.449999999</v>
      </c>
      <c r="P148" s="21">
        <f t="shared" si="42"/>
        <v>16271297.315000003</v>
      </c>
      <c r="Q148" s="21">
        <f t="shared" si="43"/>
        <v>16359307.939166667</v>
      </c>
      <c r="R148" s="9">
        <f t="shared" ref="R148:R153" si="45">+Q148/P148-1</f>
        <v>5.4089494195113108E-3</v>
      </c>
      <c r="U148" s="21">
        <f t="shared" si="44"/>
        <v>16271297.315000003</v>
      </c>
      <c r="X148" s="7"/>
      <c r="Y148" s="7"/>
      <c r="Z148" s="7"/>
      <c r="AA148" s="7"/>
      <c r="AB148" s="7"/>
    </row>
    <row r="149" spans="1:28" s="20" customFormat="1">
      <c r="A149" s="20">
        <f t="shared" si="41"/>
        <v>143</v>
      </c>
      <c r="B149" s="17" t="s">
        <v>29</v>
      </c>
      <c r="C149" s="28">
        <f>67710908.53-2496995</f>
        <v>65213913.530000001</v>
      </c>
      <c r="D149" s="28">
        <f>67284894.85-2506883</f>
        <v>64778011.849999994</v>
      </c>
      <c r="E149" s="28">
        <f>63488041.36-2370634</f>
        <v>61117407.359999999</v>
      </c>
      <c r="F149" s="28">
        <f>58095716.95-2358707</f>
        <v>55737009.950000003</v>
      </c>
      <c r="G149" s="28">
        <f>54773437.49-2359626</f>
        <v>52413811.490000002</v>
      </c>
      <c r="H149" s="28">
        <f>54403006.25-2370091</f>
        <v>52032915.25</v>
      </c>
      <c r="I149" s="28">
        <v>78951245.810000002</v>
      </c>
      <c r="J149" s="28">
        <v>81538322.709999993</v>
      </c>
      <c r="K149" s="28">
        <v>69562469.989999995</v>
      </c>
      <c r="L149" s="28">
        <v>68741350.620000005</v>
      </c>
      <c r="M149" s="28">
        <v>68543556.959999993</v>
      </c>
      <c r="N149" s="28">
        <v>67958094.010000005</v>
      </c>
      <c r="O149" s="28">
        <v>67616791.670000002</v>
      </c>
      <c r="P149" s="21">
        <f t="shared" si="42"/>
        <v>65649129.050000004</v>
      </c>
      <c r="Q149" s="21">
        <f t="shared" si="43"/>
        <v>65749248.972499996</v>
      </c>
      <c r="R149" s="9">
        <f t="shared" si="45"/>
        <v>1.5250761731162576E-3</v>
      </c>
      <c r="U149" s="21">
        <f>P149+V149</f>
        <v>53957855.836666673</v>
      </c>
      <c r="V149" s="143">
        <f>'GL balances'!F41</f>
        <v>-11691273.213333333</v>
      </c>
      <c r="X149" s="7"/>
      <c r="Y149" s="7"/>
      <c r="Z149" s="7">
        <f>V149-X149-Y149</f>
        <v>-11691273.213333333</v>
      </c>
      <c r="AA149" s="7">
        <f>+Z149+X149+Y149</f>
        <v>-11691273.213333333</v>
      </c>
      <c r="AB149" s="7"/>
    </row>
    <row r="150" spans="1:28" s="20" customFormat="1">
      <c r="A150" s="20">
        <f t="shared" si="41"/>
        <v>144</v>
      </c>
      <c r="B150" s="17" t="s">
        <v>28</v>
      </c>
      <c r="C150" s="28">
        <v>1286632.18</v>
      </c>
      <c r="D150" s="28">
        <v>1278648.73</v>
      </c>
      <c r="E150" s="28">
        <v>1270611.5</v>
      </c>
      <c r="F150" s="28">
        <v>1262520.1599999999</v>
      </c>
      <c r="G150" s="28">
        <v>2100248.34</v>
      </c>
      <c r="H150" s="28">
        <v>2128082.85</v>
      </c>
      <c r="I150" s="28">
        <v>2156200.56</v>
      </c>
      <c r="J150" s="28">
        <v>2184604.35</v>
      </c>
      <c r="K150" s="28">
        <v>2638642.0099999998</v>
      </c>
      <c r="L150" s="28">
        <v>3096577.72</v>
      </c>
      <c r="M150" s="28">
        <v>3347809.02</v>
      </c>
      <c r="N150" s="28">
        <v>3741380.42</v>
      </c>
      <c r="O150" s="28">
        <v>4131434.35</v>
      </c>
      <c r="P150" s="21">
        <f t="shared" si="42"/>
        <v>2326196.5770833329</v>
      </c>
      <c r="Q150" s="21">
        <f t="shared" si="43"/>
        <v>2444730.000833333</v>
      </c>
      <c r="R150" s="9">
        <f t="shared" si="45"/>
        <v>5.0955892944620107E-2</v>
      </c>
      <c r="U150" s="21"/>
      <c r="V150" s="21"/>
      <c r="W150" s="21">
        <f>+P150</f>
        <v>2326196.5770833329</v>
      </c>
      <c r="X150" s="7"/>
      <c r="Y150" s="7"/>
      <c r="Z150" s="7"/>
      <c r="AA150" s="7"/>
      <c r="AB150" s="7"/>
    </row>
    <row r="151" spans="1:28" s="20" customFormat="1">
      <c r="A151" s="20">
        <f t="shared" si="41"/>
        <v>145</v>
      </c>
      <c r="B151" s="17" t="s">
        <v>27</v>
      </c>
      <c r="C151" s="28">
        <v>378700189.68000001</v>
      </c>
      <c r="D151" s="28">
        <v>388552876.14999998</v>
      </c>
      <c r="E151" s="28">
        <v>360089284.14999998</v>
      </c>
      <c r="F151" s="28">
        <v>378131040</v>
      </c>
      <c r="G151" s="28">
        <v>345158767</v>
      </c>
      <c r="H151" s="28">
        <v>341809031</v>
      </c>
      <c r="I151" s="28">
        <v>156054864</v>
      </c>
      <c r="J151" s="28">
        <v>158391844</v>
      </c>
      <c r="K151" s="28">
        <v>143858301.63999999</v>
      </c>
      <c r="L151" s="28">
        <v>265947143.75999999</v>
      </c>
      <c r="M151" s="28">
        <v>142686546.13</v>
      </c>
      <c r="N151" s="28">
        <v>132338151.11</v>
      </c>
      <c r="O151" s="28">
        <v>119811148.5</v>
      </c>
      <c r="P151" s="21">
        <f t="shared" si="42"/>
        <v>255189459.83583334</v>
      </c>
      <c r="Q151" s="21">
        <f t="shared" si="43"/>
        <v>244402416.45333335</v>
      </c>
      <c r="R151" s="9">
        <f t="shared" si="45"/>
        <v>-4.2270724619423716E-2</v>
      </c>
      <c r="U151" s="21"/>
      <c r="V151" s="143">
        <f>-P151</f>
        <v>-255189459.83583334</v>
      </c>
      <c r="W151" s="21"/>
      <c r="X151" s="7"/>
      <c r="Y151" s="7"/>
      <c r="Z151" s="7">
        <f>V151-X151-Y151</f>
        <v>-255189459.83583334</v>
      </c>
      <c r="AA151" s="7">
        <f>+Z151+X151+Y151</f>
        <v>-255189459.83583334</v>
      </c>
      <c r="AB151" s="7"/>
    </row>
    <row r="152" spans="1:28" s="20" customFormat="1">
      <c r="A152" s="20">
        <f t="shared" si="41"/>
        <v>146</v>
      </c>
      <c r="B152" s="17" t="s">
        <v>26</v>
      </c>
      <c r="C152" s="28">
        <v>304885084.47000003</v>
      </c>
      <c r="D152" s="28">
        <v>305572526.47000003</v>
      </c>
      <c r="E152" s="28">
        <v>276732229.47000003</v>
      </c>
      <c r="F152" s="28">
        <v>265989975</v>
      </c>
      <c r="G152" s="28">
        <v>234844947</v>
      </c>
      <c r="H152" s="28">
        <v>231435370</v>
      </c>
      <c r="I152" s="28">
        <v>66449954</v>
      </c>
      <c r="J152" s="28">
        <v>66104295</v>
      </c>
      <c r="K152" s="28">
        <v>56996587.560000002</v>
      </c>
      <c r="L152" s="28">
        <v>97761532.900000006</v>
      </c>
      <c r="M152" s="28">
        <v>46504412.530000001</v>
      </c>
      <c r="N152" s="28">
        <v>53823002.57</v>
      </c>
      <c r="O152" s="28">
        <v>48165171.43</v>
      </c>
      <c r="P152" s="21">
        <f>-(C152+2*SUM(D152:N152)+O152)/24</f>
        <v>-156561663.37083334</v>
      </c>
      <c r="Q152" s="21">
        <f t="shared" si="43"/>
        <v>145865000.32750002</v>
      </c>
      <c r="R152" s="9">
        <f t="shared" si="45"/>
        <v>-1.9316776354247265</v>
      </c>
      <c r="U152" s="21"/>
      <c r="V152" s="21">
        <f>-P152</f>
        <v>156561663.37083334</v>
      </c>
      <c r="W152" s="21"/>
      <c r="X152" s="7"/>
      <c r="Y152" s="7"/>
      <c r="Z152" s="7">
        <f>V152-X152-Y152</f>
        <v>156561663.37083334</v>
      </c>
      <c r="AA152" s="7">
        <f>+Z152+X152+Y152</f>
        <v>156561663.37083334</v>
      </c>
      <c r="AB152" s="7"/>
    </row>
    <row r="153" spans="1:28" s="20" customFormat="1">
      <c r="A153" s="20">
        <f t="shared" si="41"/>
        <v>147</v>
      </c>
      <c r="B153" s="17" t="s">
        <v>25</v>
      </c>
      <c r="C153" s="28">
        <v>0</v>
      </c>
      <c r="D153" s="28">
        <v>0</v>
      </c>
      <c r="E153" s="28">
        <v>0</v>
      </c>
      <c r="F153" s="28">
        <v>0</v>
      </c>
      <c r="G153" s="28">
        <v>0</v>
      </c>
      <c r="H153" s="28">
        <v>0</v>
      </c>
      <c r="I153" s="28">
        <v>0</v>
      </c>
      <c r="J153" s="28">
        <v>0</v>
      </c>
      <c r="K153" s="28">
        <v>0</v>
      </c>
      <c r="L153" s="28">
        <v>0</v>
      </c>
      <c r="M153" s="28">
        <v>0</v>
      </c>
      <c r="N153" s="28">
        <v>0</v>
      </c>
      <c r="O153" s="28">
        <v>0</v>
      </c>
      <c r="P153" s="21">
        <f>(C153+2*SUM(D153:N153)+O153)/24</f>
        <v>0</v>
      </c>
      <c r="Q153" s="21">
        <f t="shared" si="43"/>
        <v>0</v>
      </c>
      <c r="R153" s="9" t="e">
        <f t="shared" si="45"/>
        <v>#DIV/0!</v>
      </c>
      <c r="U153" s="21">
        <f>P153</f>
        <v>0</v>
      </c>
      <c r="W153" s="21"/>
      <c r="X153" s="7"/>
      <c r="Y153" s="7"/>
      <c r="Z153" s="7"/>
      <c r="AA153" s="7"/>
      <c r="AB153" s="7"/>
    </row>
    <row r="154" spans="1:28" s="20" customFormat="1">
      <c r="A154" s="20">
        <f t="shared" si="41"/>
        <v>148</v>
      </c>
      <c r="B154" s="17" t="s">
        <v>24</v>
      </c>
      <c r="C154" s="28">
        <v>0</v>
      </c>
      <c r="D154" s="28">
        <v>0</v>
      </c>
      <c r="E154" s="28">
        <v>0</v>
      </c>
      <c r="F154" s="28">
        <v>0</v>
      </c>
      <c r="G154" s="28">
        <v>0</v>
      </c>
      <c r="H154" s="28">
        <v>0</v>
      </c>
      <c r="I154" s="28">
        <v>0</v>
      </c>
      <c r="J154" s="28">
        <v>0</v>
      </c>
      <c r="K154" s="28">
        <v>0</v>
      </c>
      <c r="L154" s="28">
        <v>0</v>
      </c>
      <c r="M154" s="28">
        <v>0</v>
      </c>
      <c r="N154" s="28">
        <v>0</v>
      </c>
      <c r="O154" s="28">
        <v>0</v>
      </c>
      <c r="P154" s="21">
        <f>-(C154+2*SUM(D154:N154)+O154)/24</f>
        <v>0</v>
      </c>
      <c r="Q154" s="21">
        <f t="shared" si="43"/>
        <v>0</v>
      </c>
      <c r="R154" s="9"/>
      <c r="U154" s="21">
        <f>P154</f>
        <v>0</v>
      </c>
      <c r="X154" s="7"/>
      <c r="Y154" s="7"/>
      <c r="Z154" s="7"/>
      <c r="AA154" s="7"/>
      <c r="AB154" s="7"/>
    </row>
    <row r="155" spans="1:28" s="20" customFormat="1">
      <c r="A155" s="20">
        <f t="shared" si="41"/>
        <v>149</v>
      </c>
      <c r="B155" s="17" t="s">
        <v>23</v>
      </c>
      <c r="C155" s="28">
        <f t="shared" ref="C155:O155" si="46">SUM(C138:C151,C153)-SUM(C152,C154)</f>
        <v>906889431.29999995</v>
      </c>
      <c r="D155" s="28">
        <f t="shared" si="46"/>
        <v>911508693.49000001</v>
      </c>
      <c r="E155" s="28">
        <f t="shared" si="46"/>
        <v>933015494.83999991</v>
      </c>
      <c r="F155" s="28">
        <f t="shared" si="46"/>
        <v>971856927</v>
      </c>
      <c r="G155" s="28">
        <f t="shared" si="46"/>
        <v>998594291.13999987</v>
      </c>
      <c r="H155" s="28">
        <f t="shared" si="46"/>
        <v>1509230862.1800001</v>
      </c>
      <c r="I155" s="28">
        <f t="shared" si="46"/>
        <v>1668855794.73</v>
      </c>
      <c r="J155" s="28">
        <f t="shared" si="46"/>
        <v>1061510024.5800002</v>
      </c>
      <c r="K155" s="28">
        <f t="shared" si="46"/>
        <v>1027839637.7</v>
      </c>
      <c r="L155" s="28">
        <f t="shared" si="46"/>
        <v>983198874.4200002</v>
      </c>
      <c r="M155" s="28">
        <f t="shared" si="46"/>
        <v>972959357.40999997</v>
      </c>
      <c r="N155" s="28">
        <f t="shared" si="46"/>
        <v>969643228.94999993</v>
      </c>
      <c r="O155" s="28">
        <f t="shared" si="46"/>
        <v>989325034.0400002</v>
      </c>
      <c r="P155" s="283">
        <f>SUBTOTAL(9,P138:P154)</f>
        <v>1079693368.2591667</v>
      </c>
      <c r="Q155" s="21">
        <f t="shared" si="43"/>
        <v>1083128185.0400002</v>
      </c>
      <c r="R155" s="9">
        <f>+Q155/P155-1</f>
        <v>3.1812891343137029E-3</v>
      </c>
      <c r="T155" s="283">
        <f>SUBTOTAL(9,T138:T154)</f>
        <v>0</v>
      </c>
      <c r="U155" s="283">
        <f>SUBTOTAL(9,U138:U154)</f>
        <v>808604634.12583339</v>
      </c>
      <c r="X155" s="7"/>
      <c r="Y155" s="7"/>
      <c r="Z155" s="7"/>
      <c r="AA155" s="7"/>
      <c r="AB155" s="7"/>
    </row>
    <row r="156" spans="1:28" s="20" customFormat="1">
      <c r="A156" s="20">
        <f t="shared" si="41"/>
        <v>150</v>
      </c>
      <c r="B156" s="17"/>
      <c r="C156" s="32"/>
      <c r="D156" s="32"/>
      <c r="E156" s="32"/>
      <c r="F156" s="32"/>
      <c r="G156" s="32"/>
      <c r="H156" s="32"/>
      <c r="I156" s="32"/>
      <c r="J156" s="32"/>
      <c r="K156" s="32"/>
      <c r="L156" s="32"/>
      <c r="M156" s="32"/>
      <c r="N156" s="32"/>
      <c r="O156" s="32"/>
      <c r="P156" s="284"/>
      <c r="Q156" s="21"/>
      <c r="R156" s="9"/>
      <c r="U156" s="284"/>
      <c r="X156" s="7"/>
      <c r="Y156" s="7"/>
      <c r="Z156" s="7"/>
      <c r="AA156" s="7"/>
      <c r="AB156" s="7"/>
    </row>
    <row r="157" spans="1:28" s="20" customFormat="1">
      <c r="A157" s="20">
        <f t="shared" si="41"/>
        <v>151</v>
      </c>
      <c r="B157" s="17" t="s">
        <v>22</v>
      </c>
      <c r="C157" s="47"/>
      <c r="D157" s="47"/>
      <c r="E157" s="47"/>
      <c r="F157" s="47"/>
      <c r="G157" s="47"/>
      <c r="H157" s="47"/>
      <c r="I157" s="47"/>
      <c r="J157" s="47"/>
      <c r="K157" s="47"/>
      <c r="L157" s="47"/>
      <c r="M157" s="47"/>
      <c r="N157" s="47"/>
      <c r="O157" s="47"/>
      <c r="P157" s="21"/>
      <c r="Q157" s="21"/>
      <c r="R157" s="9"/>
      <c r="X157" s="7"/>
      <c r="Y157" s="7"/>
      <c r="Z157" s="7"/>
      <c r="AA157" s="7"/>
      <c r="AB157" s="7"/>
    </row>
    <row r="158" spans="1:28" s="20" customFormat="1">
      <c r="A158" s="20">
        <f t="shared" si="41"/>
        <v>152</v>
      </c>
      <c r="B158" s="17" t="s">
        <v>20</v>
      </c>
      <c r="C158" s="28">
        <v>27809966.640000001</v>
      </c>
      <c r="D158" s="28">
        <v>27958733.100000001</v>
      </c>
      <c r="E158" s="28">
        <v>26515703.879999999</v>
      </c>
      <c r="F158" s="28">
        <v>27050674.66</v>
      </c>
      <c r="G158" s="28">
        <v>25924628.559999999</v>
      </c>
      <c r="H158" s="28">
        <v>26187271.789999999</v>
      </c>
      <c r="I158" s="28">
        <v>25692158.239999998</v>
      </c>
      <c r="J158" s="28">
        <v>25402299.73</v>
      </c>
      <c r="K158" s="28">
        <v>20186739.16</v>
      </c>
      <c r="L158" s="28">
        <v>20855939.579999998</v>
      </c>
      <c r="M158" s="28">
        <v>22512172.539999999</v>
      </c>
      <c r="N158" s="28">
        <v>22239003.18</v>
      </c>
      <c r="O158" s="28">
        <v>22818857.190000001</v>
      </c>
      <c r="P158" s="21">
        <f t="shared" ref="P158:P166" si="47">(C158+2*SUM(D158:N158)+O158)/24</f>
        <v>24653311.361249998</v>
      </c>
      <c r="Q158" s="21">
        <f t="shared" ref="Q158:Q167" si="48">AVERAGE(D158:O158)</f>
        <v>24445348.467499997</v>
      </c>
      <c r="R158" s="9">
        <f>+Q158/P158-1</f>
        <v>-8.4354953662280074E-3</v>
      </c>
      <c r="V158" s="21">
        <f>-P158</f>
        <v>-24653311.361249998</v>
      </c>
      <c r="W158" s="21"/>
      <c r="X158" s="7">
        <f>+[4]Report!$K$2669</f>
        <v>15641.902326607649</v>
      </c>
      <c r="Y158" s="7">
        <f>+[4]Report!$J$2669</f>
        <v>-24686014.456909936</v>
      </c>
      <c r="Z158" s="7">
        <f>-P158-X158-Y158</f>
        <v>17061.193333331496</v>
      </c>
      <c r="AA158" s="7">
        <f>+Z158+X158+Y158</f>
        <v>-24653311.361249998</v>
      </c>
      <c r="AB158" s="7"/>
    </row>
    <row r="159" spans="1:28" s="20" customFormat="1">
      <c r="A159" s="20">
        <f t="shared" si="41"/>
        <v>153</v>
      </c>
      <c r="B159" s="17" t="s">
        <v>19</v>
      </c>
      <c r="C159" s="28">
        <v>39979696</v>
      </c>
      <c r="D159" s="28">
        <v>39979696</v>
      </c>
      <c r="E159" s="28">
        <v>39979696</v>
      </c>
      <c r="F159" s="28">
        <v>38994830</v>
      </c>
      <c r="G159" s="28">
        <v>38994830</v>
      </c>
      <c r="H159" s="28">
        <v>38994830</v>
      </c>
      <c r="I159" s="28">
        <v>38010268</v>
      </c>
      <c r="J159" s="28">
        <v>38010268</v>
      </c>
      <c r="K159" s="28">
        <v>38010268</v>
      </c>
      <c r="L159" s="28">
        <v>36937789</v>
      </c>
      <c r="M159" s="28">
        <v>36937789</v>
      </c>
      <c r="N159" s="28">
        <v>36937789</v>
      </c>
      <c r="O159" s="28">
        <v>36068837</v>
      </c>
      <c r="P159" s="21">
        <f t="shared" si="47"/>
        <v>38317693.291666664</v>
      </c>
      <c r="Q159" s="21">
        <f t="shared" si="48"/>
        <v>38154740.833333336</v>
      </c>
      <c r="R159" s="9">
        <f>+Q159/P159-1</f>
        <v>-4.2526687891404347E-3</v>
      </c>
      <c r="V159" s="21">
        <f>-P159</f>
        <v>-38317693.291666664</v>
      </c>
      <c r="W159" s="21"/>
      <c r="X159" s="7">
        <f>+[4]Report!$K$2757</f>
        <v>-546502.70866400003</v>
      </c>
      <c r="Y159" s="7">
        <f>+[4]Report!$J$2757</f>
        <v>-3634189.791336</v>
      </c>
      <c r="Z159" s="7">
        <f>-P159-X159-Y159</f>
        <v>-34137000.791666664</v>
      </c>
      <c r="AA159" s="7">
        <f>+Z159+X159+Y159</f>
        <v>-38317693.291666664</v>
      </c>
      <c r="AB159" s="7"/>
    </row>
    <row r="160" spans="1:28" s="20" customFormat="1">
      <c r="A160" s="20">
        <f t="shared" si="41"/>
        <v>154</v>
      </c>
      <c r="B160" s="17" t="s">
        <v>18</v>
      </c>
      <c r="C160" s="28">
        <v>0</v>
      </c>
      <c r="D160" s="28">
        <v>0</v>
      </c>
      <c r="E160" s="28">
        <v>0</v>
      </c>
      <c r="F160" s="28">
        <v>0</v>
      </c>
      <c r="G160" s="28">
        <v>0</v>
      </c>
      <c r="H160" s="28">
        <v>0</v>
      </c>
      <c r="I160" s="28">
        <v>0</v>
      </c>
      <c r="J160" s="28">
        <v>0</v>
      </c>
      <c r="K160" s="28">
        <v>0</v>
      </c>
      <c r="L160" s="28">
        <v>0</v>
      </c>
      <c r="M160" s="28">
        <v>0</v>
      </c>
      <c r="N160" s="28">
        <v>0</v>
      </c>
      <c r="O160" s="28">
        <v>0</v>
      </c>
      <c r="P160" s="21">
        <f t="shared" si="47"/>
        <v>0</v>
      </c>
      <c r="Q160" s="21">
        <f t="shared" si="48"/>
        <v>0</v>
      </c>
      <c r="R160" s="9"/>
      <c r="V160" s="21">
        <f>-P160</f>
        <v>0</v>
      </c>
      <c r="W160" s="21"/>
      <c r="X160" s="7"/>
      <c r="Y160" s="7"/>
      <c r="Z160" s="7"/>
      <c r="AA160" s="7">
        <f>+Z160+X160+Y160</f>
        <v>0</v>
      </c>
      <c r="AB160" s="7"/>
    </row>
    <row r="161" spans="1:28" s="20" customFormat="1">
      <c r="A161" s="20">
        <f t="shared" si="41"/>
        <v>155</v>
      </c>
      <c r="B161" s="17" t="s">
        <v>17</v>
      </c>
      <c r="C161" s="28">
        <f>72664189.67-5006303</f>
        <v>67657886.670000002</v>
      </c>
      <c r="D161" s="28">
        <f>74774765.4-5006303</f>
        <v>69768462.400000006</v>
      </c>
      <c r="E161" s="28">
        <f>72847484.07-5006303</f>
        <v>67841181.069999993</v>
      </c>
      <c r="F161" s="28">
        <f>71994378.32-5006303</f>
        <v>66988075.319999993</v>
      </c>
      <c r="G161" s="28">
        <f>72885966.49-5006303</f>
        <v>67879663.489999995</v>
      </c>
      <c r="H161" s="28">
        <f>71837293.65-5006303</f>
        <v>66830990.650000006</v>
      </c>
      <c r="I161" s="28">
        <v>220954062.56999999</v>
      </c>
      <c r="J161" s="28">
        <v>220206361.68000001</v>
      </c>
      <c r="K161" s="28">
        <v>226114133.40000001</v>
      </c>
      <c r="L161" s="28">
        <v>234018261.81999999</v>
      </c>
      <c r="M161" s="28">
        <v>232765734.09</v>
      </c>
      <c r="N161" s="28">
        <v>231762825.25</v>
      </c>
      <c r="O161" s="28">
        <v>250531478.09</v>
      </c>
      <c r="P161" s="21">
        <f t="shared" si="47"/>
        <v>155352036.17666668</v>
      </c>
      <c r="Q161" s="21">
        <f t="shared" si="48"/>
        <v>162971769.1525</v>
      </c>
      <c r="R161" s="9">
        <f>+Q161/P161-1</f>
        <v>4.9048169327939428E-2</v>
      </c>
      <c r="U161" s="143"/>
      <c r="V161" s="21">
        <f>-P161+U161</f>
        <v>-155352036.17666668</v>
      </c>
      <c r="W161" s="21"/>
      <c r="X161" s="7">
        <f>'Accountts 182,186,253,254,283'!G210</f>
        <v>-1162664.7865903149</v>
      </c>
      <c r="Y161" s="7">
        <f>+[4]Report!$J$2600+[4]Report!$J$2601+[4]Report!$J$2602+[4]Report!$J$2603+[4]Report!$J$2673+[4]Report!$J$2685</f>
        <v>-18760144.037662402</v>
      </c>
      <c r="Z161" s="7">
        <f>V161-X161-Y161</f>
        <v>-135429227.35241395</v>
      </c>
      <c r="AA161" s="7">
        <f>+Z161+X161+Y161</f>
        <v>-155352036.17666668</v>
      </c>
      <c r="AB161" s="7"/>
    </row>
    <row r="162" spans="1:28" s="20" customFormat="1">
      <c r="A162" s="20">
        <f t="shared" si="41"/>
        <v>156</v>
      </c>
      <c r="B162" s="17" t="s">
        <v>16</v>
      </c>
      <c r="C162" s="28">
        <v>65701126.619999997</v>
      </c>
      <c r="D162" s="28">
        <v>108751573.45</v>
      </c>
      <c r="E162" s="28">
        <v>106841696.05</v>
      </c>
      <c r="F162" s="28">
        <v>113687503.95</v>
      </c>
      <c r="G162" s="28">
        <v>113609585.25</v>
      </c>
      <c r="H162" s="28">
        <v>109967135.13</v>
      </c>
      <c r="I162" s="28">
        <v>111258518.58</v>
      </c>
      <c r="J162" s="28">
        <v>108772531.28</v>
      </c>
      <c r="K162" s="28">
        <v>109497473.36</v>
      </c>
      <c r="L162" s="28">
        <v>104231679.76000001</v>
      </c>
      <c r="M162" s="28">
        <v>102056008.28</v>
      </c>
      <c r="N162" s="28">
        <v>99070840</v>
      </c>
      <c r="O162" s="28">
        <v>95416723.430000007</v>
      </c>
      <c r="P162" s="21">
        <f t="shared" si="47"/>
        <v>105691955.84291665</v>
      </c>
      <c r="Q162" s="21">
        <f t="shared" si="48"/>
        <v>106930105.70999999</v>
      </c>
      <c r="R162" s="9">
        <f>+Q162/P162-1</f>
        <v>1.1714702951694189E-2</v>
      </c>
      <c r="V162" s="21">
        <f>-P162</f>
        <v>-105691955.84291665</v>
      </c>
      <c r="W162" s="21"/>
      <c r="X162" s="7">
        <f>'Accountts 182,186,253,254,283'!G244</f>
        <v>-758778.88105654973</v>
      </c>
      <c r="Y162" s="7">
        <f>+[4]Report!$J$2608+[4]Report!$J$2609+[4]Report!$J$2610+[4]Report!$J$2611+[4]Report!$J$2647+[4]Report!$J$2657+[4]Report!$J$2658+[4]Report!$J$2659+[4]Report!$J$2660</f>
        <v>-46007483.901026793</v>
      </c>
      <c r="Z162" s="7">
        <f>-P162-X162-Y162</f>
        <v>-58925693.060833313</v>
      </c>
      <c r="AA162" s="7">
        <f>+Z162+X162+Y162</f>
        <v>-105691955.84291665</v>
      </c>
      <c r="AB162" s="7"/>
    </row>
    <row r="163" spans="1:28" s="20" customFormat="1">
      <c r="A163" s="20">
        <f t="shared" si="41"/>
        <v>157</v>
      </c>
      <c r="B163" s="17" t="s">
        <v>15</v>
      </c>
      <c r="C163" s="28">
        <v>0</v>
      </c>
      <c r="D163" s="28">
        <v>0</v>
      </c>
      <c r="E163" s="28">
        <v>0</v>
      </c>
      <c r="F163" s="28">
        <v>0</v>
      </c>
      <c r="G163" s="28">
        <v>0</v>
      </c>
      <c r="H163" s="28">
        <v>0</v>
      </c>
      <c r="I163" s="28">
        <v>0</v>
      </c>
      <c r="J163" s="28">
        <v>0</v>
      </c>
      <c r="K163" s="28">
        <v>0</v>
      </c>
      <c r="L163" s="28">
        <v>0</v>
      </c>
      <c r="M163" s="28">
        <v>0</v>
      </c>
      <c r="N163" s="28">
        <v>0</v>
      </c>
      <c r="O163" s="28">
        <v>0</v>
      </c>
      <c r="P163" s="21">
        <f t="shared" si="47"/>
        <v>0</v>
      </c>
      <c r="Q163" s="21">
        <f t="shared" si="48"/>
        <v>0</v>
      </c>
      <c r="R163" s="9"/>
      <c r="W163" s="21">
        <f>+P163</f>
        <v>0</v>
      </c>
      <c r="X163" s="7"/>
      <c r="Y163" s="7"/>
      <c r="Z163" s="7"/>
      <c r="AA163" s="7"/>
      <c r="AB163" s="7"/>
    </row>
    <row r="164" spans="1:28" s="20" customFormat="1">
      <c r="A164" s="20">
        <f t="shared" si="41"/>
        <v>158</v>
      </c>
      <c r="B164" s="17" t="s">
        <v>14</v>
      </c>
      <c r="C164" s="28">
        <v>121387549</v>
      </c>
      <c r="D164" s="28">
        <v>121387549</v>
      </c>
      <c r="E164" s="28">
        <v>121387549</v>
      </c>
      <c r="F164" s="28">
        <v>124263793</v>
      </c>
      <c r="G164" s="28">
        <v>124263793</v>
      </c>
      <c r="H164" s="28">
        <v>124263793</v>
      </c>
      <c r="I164" s="28">
        <v>164676925</v>
      </c>
      <c r="J164" s="28">
        <v>164676925</v>
      </c>
      <c r="K164" s="28">
        <v>164676925</v>
      </c>
      <c r="L164" s="28">
        <v>176915013</v>
      </c>
      <c r="M164" s="28">
        <v>176915013</v>
      </c>
      <c r="N164" s="28">
        <v>176915013</v>
      </c>
      <c r="O164" s="28">
        <v>178288826</v>
      </c>
      <c r="P164" s="21">
        <f t="shared" si="47"/>
        <v>149181706.54166666</v>
      </c>
      <c r="Q164" s="21">
        <f t="shared" si="48"/>
        <v>151552593.08333334</v>
      </c>
      <c r="R164" s="9"/>
      <c r="V164" s="21">
        <f>-P164</f>
        <v>-149181706.54166666</v>
      </c>
      <c r="W164" s="21"/>
      <c r="X164" s="7">
        <f>+[4]Report!$K$2712</f>
        <v>-11999275.622084361</v>
      </c>
      <c r="Y164" s="7">
        <f>+[4]Report!$J$2712</f>
        <v>-137182430.91958165</v>
      </c>
      <c r="Z164" s="7">
        <f>-P164-X164-Y164</f>
        <v>-6.5565109252929688E-7</v>
      </c>
      <c r="AA164" s="7">
        <f>+Z164+X164+Y164</f>
        <v>-149181706.54166666</v>
      </c>
      <c r="AB164" s="7"/>
    </row>
    <row r="165" spans="1:28" s="20" customFormat="1">
      <c r="A165" s="20">
        <f t="shared" si="41"/>
        <v>159</v>
      </c>
      <c r="B165" s="17" t="s">
        <v>13</v>
      </c>
      <c r="C165" s="28">
        <v>3320044435</v>
      </c>
      <c r="D165" s="28">
        <v>3320044435</v>
      </c>
      <c r="E165" s="28">
        <v>3320044435</v>
      </c>
      <c r="F165" s="28">
        <v>3459215369</v>
      </c>
      <c r="G165" s="28">
        <v>3459215369</v>
      </c>
      <c r="H165" s="28">
        <v>3459215369</v>
      </c>
      <c r="I165" s="28">
        <v>3505053651</v>
      </c>
      <c r="J165" s="28">
        <v>3505053651</v>
      </c>
      <c r="K165" s="28">
        <v>3505053651</v>
      </c>
      <c r="L165" s="28">
        <v>3569466508</v>
      </c>
      <c r="M165" s="28">
        <v>3569466508</v>
      </c>
      <c r="N165" s="28">
        <v>3569466508</v>
      </c>
      <c r="O165" s="28">
        <v>3656020881</v>
      </c>
      <c r="P165" s="21">
        <f t="shared" si="47"/>
        <v>3477444009.3333335</v>
      </c>
      <c r="Q165" s="21">
        <f t="shared" si="48"/>
        <v>3491443027.9166665</v>
      </c>
      <c r="R165" s="9">
        <f>+Q165/P165-1</f>
        <v>4.0256632589223962E-3</v>
      </c>
      <c r="U165" s="143"/>
      <c r="V165" s="21">
        <f>-P165+U165</f>
        <v>-3477444009.3333335</v>
      </c>
      <c r="W165" s="21"/>
      <c r="X165" s="7">
        <f>+[4]Report!$K$2727</f>
        <v>-195201077.47738743</v>
      </c>
      <c r="Y165" s="7">
        <f>+[4]Report!$J$2727</f>
        <v>-2977434322.3142791</v>
      </c>
      <c r="Z165" s="7">
        <f>V165-X165-Y165</f>
        <v>-304808609.54166698</v>
      </c>
      <c r="AA165" s="7">
        <f>+Z165+X165+Y165</f>
        <v>-3477444009.3333335</v>
      </c>
      <c r="AB165" s="7"/>
    </row>
    <row r="166" spans="1:28" s="20" customFormat="1">
      <c r="A166" s="20">
        <f t="shared" si="41"/>
        <v>160</v>
      </c>
      <c r="B166" s="17" t="s">
        <v>12</v>
      </c>
      <c r="C166" s="28">
        <v>676562701.94000006</v>
      </c>
      <c r="D166" s="28">
        <v>676562701.94000006</v>
      </c>
      <c r="E166" s="28">
        <v>676562701.94000006</v>
      </c>
      <c r="F166" s="28">
        <v>676503404.94000006</v>
      </c>
      <c r="G166" s="28">
        <v>676503404.94000006</v>
      </c>
      <c r="H166" s="28">
        <v>676503404.94000006</v>
      </c>
      <c r="I166" s="28">
        <v>746721739.78999996</v>
      </c>
      <c r="J166" s="28">
        <v>746721739.78999996</v>
      </c>
      <c r="K166" s="28">
        <v>746721739.78999996</v>
      </c>
      <c r="L166" s="28">
        <v>753949565.78999996</v>
      </c>
      <c r="M166" s="28">
        <v>753949565.78999996</v>
      </c>
      <c r="N166" s="28">
        <v>753949565.78999996</v>
      </c>
      <c r="O166" s="28">
        <v>728380439.78999996</v>
      </c>
      <c r="P166" s="21">
        <f t="shared" si="47"/>
        <v>715593425.52541673</v>
      </c>
      <c r="Q166" s="21">
        <f t="shared" si="48"/>
        <v>717752497.93583333</v>
      </c>
      <c r="R166" s="9">
        <f>+Q166/P166-1</f>
        <v>3.0171775388116995E-3</v>
      </c>
      <c r="U166" s="143">
        <f>-'Accountts 182,186,253,254,283'!I351</f>
        <v>253329896.83333337</v>
      </c>
      <c r="V166" s="21">
        <f>-P166+U166</f>
        <v>-462263528.69208336</v>
      </c>
      <c r="W166" s="21"/>
      <c r="X166" s="7">
        <f>'Accountts 182,186,253,254,283'!G351</f>
        <v>-7603672.781693534</v>
      </c>
      <c r="Y166" s="7">
        <f>+[4]Report!$J$2745</f>
        <v>-95547325.74372305</v>
      </c>
      <c r="Z166" s="7">
        <f>V166-X166-Y166</f>
        <v>-359112530.16666681</v>
      </c>
      <c r="AA166" s="7">
        <f>+Z166+X166+Y166</f>
        <v>-462263528.69208336</v>
      </c>
      <c r="AB166" s="7"/>
    </row>
    <row r="167" spans="1:28" s="20" customFormat="1">
      <c r="A167" s="20">
        <f t="shared" si="41"/>
        <v>161</v>
      </c>
      <c r="B167" s="17" t="s">
        <v>11</v>
      </c>
      <c r="C167" s="28">
        <f t="shared" ref="C167:O167" si="49">SUM(C158:C166)</f>
        <v>4319143361.8699999</v>
      </c>
      <c r="D167" s="28">
        <f t="shared" si="49"/>
        <v>4364453150.8899994</v>
      </c>
      <c r="E167" s="28">
        <f t="shared" si="49"/>
        <v>4359172962.9400005</v>
      </c>
      <c r="F167" s="28">
        <f t="shared" si="49"/>
        <v>4506703650.8699999</v>
      </c>
      <c r="G167" s="28">
        <f t="shared" si="49"/>
        <v>4506391274.2399998</v>
      </c>
      <c r="H167" s="28">
        <f t="shared" si="49"/>
        <v>4501962794.5100002</v>
      </c>
      <c r="I167" s="28">
        <f t="shared" si="49"/>
        <v>4812367323.1800003</v>
      </c>
      <c r="J167" s="28">
        <f t="shared" si="49"/>
        <v>4808843776.4799995</v>
      </c>
      <c r="K167" s="28">
        <f t="shared" si="49"/>
        <v>4810260929.71</v>
      </c>
      <c r="L167" s="28">
        <f t="shared" si="49"/>
        <v>4896374756.9499998</v>
      </c>
      <c r="M167" s="28">
        <f t="shared" si="49"/>
        <v>4894602790.6999998</v>
      </c>
      <c r="N167" s="28">
        <f t="shared" si="49"/>
        <v>4890341544.2200003</v>
      </c>
      <c r="O167" s="28">
        <f t="shared" si="49"/>
        <v>4967526042.5</v>
      </c>
      <c r="P167" s="41">
        <f>SUBTOTAL(9,P158:P166)</f>
        <v>4666234138.072917</v>
      </c>
      <c r="Q167" s="21">
        <f t="shared" si="48"/>
        <v>4693250083.0991669</v>
      </c>
      <c r="R167" s="9">
        <f>+Q167/P167-1</f>
        <v>5.7896676906588063E-3</v>
      </c>
      <c r="V167" s="41">
        <f>SUBTOTAL(9,V158:V166)</f>
        <v>-4412904241.239584</v>
      </c>
      <c r="W167" s="21"/>
      <c r="X167" s="7"/>
      <c r="Y167" s="7"/>
      <c r="Z167" s="7"/>
      <c r="AA167" s="7"/>
      <c r="AB167" s="7"/>
    </row>
    <row r="168" spans="1:28" s="20" customFormat="1">
      <c r="A168" s="20">
        <f t="shared" si="41"/>
        <v>162</v>
      </c>
      <c r="B168" s="17"/>
      <c r="C168" s="28"/>
      <c r="D168" s="28"/>
      <c r="E168" s="28"/>
      <c r="F168" s="28"/>
      <c r="G168" s="28"/>
      <c r="H168" s="28"/>
      <c r="I168" s="28"/>
      <c r="J168" s="28"/>
      <c r="K168" s="28"/>
      <c r="L168" s="28"/>
      <c r="M168" s="28"/>
      <c r="N168" s="28"/>
      <c r="O168" s="28"/>
      <c r="P168" s="40"/>
      <c r="Q168" s="21"/>
      <c r="R168" s="9"/>
      <c r="V168" s="40"/>
      <c r="W168" s="21"/>
      <c r="X168" s="7"/>
      <c r="Y168" s="7"/>
      <c r="Z168" s="7"/>
      <c r="AA168" s="7"/>
      <c r="AB168" s="7"/>
    </row>
    <row r="169" spans="1:28" s="20" customFormat="1" ht="16.5" thickBot="1">
      <c r="A169" s="20">
        <f t="shared" si="41"/>
        <v>163</v>
      </c>
      <c r="B169" s="18" t="s">
        <v>10</v>
      </c>
      <c r="C169" s="26">
        <f>SUM(C167,C155,C135,C123,C114)</f>
        <v>19953307084.610001</v>
      </c>
      <c r="D169" s="26">
        <f t="shared" ref="D169:O169" si="50">SUM(D167,D155,D135,D123,D114)</f>
        <v>20075921717.969997</v>
      </c>
      <c r="E169" s="26">
        <f t="shared" si="50"/>
        <v>20096986112.93</v>
      </c>
      <c r="F169" s="26">
        <f t="shared" si="50"/>
        <v>20235602915.329998</v>
      </c>
      <c r="G169" s="26">
        <f t="shared" si="50"/>
        <v>20263532743.539997</v>
      </c>
      <c r="H169" s="26">
        <f t="shared" si="50"/>
        <v>20309775369.610001</v>
      </c>
      <c r="I169" s="26">
        <f t="shared" si="50"/>
        <v>20818161762.669998</v>
      </c>
      <c r="J169" s="26">
        <f t="shared" si="50"/>
        <v>20859021609.669998</v>
      </c>
      <c r="K169" s="26">
        <f t="shared" si="50"/>
        <v>20854899034.559998</v>
      </c>
      <c r="L169" s="26">
        <f t="shared" si="50"/>
        <v>21005250463.389999</v>
      </c>
      <c r="M169" s="26">
        <f t="shared" si="50"/>
        <v>20965882945.720001</v>
      </c>
      <c r="N169" s="26">
        <f t="shared" si="50"/>
        <v>21008000084.279999</v>
      </c>
      <c r="O169" s="26">
        <f t="shared" si="50"/>
        <v>21141063731.309998</v>
      </c>
      <c r="P169" s="24">
        <f>SUBTOTAL(9,P98:P167)</f>
        <v>20586685013.969166</v>
      </c>
      <c r="Q169" s="25">
        <f>AVERAGE(D169:O169)</f>
        <v>20636174874.248333</v>
      </c>
      <c r="R169" s="9">
        <f>+Q169/P169-1</f>
        <v>2.4039742311880996E-3</v>
      </c>
      <c r="T169" s="24">
        <f t="shared" ref="T169:Z169" si="51">SUBTOTAL(9,T98:T167)</f>
        <v>0</v>
      </c>
      <c r="U169" s="24">
        <f t="shared" si="51"/>
        <v>1474892051.65625</v>
      </c>
      <c r="V169" s="24">
        <f t="shared" si="51"/>
        <v>-4976484661.9654169</v>
      </c>
      <c r="W169" s="24">
        <f t="shared" si="51"/>
        <v>14135308300.347498</v>
      </c>
      <c r="X169" s="24">
        <f t="shared" si="51"/>
        <v>-218280432.98405206</v>
      </c>
      <c r="Y169" s="24">
        <f t="shared" si="51"/>
        <v>-3353976431.0201998</v>
      </c>
      <c r="Z169" s="24">
        <f t="shared" si="51"/>
        <v>-1404227797.961165</v>
      </c>
      <c r="AA169" s="7"/>
      <c r="AB169" s="7"/>
    </row>
    <row r="170" spans="1:28" s="20" customFormat="1">
      <c r="A170" s="20">
        <f t="shared" si="41"/>
        <v>164</v>
      </c>
      <c r="B170" s="285" t="s">
        <v>9</v>
      </c>
      <c r="C170" s="16" t="s">
        <v>201</v>
      </c>
      <c r="D170" s="16" t="s">
        <v>201</v>
      </c>
      <c r="E170" s="16" t="s">
        <v>201</v>
      </c>
      <c r="F170" s="16" t="s">
        <v>201</v>
      </c>
      <c r="G170" s="16" t="s">
        <v>201</v>
      </c>
      <c r="H170" s="16" t="s">
        <v>201</v>
      </c>
      <c r="I170" s="16" t="s">
        <v>201</v>
      </c>
      <c r="J170" s="16" t="s">
        <v>201</v>
      </c>
      <c r="K170" s="16" t="s">
        <v>201</v>
      </c>
      <c r="L170" s="16" t="s">
        <v>201</v>
      </c>
      <c r="M170" s="16" t="s">
        <v>201</v>
      </c>
      <c r="N170" s="16" t="s">
        <v>201</v>
      </c>
      <c r="O170" s="16" t="s">
        <v>201</v>
      </c>
      <c r="P170" s="11">
        <f>+W169+U169-V169-T169</f>
        <v>20586685013.969166</v>
      </c>
      <c r="Q170" s="21">
        <f>+Q93-Q169</f>
        <v>0</v>
      </c>
      <c r="X170" s="7"/>
      <c r="Y170" s="7"/>
      <c r="Z170" s="7"/>
      <c r="AA170" s="7"/>
      <c r="AB170" s="7"/>
    </row>
    <row r="171" spans="1:28" s="20" customFormat="1">
      <c r="A171" s="20">
        <f t="shared" si="41"/>
        <v>165</v>
      </c>
      <c r="B171" s="19" t="s">
        <v>8</v>
      </c>
      <c r="C171" s="16">
        <f>C93-C169</f>
        <v>0</v>
      </c>
      <c r="D171" s="16">
        <f t="shared" ref="D171:O171" si="52">D93-D169</f>
        <v>0</v>
      </c>
      <c r="E171" s="16">
        <f t="shared" si="52"/>
        <v>0</v>
      </c>
      <c r="F171" s="16">
        <f t="shared" si="52"/>
        <v>0</v>
      </c>
      <c r="G171" s="16">
        <f t="shared" si="52"/>
        <v>0</v>
      </c>
      <c r="H171" s="16">
        <f t="shared" si="52"/>
        <v>0</v>
      </c>
      <c r="I171" s="16">
        <f t="shared" si="52"/>
        <v>0</v>
      </c>
      <c r="J171" s="16">
        <f t="shared" si="52"/>
        <v>0</v>
      </c>
      <c r="K171" s="16">
        <f t="shared" si="52"/>
        <v>0</v>
      </c>
      <c r="L171" s="16">
        <f t="shared" si="52"/>
        <v>0</v>
      </c>
      <c r="M171" s="16">
        <f t="shared" si="52"/>
        <v>0</v>
      </c>
      <c r="N171" s="16">
        <f t="shared" si="52"/>
        <v>0</v>
      </c>
      <c r="O171" s="16">
        <f t="shared" si="52"/>
        <v>0</v>
      </c>
      <c r="P171" s="21">
        <f>-P170+P94</f>
        <v>0</v>
      </c>
      <c r="Q171" s="21"/>
      <c r="U171" s="143"/>
      <c r="X171" s="7"/>
      <c r="Y171" s="7"/>
      <c r="Z171" s="7"/>
      <c r="AA171" s="7"/>
      <c r="AB171" s="7"/>
    </row>
    <row r="172" spans="1:28" s="20" customFormat="1">
      <c r="A172" s="20">
        <f t="shared" si="41"/>
        <v>166</v>
      </c>
      <c r="B172" s="18"/>
      <c r="C172" s="16"/>
      <c r="D172" s="16"/>
      <c r="E172" s="16"/>
      <c r="F172" s="16"/>
      <c r="G172" s="16"/>
      <c r="H172" s="16"/>
      <c r="I172" s="16"/>
      <c r="J172" s="16"/>
      <c r="K172" s="16"/>
      <c r="L172" s="16"/>
      <c r="M172" s="16"/>
      <c r="N172" s="16"/>
      <c r="O172" s="16"/>
      <c r="P172" s="21"/>
      <c r="Q172" s="21"/>
      <c r="X172" s="7"/>
      <c r="Y172" s="7"/>
      <c r="Z172" s="7"/>
      <c r="AA172" s="7"/>
      <c r="AB172" s="7"/>
    </row>
    <row r="173" spans="1:28" s="20" customFormat="1">
      <c r="A173" s="20">
        <f t="shared" si="41"/>
        <v>167</v>
      </c>
      <c r="B173" s="17" t="s">
        <v>7</v>
      </c>
      <c r="C173" s="16"/>
      <c r="D173" s="16"/>
      <c r="E173" s="16"/>
      <c r="F173" s="16"/>
      <c r="G173" s="16"/>
      <c r="H173" s="16"/>
      <c r="I173" s="16"/>
      <c r="J173" s="16"/>
      <c r="K173" s="16"/>
      <c r="L173" s="16"/>
      <c r="M173" s="16"/>
      <c r="N173" s="16"/>
      <c r="O173" s="16"/>
      <c r="P173" s="286"/>
      <c r="Q173" s="21"/>
      <c r="T173" s="7">
        <f>SUBTOTAL(9,T7:T169)</f>
        <v>1968261911.6447227</v>
      </c>
      <c r="U173" s="7">
        <f>SUBTOTAL(9,U7:U169)</f>
        <v>1474892051.65625</v>
      </c>
      <c r="AB173" s="7"/>
    </row>
    <row r="174" spans="1:28" s="20" customFormat="1">
      <c r="A174" s="20">
        <f t="shared" si="41"/>
        <v>168</v>
      </c>
      <c r="P174" s="286"/>
      <c r="T174" s="42">
        <f>+T173-U173</f>
        <v>493369859.9884727</v>
      </c>
      <c r="AB174" s="7"/>
    </row>
    <row r="175" spans="1:28" s="20" customFormat="1">
      <c r="A175" s="20">
        <f t="shared" si="41"/>
        <v>169</v>
      </c>
      <c r="B175" s="287" t="s">
        <v>6</v>
      </c>
      <c r="T175" s="7"/>
      <c r="V175" s="288">
        <f>SUBTOTAL(9,V7:V169)</f>
        <v>13596452785.160675</v>
      </c>
      <c r="W175" s="288">
        <f>SUBTOTAL(9,W7:W169)</f>
        <v>14089822645.149166</v>
      </c>
      <c r="X175" s="7">
        <f>SUBTOTAL(9,X7:X169)</f>
        <v>785246255.19913995</v>
      </c>
      <c r="Y175" s="7">
        <f>SUBTOTAL(9,Y7:Y169)</f>
        <v>11385291216.386621</v>
      </c>
      <c r="Z175" s="7">
        <f>SUBTOTAL(9,Z7:Z169)</f>
        <v>1425915313.5749304</v>
      </c>
      <c r="AA175" s="7">
        <f>+Z175+Y175+X175</f>
        <v>13596452785.160692</v>
      </c>
      <c r="AB175" s="7"/>
    </row>
    <row r="176" spans="1:28" s="20" customFormat="1">
      <c r="A176" s="20">
        <f t="shared" si="41"/>
        <v>170</v>
      </c>
      <c r="B176" s="287" t="s">
        <v>5</v>
      </c>
      <c r="T176" s="7"/>
      <c r="V176" s="7"/>
      <c r="W176" s="11">
        <f>+W175-V175</f>
        <v>493369859.98849106</v>
      </c>
      <c r="X176" s="7"/>
      <c r="Y176" s="7"/>
      <c r="Z176" s="7"/>
      <c r="AA176" s="7"/>
      <c r="AB176" s="7"/>
    </row>
    <row r="177" spans="1:28" s="20" customFormat="1">
      <c r="A177" s="20">
        <f t="shared" si="41"/>
        <v>171</v>
      </c>
      <c r="B177" s="20" t="s">
        <v>4</v>
      </c>
      <c r="V177" s="285" t="s">
        <v>230</v>
      </c>
      <c r="W177" s="10"/>
      <c r="X177" s="9">
        <f>+X175/$AA$175</f>
        <v>5.7753758837464267E-2</v>
      </c>
      <c r="Y177" s="9">
        <f>+Y175/$AA$175</f>
        <v>0.83737217319010182</v>
      </c>
      <c r="Z177" s="9">
        <f>+Z175/$AA$175</f>
        <v>0.10487406797243388</v>
      </c>
      <c r="AA177" s="7"/>
      <c r="AB177" s="7"/>
    </row>
    <row r="178" spans="1:28" s="20" customFormat="1">
      <c r="A178" s="20">
        <f t="shared" si="41"/>
        <v>172</v>
      </c>
      <c r="B178" s="20" t="s">
        <v>3</v>
      </c>
      <c r="V178" s="282" t="s">
        <v>2</v>
      </c>
      <c r="X178" s="7">
        <f>+W176*X177</f>
        <v>28493963.911448825</v>
      </c>
      <c r="Y178" s="7">
        <f>+Y177*W176</f>
        <v>413134191.84505904</v>
      </c>
      <c r="Z178" s="7">
        <f>+Z177*W176</f>
        <v>51741704.2319832</v>
      </c>
      <c r="AA178" s="7">
        <f>+Z178+Y178+X178</f>
        <v>493369859.98849106</v>
      </c>
      <c r="AB178" s="7"/>
    </row>
    <row r="179" spans="1:28" s="20" customFormat="1">
      <c r="A179" s="20">
        <f t="shared" si="41"/>
        <v>173</v>
      </c>
      <c r="AB179" s="7"/>
    </row>
    <row r="180" spans="1:28" s="20" customFormat="1">
      <c r="A180" s="20">
        <f t="shared" si="41"/>
        <v>174</v>
      </c>
      <c r="W180" s="20" t="s">
        <v>1</v>
      </c>
      <c r="X180" s="7">
        <f>+X175</f>
        <v>785246255.19913995</v>
      </c>
      <c r="Y180" s="7">
        <f>+Y175</f>
        <v>11385291216.386621</v>
      </c>
      <c r="Z180" s="7">
        <f>+Z175</f>
        <v>1425915313.5749304</v>
      </c>
      <c r="AA180" s="7">
        <f>SUM(X180:Z180)</f>
        <v>13596452785.160692</v>
      </c>
      <c r="AB180" s="7"/>
    </row>
    <row r="181" spans="1:28" s="20" customFormat="1" ht="16.5" thickBot="1">
      <c r="A181" s="20">
        <f t="shared" si="41"/>
        <v>175</v>
      </c>
      <c r="B181" s="274"/>
      <c r="C181" s="274"/>
      <c r="D181" s="274"/>
      <c r="E181" s="274"/>
      <c r="F181" s="274"/>
      <c r="G181" s="274"/>
      <c r="H181" s="274"/>
      <c r="I181" s="274"/>
      <c r="J181" s="274"/>
      <c r="K181" s="274"/>
      <c r="L181" s="274"/>
      <c r="M181" s="274"/>
      <c r="N181" s="274"/>
      <c r="O181" s="274"/>
      <c r="P181" s="274"/>
      <c r="V181" s="274"/>
      <c r="W181" s="20" t="s">
        <v>231</v>
      </c>
      <c r="X181" s="289">
        <f>+X177*W175</f>
        <v>813740219.11058784</v>
      </c>
      <c r="Y181" s="7">
        <f>+Y177*W175</f>
        <v>11798425408.231667</v>
      </c>
      <c r="Z181" s="7">
        <f>+Z177*W175</f>
        <v>1477657017.8069119</v>
      </c>
      <c r="AA181" s="7">
        <f>SUM(X181:Z181)</f>
        <v>14089822645.149166</v>
      </c>
      <c r="AB181" s="7"/>
    </row>
    <row r="182" spans="1:28" s="20" customFormat="1" ht="16.5" thickBot="1">
      <c r="A182" s="20">
        <f t="shared" si="41"/>
        <v>176</v>
      </c>
      <c r="B182" s="274"/>
      <c r="C182" s="274"/>
      <c r="D182" s="274"/>
      <c r="E182" s="274"/>
      <c r="F182" s="274"/>
      <c r="G182" s="274"/>
      <c r="H182" s="274"/>
      <c r="I182" s="274"/>
      <c r="J182" s="274"/>
      <c r="K182" s="274"/>
      <c r="L182" s="274"/>
      <c r="M182" s="274"/>
      <c r="N182" s="274"/>
      <c r="O182" s="274"/>
      <c r="P182" s="274"/>
      <c r="Q182" s="21" t="e">
        <f t="shared" ref="Q182:Q245" si="53">AVERAGE(D182:O182)</f>
        <v>#DIV/0!</v>
      </c>
      <c r="V182" s="274"/>
      <c r="W182" s="290" t="s">
        <v>0</v>
      </c>
      <c r="X182" s="293">
        <f>+X181-X180</f>
        <v>28493963.911447883</v>
      </c>
      <c r="Y182" s="7">
        <f>+Y181-Y180</f>
        <v>413134191.84504509</v>
      </c>
      <c r="Z182" s="7">
        <f>+Z181-Z180</f>
        <v>51741704.231981516</v>
      </c>
      <c r="AA182" s="7">
        <f>SUM(X182:Z182)</f>
        <v>493369859.98847449</v>
      </c>
      <c r="AB182" s="7"/>
    </row>
    <row r="183" spans="1:28" s="20" customFormat="1" ht="16.5" thickBot="1">
      <c r="B183" s="274"/>
      <c r="C183" s="274"/>
      <c r="D183" s="274"/>
      <c r="E183" s="274"/>
      <c r="F183" s="274"/>
      <c r="G183" s="274"/>
      <c r="H183" s="274"/>
      <c r="I183" s="274"/>
      <c r="J183" s="274"/>
      <c r="K183" s="274"/>
      <c r="L183" s="274"/>
      <c r="M183" s="274"/>
      <c r="N183" s="274"/>
      <c r="O183" s="274"/>
      <c r="P183" s="274"/>
      <c r="Q183" s="21" t="e">
        <f t="shared" si="53"/>
        <v>#DIV/0!</v>
      </c>
      <c r="AB183" s="7"/>
    </row>
    <row r="184" spans="1:28" s="20" customFormat="1" ht="16.5" thickBot="1">
      <c r="B184" s="274"/>
      <c r="C184" s="274"/>
      <c r="D184" s="274"/>
      <c r="E184" s="274"/>
      <c r="F184" s="274"/>
      <c r="G184" s="274"/>
      <c r="H184" s="274"/>
      <c r="I184" s="274"/>
      <c r="J184" s="274"/>
      <c r="K184" s="274"/>
      <c r="L184" s="274"/>
      <c r="M184" s="274"/>
      <c r="N184" s="274"/>
      <c r="O184" s="274"/>
      <c r="P184" s="274"/>
      <c r="Q184" s="21" t="e">
        <f t="shared" si="53"/>
        <v>#DIV/0!</v>
      </c>
      <c r="V184" s="299" t="s">
        <v>781</v>
      </c>
      <c r="W184" s="300"/>
      <c r="X184" s="291">
        <f>X182-'ISWC - As Approved'!X182</f>
        <v>21526449.093445659</v>
      </c>
      <c r="AB184" s="7"/>
    </row>
    <row r="185" spans="1:28" s="20" customFormat="1">
      <c r="B185" s="274"/>
      <c r="C185" s="274"/>
      <c r="D185" s="274"/>
      <c r="E185" s="274"/>
      <c r="F185" s="274"/>
      <c r="G185" s="274"/>
      <c r="H185" s="274"/>
      <c r="I185" s="274"/>
      <c r="J185" s="274"/>
      <c r="K185" s="274"/>
      <c r="L185" s="274"/>
      <c r="M185" s="274"/>
      <c r="N185" s="274"/>
      <c r="O185" s="274"/>
      <c r="P185" s="274"/>
      <c r="Q185" s="21" t="e">
        <f t="shared" si="53"/>
        <v>#DIV/0!</v>
      </c>
      <c r="V185" s="274"/>
      <c r="W185" s="274"/>
      <c r="X185" s="274"/>
      <c r="Y185" s="7"/>
      <c r="Z185" s="7"/>
      <c r="AA185" s="7"/>
      <c r="AB185" s="7"/>
    </row>
    <row r="186" spans="1:28" s="20" customFormat="1">
      <c r="B186" s="274"/>
      <c r="C186" s="274"/>
      <c r="D186" s="274"/>
      <c r="E186" s="274"/>
      <c r="F186" s="274"/>
      <c r="G186" s="274"/>
      <c r="H186" s="274"/>
      <c r="I186" s="274"/>
      <c r="J186" s="274"/>
      <c r="K186" s="274"/>
      <c r="L186" s="274"/>
      <c r="M186" s="274"/>
      <c r="N186" s="274"/>
      <c r="O186" s="274"/>
      <c r="P186" s="274"/>
      <c r="Q186" s="21" t="e">
        <f t="shared" si="53"/>
        <v>#DIV/0!</v>
      </c>
      <c r="X186" s="7"/>
      <c r="Y186" s="7"/>
      <c r="Z186" s="7"/>
      <c r="AA186" s="7"/>
      <c r="AB186" s="7"/>
    </row>
    <row r="187" spans="1:28" s="20" customFormat="1">
      <c r="B187" s="274"/>
      <c r="C187" s="274"/>
      <c r="D187" s="274"/>
      <c r="E187" s="274"/>
      <c r="F187" s="274"/>
      <c r="G187" s="274"/>
      <c r="H187" s="274"/>
      <c r="I187" s="274"/>
      <c r="J187" s="274"/>
      <c r="K187" s="274"/>
      <c r="L187" s="274"/>
      <c r="M187" s="274"/>
      <c r="N187" s="274"/>
      <c r="O187" s="274"/>
      <c r="P187" s="274"/>
      <c r="Q187" s="21" t="e">
        <f t="shared" si="53"/>
        <v>#DIV/0!</v>
      </c>
      <c r="X187" s="7"/>
      <c r="Y187" s="7"/>
      <c r="Z187" s="7"/>
      <c r="AA187" s="7"/>
      <c r="AB187" s="7"/>
    </row>
    <row r="188" spans="1:28" s="20" customFormat="1">
      <c r="B188" s="274"/>
      <c r="C188" s="274"/>
      <c r="D188" s="274"/>
      <c r="E188" s="274"/>
      <c r="F188" s="274"/>
      <c r="G188" s="274"/>
      <c r="H188" s="274"/>
      <c r="I188" s="274"/>
      <c r="J188" s="274"/>
      <c r="K188" s="274"/>
      <c r="L188" s="274"/>
      <c r="M188" s="274"/>
      <c r="N188" s="274"/>
      <c r="O188" s="274"/>
      <c r="P188" s="274"/>
      <c r="Q188" s="21" t="e">
        <f t="shared" si="53"/>
        <v>#DIV/0!</v>
      </c>
      <c r="X188" s="7"/>
      <c r="Y188" s="7"/>
      <c r="Z188" s="7"/>
      <c r="AA188" s="7"/>
      <c r="AB188" s="7"/>
    </row>
    <row r="189" spans="1:28" s="20" customFormat="1">
      <c r="B189" s="274"/>
      <c r="C189" s="274"/>
      <c r="D189" s="274"/>
      <c r="E189" s="274"/>
      <c r="F189" s="274"/>
      <c r="G189" s="274"/>
      <c r="H189" s="274"/>
      <c r="I189" s="274"/>
      <c r="J189" s="274"/>
      <c r="K189" s="274"/>
      <c r="L189" s="274"/>
      <c r="M189" s="274"/>
      <c r="N189" s="274"/>
      <c r="O189" s="274"/>
      <c r="P189" s="274"/>
      <c r="Q189" s="21" t="e">
        <f t="shared" si="53"/>
        <v>#DIV/0!</v>
      </c>
      <c r="AB189" s="7"/>
    </row>
    <row r="190" spans="1:28" s="20" customFormat="1">
      <c r="B190" s="274"/>
      <c r="C190" s="274"/>
      <c r="D190" s="274"/>
      <c r="E190" s="274"/>
      <c r="F190" s="274"/>
      <c r="G190" s="274"/>
      <c r="H190" s="274"/>
      <c r="I190" s="274"/>
      <c r="J190" s="274"/>
      <c r="K190" s="274"/>
      <c r="L190" s="274"/>
      <c r="M190" s="274"/>
      <c r="N190" s="274"/>
      <c r="O190" s="274"/>
      <c r="P190" s="274"/>
      <c r="Q190" s="21" t="e">
        <f t="shared" si="53"/>
        <v>#DIV/0!</v>
      </c>
      <c r="AB190" s="7"/>
    </row>
    <row r="191" spans="1:28" s="20" customFormat="1">
      <c r="B191" s="274"/>
      <c r="C191" s="274"/>
      <c r="D191" s="274"/>
      <c r="E191" s="274"/>
      <c r="F191" s="274"/>
      <c r="G191" s="274"/>
      <c r="H191" s="274"/>
      <c r="I191" s="274"/>
      <c r="J191" s="274"/>
      <c r="K191" s="274"/>
      <c r="L191" s="274"/>
      <c r="M191" s="274"/>
      <c r="N191" s="274"/>
      <c r="O191" s="274"/>
      <c r="P191" s="274"/>
      <c r="Q191" s="21" t="e">
        <f t="shared" si="53"/>
        <v>#DIV/0!</v>
      </c>
      <c r="AB191" s="7"/>
    </row>
    <row r="192" spans="1:28" s="20" customFormat="1">
      <c r="B192" s="274"/>
      <c r="C192" s="274"/>
      <c r="D192" s="274"/>
      <c r="E192" s="274"/>
      <c r="F192" s="274"/>
      <c r="G192" s="274"/>
      <c r="H192" s="274"/>
      <c r="I192" s="274"/>
      <c r="J192" s="274"/>
      <c r="K192" s="274"/>
      <c r="L192" s="274"/>
      <c r="M192" s="274"/>
      <c r="N192" s="274"/>
      <c r="O192" s="274"/>
      <c r="P192" s="274"/>
      <c r="Q192" s="21" t="e">
        <f t="shared" si="53"/>
        <v>#DIV/0!</v>
      </c>
      <c r="X192" s="277"/>
      <c r="Y192" s="277"/>
      <c r="Z192" s="7"/>
      <c r="AA192" s="7"/>
      <c r="AB192" s="7"/>
    </row>
    <row r="193" spans="2:28" s="20" customFormat="1">
      <c r="B193" s="274"/>
      <c r="C193" s="274"/>
      <c r="D193" s="274"/>
      <c r="E193" s="274"/>
      <c r="F193" s="274"/>
      <c r="G193" s="274"/>
      <c r="H193" s="274"/>
      <c r="I193" s="274"/>
      <c r="J193" s="274"/>
      <c r="K193" s="274"/>
      <c r="L193" s="274"/>
      <c r="M193" s="274"/>
      <c r="N193" s="274"/>
      <c r="O193" s="274"/>
      <c r="P193" s="274"/>
      <c r="Q193" s="21" t="e">
        <f t="shared" si="53"/>
        <v>#DIV/0!</v>
      </c>
      <c r="X193" s="7"/>
      <c r="Y193" s="7"/>
      <c r="Z193" s="7"/>
      <c r="AA193" s="7"/>
      <c r="AB193" s="7"/>
    </row>
    <row r="194" spans="2:28" s="20" customFormat="1">
      <c r="B194" s="274"/>
      <c r="C194" s="274"/>
      <c r="D194" s="274"/>
      <c r="E194" s="274"/>
      <c r="F194" s="274"/>
      <c r="G194" s="274"/>
      <c r="H194" s="274"/>
      <c r="I194" s="274"/>
      <c r="J194" s="274"/>
      <c r="K194" s="274"/>
      <c r="L194" s="274"/>
      <c r="M194" s="274"/>
      <c r="N194" s="274"/>
      <c r="O194" s="274"/>
      <c r="P194" s="274"/>
      <c r="Q194" s="21" t="e">
        <f t="shared" si="53"/>
        <v>#DIV/0!</v>
      </c>
      <c r="X194" s="7"/>
      <c r="Y194" s="7"/>
      <c r="Z194" s="7"/>
      <c r="AA194" s="7"/>
      <c r="AB194" s="7"/>
    </row>
    <row r="195" spans="2:28" s="20" customFormat="1">
      <c r="B195" s="274"/>
      <c r="C195" s="274"/>
      <c r="D195" s="274"/>
      <c r="E195" s="274"/>
      <c r="F195" s="274"/>
      <c r="G195" s="274"/>
      <c r="H195" s="274"/>
      <c r="I195" s="274"/>
      <c r="J195" s="274"/>
      <c r="K195" s="274"/>
      <c r="L195" s="274"/>
      <c r="M195" s="274"/>
      <c r="N195" s="274"/>
      <c r="O195" s="274"/>
      <c r="P195" s="274"/>
      <c r="Q195" s="21" t="e">
        <f t="shared" si="53"/>
        <v>#DIV/0!</v>
      </c>
      <c r="X195" s="7"/>
      <c r="Y195" s="7"/>
      <c r="Z195" s="7"/>
      <c r="AA195" s="7"/>
      <c r="AB195" s="7"/>
    </row>
    <row r="196" spans="2:28" s="20" customFormat="1">
      <c r="B196" s="274"/>
      <c r="C196" s="274"/>
      <c r="D196" s="274"/>
      <c r="E196" s="274"/>
      <c r="F196" s="274"/>
      <c r="G196" s="274"/>
      <c r="H196" s="274"/>
      <c r="I196" s="274"/>
      <c r="J196" s="274"/>
      <c r="K196" s="274"/>
      <c r="L196" s="274"/>
      <c r="M196" s="274"/>
      <c r="N196" s="274"/>
      <c r="O196" s="274"/>
      <c r="P196" s="274"/>
      <c r="Q196" s="21" t="e">
        <f t="shared" si="53"/>
        <v>#DIV/0!</v>
      </c>
      <c r="X196" s="7"/>
      <c r="Y196" s="7"/>
      <c r="Z196" s="7"/>
      <c r="AA196" s="7"/>
      <c r="AB196" s="7"/>
    </row>
    <row r="197" spans="2:28" s="20" customFormat="1">
      <c r="B197" s="274"/>
      <c r="C197" s="274"/>
      <c r="D197" s="274"/>
      <c r="E197" s="274"/>
      <c r="F197" s="274"/>
      <c r="G197" s="274"/>
      <c r="H197" s="274"/>
      <c r="I197" s="274"/>
      <c r="J197" s="274"/>
      <c r="K197" s="274"/>
      <c r="L197" s="274"/>
      <c r="M197" s="274"/>
      <c r="N197" s="274"/>
      <c r="O197" s="274"/>
      <c r="P197" s="274"/>
      <c r="Q197" s="21" t="e">
        <f t="shared" si="53"/>
        <v>#DIV/0!</v>
      </c>
      <c r="X197" s="7"/>
      <c r="Y197" s="7"/>
      <c r="Z197" s="7"/>
      <c r="AA197" s="7"/>
      <c r="AB197" s="7"/>
    </row>
    <row r="198" spans="2:28" s="20" customFormat="1">
      <c r="B198" s="274"/>
      <c r="C198" s="274"/>
      <c r="D198" s="274"/>
      <c r="E198" s="274"/>
      <c r="F198" s="274"/>
      <c r="G198" s="274"/>
      <c r="H198" s="274"/>
      <c r="I198" s="274"/>
      <c r="J198" s="274"/>
      <c r="K198" s="274"/>
      <c r="L198" s="274"/>
      <c r="M198" s="274"/>
      <c r="N198" s="274"/>
      <c r="O198" s="274"/>
      <c r="P198" s="274"/>
      <c r="Q198" s="21" t="e">
        <f t="shared" si="53"/>
        <v>#DIV/0!</v>
      </c>
      <c r="X198" s="7"/>
      <c r="Y198" s="7"/>
      <c r="Z198" s="7"/>
      <c r="AA198" s="7"/>
      <c r="AB198" s="7"/>
    </row>
    <row r="199" spans="2:28" s="20" customFormat="1">
      <c r="B199" s="274"/>
      <c r="C199" s="274"/>
      <c r="D199" s="274"/>
      <c r="E199" s="274"/>
      <c r="F199" s="274"/>
      <c r="G199" s="274"/>
      <c r="H199" s="274"/>
      <c r="I199" s="274"/>
      <c r="J199" s="274"/>
      <c r="K199" s="274"/>
      <c r="L199" s="274"/>
      <c r="M199" s="274"/>
      <c r="N199" s="274"/>
      <c r="O199" s="274"/>
      <c r="P199" s="274"/>
      <c r="Q199" s="21" t="e">
        <f t="shared" si="53"/>
        <v>#DIV/0!</v>
      </c>
      <c r="X199" s="7"/>
      <c r="Y199" s="7"/>
      <c r="Z199" s="7"/>
      <c r="AA199" s="7"/>
      <c r="AB199" s="7"/>
    </row>
    <row r="200" spans="2:28" s="20" customFormat="1">
      <c r="B200" s="274"/>
      <c r="C200" s="274"/>
      <c r="D200" s="274"/>
      <c r="E200" s="274"/>
      <c r="F200" s="274"/>
      <c r="G200" s="274"/>
      <c r="H200" s="274"/>
      <c r="I200" s="274"/>
      <c r="J200" s="274"/>
      <c r="K200" s="274"/>
      <c r="L200" s="274"/>
      <c r="M200" s="274"/>
      <c r="N200" s="274"/>
      <c r="O200" s="274"/>
      <c r="P200" s="274"/>
      <c r="Q200" s="21" t="e">
        <f t="shared" si="53"/>
        <v>#DIV/0!</v>
      </c>
      <c r="X200" s="7"/>
      <c r="Y200" s="7"/>
      <c r="Z200" s="7"/>
      <c r="AA200" s="7"/>
      <c r="AB200" s="7"/>
    </row>
    <row r="201" spans="2:28" s="20" customFormat="1">
      <c r="B201" s="274"/>
      <c r="C201" s="274"/>
      <c r="D201" s="274"/>
      <c r="E201" s="274"/>
      <c r="F201" s="274"/>
      <c r="G201" s="274"/>
      <c r="H201" s="274"/>
      <c r="I201" s="274"/>
      <c r="J201" s="274"/>
      <c r="K201" s="274"/>
      <c r="L201" s="274"/>
      <c r="M201" s="274"/>
      <c r="N201" s="274"/>
      <c r="O201" s="274"/>
      <c r="P201" s="274"/>
      <c r="Q201" s="21" t="e">
        <f t="shared" si="53"/>
        <v>#DIV/0!</v>
      </c>
      <c r="X201" s="7"/>
      <c r="Y201" s="7"/>
      <c r="Z201" s="7"/>
      <c r="AA201" s="7"/>
      <c r="AB201" s="7"/>
    </row>
    <row r="202" spans="2:28" s="20" customFormat="1">
      <c r="B202" s="274"/>
      <c r="C202" s="274"/>
      <c r="D202" s="274"/>
      <c r="E202" s="274"/>
      <c r="F202" s="274"/>
      <c r="G202" s="274"/>
      <c r="H202" s="274"/>
      <c r="I202" s="274"/>
      <c r="J202" s="274"/>
      <c r="K202" s="274"/>
      <c r="L202" s="274"/>
      <c r="M202" s="274"/>
      <c r="N202" s="274"/>
      <c r="O202" s="274"/>
      <c r="P202" s="274"/>
      <c r="Q202" s="21" t="e">
        <f t="shared" si="53"/>
        <v>#DIV/0!</v>
      </c>
      <c r="X202" s="7"/>
      <c r="Y202" s="7"/>
      <c r="Z202" s="7"/>
      <c r="AA202" s="7"/>
      <c r="AB202" s="7"/>
    </row>
    <row r="203" spans="2:28" s="20" customFormat="1">
      <c r="B203" s="274"/>
      <c r="C203" s="274"/>
      <c r="D203" s="274"/>
      <c r="E203" s="274"/>
      <c r="F203" s="274"/>
      <c r="G203" s="274"/>
      <c r="H203" s="274"/>
      <c r="I203" s="274"/>
      <c r="J203" s="274"/>
      <c r="K203" s="274"/>
      <c r="L203" s="274"/>
      <c r="M203" s="274"/>
      <c r="N203" s="274"/>
      <c r="O203" s="274"/>
      <c r="P203" s="274"/>
      <c r="Q203" s="21" t="e">
        <f t="shared" si="53"/>
        <v>#DIV/0!</v>
      </c>
      <c r="X203" s="7"/>
      <c r="Y203" s="7"/>
      <c r="Z203" s="7"/>
      <c r="AA203" s="7"/>
      <c r="AB203" s="7"/>
    </row>
    <row r="204" spans="2:28" s="20" customFormat="1">
      <c r="B204" s="274"/>
      <c r="C204" s="274"/>
      <c r="D204" s="274"/>
      <c r="E204" s="274"/>
      <c r="F204" s="274"/>
      <c r="G204" s="274"/>
      <c r="H204" s="274"/>
      <c r="I204" s="274"/>
      <c r="J204" s="274"/>
      <c r="K204" s="274"/>
      <c r="L204" s="274"/>
      <c r="M204" s="274"/>
      <c r="N204" s="274"/>
      <c r="O204" s="274"/>
      <c r="P204" s="274"/>
      <c r="Q204" s="21" t="e">
        <f t="shared" si="53"/>
        <v>#DIV/0!</v>
      </c>
      <c r="X204" s="7"/>
      <c r="Y204" s="7"/>
      <c r="Z204" s="7"/>
      <c r="AA204" s="7"/>
      <c r="AB204" s="7"/>
    </row>
    <row r="205" spans="2:28" s="20" customFormat="1">
      <c r="B205" s="274"/>
      <c r="C205" s="274"/>
      <c r="D205" s="274"/>
      <c r="E205" s="274"/>
      <c r="F205" s="274"/>
      <c r="G205" s="274"/>
      <c r="H205" s="274"/>
      <c r="I205" s="274"/>
      <c r="J205" s="274"/>
      <c r="K205" s="274"/>
      <c r="L205" s="274"/>
      <c r="M205" s="274"/>
      <c r="N205" s="274"/>
      <c r="O205" s="274"/>
      <c r="P205" s="274"/>
      <c r="Q205" s="21" t="e">
        <f t="shared" si="53"/>
        <v>#DIV/0!</v>
      </c>
      <c r="X205" s="7"/>
      <c r="Y205" s="7"/>
      <c r="Z205" s="7"/>
      <c r="AA205" s="7"/>
      <c r="AB205" s="7"/>
    </row>
    <row r="206" spans="2:28" s="20" customFormat="1">
      <c r="B206" s="274"/>
      <c r="C206" s="274"/>
      <c r="D206" s="274"/>
      <c r="E206" s="274"/>
      <c r="F206" s="274"/>
      <c r="G206" s="274"/>
      <c r="H206" s="274"/>
      <c r="I206" s="274"/>
      <c r="J206" s="274"/>
      <c r="K206" s="274"/>
      <c r="L206" s="274"/>
      <c r="M206" s="274"/>
      <c r="N206" s="274"/>
      <c r="O206" s="274"/>
      <c r="P206" s="274"/>
      <c r="Q206" s="21" t="e">
        <f t="shared" si="53"/>
        <v>#DIV/0!</v>
      </c>
      <c r="X206" s="7"/>
      <c r="Y206" s="7"/>
      <c r="Z206" s="7"/>
      <c r="AA206" s="7"/>
      <c r="AB206" s="7"/>
    </row>
    <row r="207" spans="2:28" s="20" customFormat="1">
      <c r="B207" s="274"/>
      <c r="C207" s="274"/>
      <c r="D207" s="274"/>
      <c r="E207" s="274"/>
      <c r="F207" s="274"/>
      <c r="G207" s="274"/>
      <c r="H207" s="274"/>
      <c r="I207" s="274"/>
      <c r="J207" s="274"/>
      <c r="K207" s="274"/>
      <c r="L207" s="274"/>
      <c r="M207" s="274"/>
      <c r="N207" s="274"/>
      <c r="O207" s="274"/>
      <c r="P207" s="274"/>
      <c r="Q207" s="21" t="e">
        <f t="shared" si="53"/>
        <v>#DIV/0!</v>
      </c>
      <c r="X207" s="7"/>
      <c r="Y207" s="7"/>
      <c r="Z207" s="7"/>
      <c r="AA207" s="7"/>
      <c r="AB207" s="7"/>
    </row>
    <row r="208" spans="2:28" s="20" customFormat="1">
      <c r="B208" s="274"/>
      <c r="C208" s="274"/>
      <c r="D208" s="274"/>
      <c r="E208" s="274"/>
      <c r="F208" s="274"/>
      <c r="G208" s="274"/>
      <c r="H208" s="274"/>
      <c r="I208" s="274"/>
      <c r="J208" s="274"/>
      <c r="K208" s="274"/>
      <c r="L208" s="274"/>
      <c r="M208" s="274"/>
      <c r="N208" s="274"/>
      <c r="O208" s="274"/>
      <c r="P208" s="274"/>
      <c r="Q208" s="21" t="e">
        <f t="shared" si="53"/>
        <v>#DIV/0!</v>
      </c>
      <c r="X208" s="7"/>
      <c r="Y208" s="7"/>
      <c r="Z208" s="7"/>
      <c r="AA208" s="7"/>
      <c r="AB208" s="7"/>
    </row>
    <row r="209" spans="2:28" s="20" customFormat="1">
      <c r="B209" s="274"/>
      <c r="C209" s="274"/>
      <c r="D209" s="274"/>
      <c r="E209" s="274"/>
      <c r="F209" s="274"/>
      <c r="G209" s="274"/>
      <c r="H209" s="274"/>
      <c r="I209" s="274"/>
      <c r="J209" s="274"/>
      <c r="K209" s="274"/>
      <c r="L209" s="274"/>
      <c r="M209" s="274"/>
      <c r="N209" s="274"/>
      <c r="O209" s="274"/>
      <c r="P209" s="274"/>
      <c r="Q209" s="21" t="e">
        <f t="shared" si="53"/>
        <v>#DIV/0!</v>
      </c>
      <c r="X209" s="7"/>
      <c r="Y209" s="7"/>
      <c r="Z209" s="7"/>
      <c r="AA209" s="7"/>
      <c r="AB209" s="7"/>
    </row>
    <row r="210" spans="2:28" s="20" customFormat="1">
      <c r="B210" s="274"/>
      <c r="C210" s="274"/>
      <c r="D210" s="274"/>
      <c r="E210" s="274"/>
      <c r="F210" s="274"/>
      <c r="G210" s="274"/>
      <c r="H210" s="274"/>
      <c r="I210" s="274"/>
      <c r="J210" s="274"/>
      <c r="K210" s="274"/>
      <c r="L210" s="274"/>
      <c r="M210" s="274"/>
      <c r="N210" s="274"/>
      <c r="O210" s="274"/>
      <c r="P210" s="274"/>
      <c r="Q210" s="21" t="e">
        <f t="shared" si="53"/>
        <v>#DIV/0!</v>
      </c>
      <c r="X210" s="7"/>
      <c r="Y210" s="7"/>
      <c r="Z210" s="7"/>
      <c r="AA210" s="7"/>
      <c r="AB210" s="7"/>
    </row>
    <row r="211" spans="2:28" s="20" customFormat="1">
      <c r="B211" s="274"/>
      <c r="C211" s="274"/>
      <c r="D211" s="274"/>
      <c r="E211" s="274"/>
      <c r="F211" s="274"/>
      <c r="G211" s="274"/>
      <c r="H211" s="274"/>
      <c r="I211" s="274"/>
      <c r="J211" s="274"/>
      <c r="K211" s="274"/>
      <c r="L211" s="274"/>
      <c r="M211" s="274"/>
      <c r="N211" s="274"/>
      <c r="O211" s="274"/>
      <c r="P211" s="274"/>
      <c r="Q211" s="21" t="e">
        <f t="shared" si="53"/>
        <v>#DIV/0!</v>
      </c>
      <c r="X211" s="7"/>
      <c r="Y211" s="7"/>
      <c r="Z211" s="7"/>
      <c r="AA211" s="7"/>
      <c r="AB211" s="7"/>
    </row>
    <row r="212" spans="2:28" s="20" customFormat="1">
      <c r="B212" s="274"/>
      <c r="C212" s="274"/>
      <c r="D212" s="274"/>
      <c r="E212" s="274"/>
      <c r="F212" s="274"/>
      <c r="G212" s="274"/>
      <c r="H212" s="274"/>
      <c r="I212" s="274"/>
      <c r="J212" s="274"/>
      <c r="K212" s="274"/>
      <c r="L212" s="274"/>
      <c r="M212" s="274"/>
      <c r="N212" s="274"/>
      <c r="O212" s="274"/>
      <c r="P212" s="274"/>
      <c r="Q212" s="21" t="e">
        <f t="shared" si="53"/>
        <v>#DIV/0!</v>
      </c>
      <c r="X212" s="7"/>
      <c r="Y212" s="7"/>
      <c r="Z212" s="7"/>
      <c r="AA212" s="7"/>
      <c r="AB212" s="7"/>
    </row>
    <row r="213" spans="2:28" s="20" customFormat="1">
      <c r="B213" s="274"/>
      <c r="C213" s="274"/>
      <c r="D213" s="274"/>
      <c r="E213" s="274"/>
      <c r="F213" s="274"/>
      <c r="G213" s="274"/>
      <c r="H213" s="274"/>
      <c r="I213" s="274"/>
      <c r="J213" s="274"/>
      <c r="K213" s="274"/>
      <c r="L213" s="274"/>
      <c r="M213" s="274"/>
      <c r="N213" s="274"/>
      <c r="O213" s="274"/>
      <c r="P213" s="274"/>
      <c r="Q213" s="21" t="e">
        <f t="shared" si="53"/>
        <v>#DIV/0!</v>
      </c>
      <c r="X213" s="7"/>
      <c r="Y213" s="7"/>
      <c r="Z213" s="7"/>
      <c r="AA213" s="7"/>
      <c r="AB213" s="7"/>
    </row>
    <row r="214" spans="2:28" s="20" customFormat="1">
      <c r="B214" s="274"/>
      <c r="C214" s="274"/>
      <c r="D214" s="274"/>
      <c r="E214" s="274"/>
      <c r="F214" s="274"/>
      <c r="G214" s="274"/>
      <c r="H214" s="274"/>
      <c r="I214" s="274"/>
      <c r="J214" s="274"/>
      <c r="K214" s="274"/>
      <c r="L214" s="274"/>
      <c r="M214" s="274"/>
      <c r="N214" s="274"/>
      <c r="O214" s="274"/>
      <c r="P214" s="274"/>
      <c r="Q214" s="21" t="e">
        <f t="shared" si="53"/>
        <v>#DIV/0!</v>
      </c>
      <c r="X214" s="7"/>
      <c r="Y214" s="7"/>
      <c r="Z214" s="7"/>
      <c r="AA214" s="7"/>
      <c r="AB214" s="7"/>
    </row>
    <row r="215" spans="2:28" s="20" customFormat="1">
      <c r="B215" s="274"/>
      <c r="C215" s="274"/>
      <c r="D215" s="274"/>
      <c r="E215" s="274"/>
      <c r="F215" s="274"/>
      <c r="G215" s="274"/>
      <c r="H215" s="274"/>
      <c r="I215" s="274"/>
      <c r="J215" s="274"/>
      <c r="K215" s="274"/>
      <c r="L215" s="274"/>
      <c r="M215" s="274"/>
      <c r="N215" s="274"/>
      <c r="O215" s="274"/>
      <c r="P215" s="274"/>
      <c r="Q215" s="21" t="e">
        <f t="shared" si="53"/>
        <v>#DIV/0!</v>
      </c>
      <c r="X215" s="7"/>
      <c r="Y215" s="7"/>
      <c r="Z215" s="7"/>
      <c r="AA215" s="7"/>
      <c r="AB215" s="7"/>
    </row>
    <row r="216" spans="2:28" s="20" customFormat="1">
      <c r="B216" s="274"/>
      <c r="C216" s="274"/>
      <c r="D216" s="274"/>
      <c r="E216" s="274"/>
      <c r="F216" s="274"/>
      <c r="G216" s="274"/>
      <c r="H216" s="274"/>
      <c r="I216" s="274"/>
      <c r="J216" s="274"/>
      <c r="K216" s="274"/>
      <c r="L216" s="274"/>
      <c r="M216" s="274"/>
      <c r="N216" s="274"/>
      <c r="O216" s="274"/>
      <c r="P216" s="274"/>
      <c r="Q216" s="21" t="e">
        <f t="shared" si="53"/>
        <v>#DIV/0!</v>
      </c>
      <c r="X216" s="7"/>
      <c r="Y216" s="7"/>
      <c r="Z216" s="7"/>
      <c r="AA216" s="7"/>
      <c r="AB216" s="7"/>
    </row>
    <row r="217" spans="2:28" s="20" customFormat="1">
      <c r="B217" s="274"/>
      <c r="C217" s="274"/>
      <c r="D217" s="274"/>
      <c r="E217" s="274"/>
      <c r="F217" s="274"/>
      <c r="G217" s="274"/>
      <c r="H217" s="274"/>
      <c r="I217" s="274"/>
      <c r="J217" s="274"/>
      <c r="K217" s="274"/>
      <c r="L217" s="274"/>
      <c r="M217" s="274"/>
      <c r="N217" s="274"/>
      <c r="O217" s="274"/>
      <c r="P217" s="274"/>
      <c r="Q217" s="21" t="e">
        <f t="shared" si="53"/>
        <v>#DIV/0!</v>
      </c>
      <c r="X217" s="7"/>
      <c r="Y217" s="7"/>
      <c r="Z217" s="7"/>
      <c r="AA217" s="7"/>
      <c r="AB217" s="7"/>
    </row>
    <row r="218" spans="2:28" s="20" customFormat="1">
      <c r="B218" s="274"/>
      <c r="C218" s="274"/>
      <c r="D218" s="274"/>
      <c r="E218" s="274"/>
      <c r="F218" s="274"/>
      <c r="G218" s="274"/>
      <c r="H218" s="274"/>
      <c r="I218" s="274"/>
      <c r="J218" s="274"/>
      <c r="K218" s="274"/>
      <c r="L218" s="274"/>
      <c r="M218" s="274"/>
      <c r="N218" s="274"/>
      <c r="O218" s="274"/>
      <c r="P218" s="274"/>
      <c r="Q218" s="21" t="e">
        <f t="shared" si="53"/>
        <v>#DIV/0!</v>
      </c>
      <c r="X218" s="7"/>
      <c r="Y218" s="7"/>
      <c r="Z218" s="7"/>
      <c r="AA218" s="7"/>
      <c r="AB218" s="7"/>
    </row>
    <row r="219" spans="2:28" s="20" customFormat="1">
      <c r="B219" s="274"/>
      <c r="C219" s="274"/>
      <c r="D219" s="274"/>
      <c r="E219" s="274"/>
      <c r="F219" s="274"/>
      <c r="G219" s="274"/>
      <c r="H219" s="274"/>
      <c r="I219" s="274"/>
      <c r="J219" s="274"/>
      <c r="K219" s="274"/>
      <c r="L219" s="274"/>
      <c r="M219" s="274"/>
      <c r="N219" s="274"/>
      <c r="O219" s="274"/>
      <c r="P219" s="274"/>
      <c r="Q219" s="21" t="e">
        <f t="shared" si="53"/>
        <v>#DIV/0!</v>
      </c>
      <c r="X219" s="7"/>
      <c r="Y219" s="7"/>
      <c r="Z219" s="7"/>
      <c r="AA219" s="7"/>
      <c r="AB219" s="7"/>
    </row>
    <row r="220" spans="2:28" s="20" customFormat="1">
      <c r="B220" s="274"/>
      <c r="C220" s="274"/>
      <c r="D220" s="274"/>
      <c r="E220" s="274"/>
      <c r="F220" s="274"/>
      <c r="G220" s="274"/>
      <c r="H220" s="274"/>
      <c r="I220" s="274"/>
      <c r="J220" s="274"/>
      <c r="K220" s="274"/>
      <c r="L220" s="274"/>
      <c r="M220" s="274"/>
      <c r="N220" s="274"/>
      <c r="O220" s="274"/>
      <c r="P220" s="274"/>
      <c r="Q220" s="21" t="e">
        <f t="shared" si="53"/>
        <v>#DIV/0!</v>
      </c>
      <c r="X220" s="7"/>
      <c r="Y220" s="7"/>
      <c r="Z220" s="7"/>
      <c r="AA220" s="7"/>
      <c r="AB220" s="7"/>
    </row>
    <row r="221" spans="2:28" s="20" customFormat="1">
      <c r="B221" s="274"/>
      <c r="C221" s="274"/>
      <c r="D221" s="274"/>
      <c r="E221" s="274"/>
      <c r="F221" s="274"/>
      <c r="G221" s="274"/>
      <c r="H221" s="274"/>
      <c r="I221" s="274"/>
      <c r="J221" s="274"/>
      <c r="K221" s="274"/>
      <c r="L221" s="274"/>
      <c r="M221" s="274"/>
      <c r="N221" s="274"/>
      <c r="O221" s="274"/>
      <c r="P221" s="274"/>
      <c r="Q221" s="21" t="e">
        <f t="shared" si="53"/>
        <v>#DIV/0!</v>
      </c>
      <c r="X221" s="7"/>
      <c r="Y221" s="7"/>
      <c r="Z221" s="7"/>
      <c r="AA221" s="7"/>
      <c r="AB221" s="7"/>
    </row>
    <row r="222" spans="2:28" s="20" customFormat="1">
      <c r="B222" s="274"/>
      <c r="C222" s="274"/>
      <c r="D222" s="274"/>
      <c r="E222" s="274"/>
      <c r="F222" s="274"/>
      <c r="G222" s="274"/>
      <c r="H222" s="274"/>
      <c r="I222" s="274"/>
      <c r="J222" s="274"/>
      <c r="K222" s="274"/>
      <c r="L222" s="274"/>
      <c r="M222" s="274"/>
      <c r="N222" s="274"/>
      <c r="O222" s="274"/>
      <c r="P222" s="274"/>
      <c r="Q222" s="21" t="e">
        <f t="shared" si="53"/>
        <v>#DIV/0!</v>
      </c>
      <c r="X222" s="7"/>
      <c r="Y222" s="7"/>
      <c r="Z222" s="7"/>
      <c r="AA222" s="7"/>
      <c r="AB222" s="7"/>
    </row>
    <row r="223" spans="2:28" s="20" customFormat="1">
      <c r="B223" s="274"/>
      <c r="C223" s="274"/>
      <c r="D223" s="274"/>
      <c r="E223" s="274"/>
      <c r="F223" s="274"/>
      <c r="G223" s="274"/>
      <c r="H223" s="274"/>
      <c r="I223" s="274"/>
      <c r="J223" s="274"/>
      <c r="K223" s="274"/>
      <c r="L223" s="274"/>
      <c r="M223" s="274"/>
      <c r="N223" s="274"/>
      <c r="O223" s="274"/>
      <c r="P223" s="274"/>
      <c r="Q223" s="21" t="e">
        <f t="shared" si="53"/>
        <v>#DIV/0!</v>
      </c>
      <c r="X223" s="7"/>
      <c r="Y223" s="7"/>
      <c r="Z223" s="7"/>
      <c r="AA223" s="7"/>
      <c r="AB223" s="7"/>
    </row>
    <row r="224" spans="2:28" s="20" customFormat="1">
      <c r="B224" s="274"/>
      <c r="C224" s="274"/>
      <c r="D224" s="274"/>
      <c r="E224" s="274"/>
      <c r="F224" s="274"/>
      <c r="G224" s="274"/>
      <c r="H224" s="274"/>
      <c r="I224" s="274"/>
      <c r="J224" s="274"/>
      <c r="K224" s="274"/>
      <c r="L224" s="274"/>
      <c r="M224" s="274"/>
      <c r="N224" s="274"/>
      <c r="O224" s="274"/>
      <c r="P224" s="274"/>
      <c r="Q224" s="21" t="e">
        <f t="shared" si="53"/>
        <v>#DIV/0!</v>
      </c>
      <c r="X224" s="7"/>
      <c r="Y224" s="7"/>
      <c r="Z224" s="7"/>
      <c r="AA224" s="7"/>
      <c r="AB224" s="7"/>
    </row>
    <row r="225" spans="2:28" s="20" customFormat="1">
      <c r="B225" s="274"/>
      <c r="C225" s="274"/>
      <c r="D225" s="274"/>
      <c r="E225" s="274"/>
      <c r="F225" s="274"/>
      <c r="G225" s="274"/>
      <c r="H225" s="274"/>
      <c r="I225" s="274"/>
      <c r="J225" s="274"/>
      <c r="K225" s="274"/>
      <c r="L225" s="274"/>
      <c r="M225" s="274"/>
      <c r="N225" s="274"/>
      <c r="O225" s="274"/>
      <c r="P225" s="274"/>
      <c r="Q225" s="21" t="e">
        <f t="shared" si="53"/>
        <v>#DIV/0!</v>
      </c>
      <c r="X225" s="7"/>
      <c r="Y225" s="7"/>
      <c r="Z225" s="7"/>
      <c r="AA225" s="7"/>
      <c r="AB225" s="7"/>
    </row>
    <row r="226" spans="2:28" s="20" customFormat="1">
      <c r="B226" s="274"/>
      <c r="C226" s="274"/>
      <c r="D226" s="274"/>
      <c r="E226" s="274"/>
      <c r="F226" s="274"/>
      <c r="G226" s="274"/>
      <c r="H226" s="274"/>
      <c r="I226" s="274"/>
      <c r="J226" s="274"/>
      <c r="K226" s="274"/>
      <c r="L226" s="274"/>
      <c r="M226" s="274"/>
      <c r="N226" s="274"/>
      <c r="O226" s="274"/>
      <c r="P226" s="274"/>
      <c r="Q226" s="21" t="e">
        <f t="shared" si="53"/>
        <v>#DIV/0!</v>
      </c>
      <c r="X226" s="7"/>
      <c r="Y226" s="7"/>
      <c r="Z226" s="7"/>
      <c r="AA226" s="7"/>
      <c r="AB226" s="7"/>
    </row>
    <row r="227" spans="2:28" s="20" customFormat="1">
      <c r="B227" s="274"/>
      <c r="C227" s="274"/>
      <c r="D227" s="274"/>
      <c r="E227" s="274"/>
      <c r="F227" s="274"/>
      <c r="G227" s="274"/>
      <c r="H227" s="274"/>
      <c r="I227" s="274"/>
      <c r="J227" s="274"/>
      <c r="K227" s="274"/>
      <c r="L227" s="274"/>
      <c r="M227" s="274"/>
      <c r="N227" s="274"/>
      <c r="O227" s="274"/>
      <c r="P227" s="274"/>
      <c r="Q227" s="21" t="e">
        <f t="shared" si="53"/>
        <v>#DIV/0!</v>
      </c>
      <c r="X227" s="7"/>
      <c r="Y227" s="7"/>
      <c r="Z227" s="7"/>
      <c r="AA227" s="7"/>
      <c r="AB227" s="7"/>
    </row>
    <row r="228" spans="2:28" s="20" customFormat="1">
      <c r="B228" s="274"/>
      <c r="C228" s="274"/>
      <c r="D228" s="274"/>
      <c r="E228" s="274"/>
      <c r="F228" s="274"/>
      <c r="G228" s="274"/>
      <c r="H228" s="274"/>
      <c r="I228" s="274"/>
      <c r="J228" s="274"/>
      <c r="K228" s="274"/>
      <c r="L228" s="274"/>
      <c r="M228" s="274"/>
      <c r="N228" s="274"/>
      <c r="O228" s="274"/>
      <c r="P228" s="274"/>
      <c r="Q228" s="21" t="e">
        <f t="shared" si="53"/>
        <v>#DIV/0!</v>
      </c>
      <c r="X228" s="7"/>
      <c r="Y228" s="7"/>
      <c r="Z228" s="7"/>
      <c r="AA228" s="7"/>
      <c r="AB228" s="7"/>
    </row>
    <row r="229" spans="2:28" s="20" customFormat="1">
      <c r="B229" s="274"/>
      <c r="C229" s="274"/>
      <c r="D229" s="274"/>
      <c r="E229" s="274"/>
      <c r="F229" s="274"/>
      <c r="G229" s="274"/>
      <c r="H229" s="274"/>
      <c r="I229" s="274"/>
      <c r="J229" s="274"/>
      <c r="K229" s="274"/>
      <c r="L229" s="274"/>
      <c r="M229" s="274"/>
      <c r="N229" s="274"/>
      <c r="O229" s="274"/>
      <c r="P229" s="274"/>
      <c r="Q229" s="21" t="e">
        <f t="shared" si="53"/>
        <v>#DIV/0!</v>
      </c>
      <c r="X229" s="7"/>
      <c r="Y229" s="7"/>
      <c r="Z229" s="7"/>
      <c r="AA229" s="7"/>
      <c r="AB229" s="7"/>
    </row>
    <row r="230" spans="2:28" s="20" customFormat="1">
      <c r="B230" s="274"/>
      <c r="C230" s="274"/>
      <c r="D230" s="274"/>
      <c r="E230" s="274"/>
      <c r="F230" s="274"/>
      <c r="G230" s="274"/>
      <c r="H230" s="274"/>
      <c r="I230" s="274"/>
      <c r="J230" s="274"/>
      <c r="K230" s="274"/>
      <c r="L230" s="274"/>
      <c r="M230" s="274"/>
      <c r="N230" s="274"/>
      <c r="O230" s="274"/>
      <c r="P230" s="274"/>
      <c r="Q230" s="21" t="e">
        <f t="shared" si="53"/>
        <v>#DIV/0!</v>
      </c>
      <c r="X230" s="7"/>
      <c r="Y230" s="7"/>
      <c r="Z230" s="7"/>
      <c r="AA230" s="7"/>
      <c r="AB230" s="7"/>
    </row>
    <row r="231" spans="2:28" s="20" customFormat="1">
      <c r="B231" s="274"/>
      <c r="C231" s="274"/>
      <c r="D231" s="274"/>
      <c r="E231" s="274"/>
      <c r="F231" s="274"/>
      <c r="G231" s="274"/>
      <c r="H231" s="274"/>
      <c r="I231" s="274"/>
      <c r="J231" s="274"/>
      <c r="K231" s="274"/>
      <c r="L231" s="274"/>
      <c r="M231" s="274"/>
      <c r="N231" s="274"/>
      <c r="O231" s="274"/>
      <c r="P231" s="274"/>
      <c r="Q231" s="21" t="e">
        <f t="shared" si="53"/>
        <v>#DIV/0!</v>
      </c>
      <c r="X231" s="7"/>
      <c r="Y231" s="7"/>
      <c r="Z231" s="7"/>
      <c r="AA231" s="7"/>
      <c r="AB231" s="7"/>
    </row>
    <row r="232" spans="2:28" s="20" customFormat="1">
      <c r="B232" s="274"/>
      <c r="C232" s="274"/>
      <c r="D232" s="274"/>
      <c r="E232" s="274"/>
      <c r="F232" s="274"/>
      <c r="G232" s="274"/>
      <c r="H232" s="274"/>
      <c r="I232" s="274"/>
      <c r="J232" s="274"/>
      <c r="K232" s="274"/>
      <c r="L232" s="274"/>
      <c r="M232" s="274"/>
      <c r="N232" s="274"/>
      <c r="O232" s="274"/>
      <c r="P232" s="274"/>
      <c r="Q232" s="21" t="e">
        <f t="shared" si="53"/>
        <v>#DIV/0!</v>
      </c>
      <c r="X232" s="7"/>
      <c r="Y232" s="7"/>
      <c r="Z232" s="7"/>
      <c r="AA232" s="7"/>
      <c r="AB232" s="7"/>
    </row>
    <row r="233" spans="2:28" s="20" customFormat="1">
      <c r="B233" s="274"/>
      <c r="C233" s="274"/>
      <c r="D233" s="274"/>
      <c r="E233" s="274"/>
      <c r="F233" s="274"/>
      <c r="G233" s="274"/>
      <c r="H233" s="274"/>
      <c r="I233" s="274"/>
      <c r="J233" s="274"/>
      <c r="K233" s="274"/>
      <c r="L233" s="274"/>
      <c r="M233" s="274"/>
      <c r="N233" s="274"/>
      <c r="O233" s="274"/>
      <c r="P233" s="274"/>
      <c r="Q233" s="21" t="e">
        <f t="shared" si="53"/>
        <v>#DIV/0!</v>
      </c>
      <c r="X233" s="7"/>
      <c r="Y233" s="7"/>
      <c r="Z233" s="7"/>
      <c r="AA233" s="7"/>
      <c r="AB233" s="7"/>
    </row>
    <row r="234" spans="2:28" s="20" customFormat="1">
      <c r="B234" s="274"/>
      <c r="C234" s="274"/>
      <c r="D234" s="274"/>
      <c r="E234" s="274"/>
      <c r="F234" s="274"/>
      <c r="G234" s="274"/>
      <c r="H234" s="274"/>
      <c r="I234" s="274"/>
      <c r="J234" s="274"/>
      <c r="K234" s="274"/>
      <c r="L234" s="274"/>
      <c r="M234" s="274"/>
      <c r="N234" s="274"/>
      <c r="O234" s="274"/>
      <c r="P234" s="274"/>
      <c r="Q234" s="21" t="e">
        <f t="shared" si="53"/>
        <v>#DIV/0!</v>
      </c>
      <c r="X234" s="7"/>
      <c r="Y234" s="7"/>
      <c r="Z234" s="7"/>
      <c r="AA234" s="7"/>
      <c r="AB234" s="7"/>
    </row>
    <row r="235" spans="2:28" s="20" customFormat="1">
      <c r="B235" s="274"/>
      <c r="C235" s="274"/>
      <c r="D235" s="274"/>
      <c r="E235" s="274"/>
      <c r="F235" s="274"/>
      <c r="G235" s="274"/>
      <c r="H235" s="274"/>
      <c r="I235" s="274"/>
      <c r="J235" s="274"/>
      <c r="K235" s="274"/>
      <c r="L235" s="274"/>
      <c r="M235" s="274"/>
      <c r="N235" s="274"/>
      <c r="O235" s="274"/>
      <c r="P235" s="274"/>
      <c r="Q235" s="21" t="e">
        <f t="shared" si="53"/>
        <v>#DIV/0!</v>
      </c>
      <c r="X235" s="7"/>
      <c r="Y235" s="7"/>
      <c r="Z235" s="7"/>
      <c r="AA235" s="7"/>
      <c r="AB235" s="7"/>
    </row>
    <row r="236" spans="2:28" s="20" customFormat="1">
      <c r="B236" s="274"/>
      <c r="C236" s="274"/>
      <c r="D236" s="274"/>
      <c r="E236" s="274"/>
      <c r="F236" s="274"/>
      <c r="G236" s="274"/>
      <c r="H236" s="274"/>
      <c r="I236" s="274"/>
      <c r="J236" s="274"/>
      <c r="K236" s="274"/>
      <c r="L236" s="274"/>
      <c r="M236" s="274"/>
      <c r="N236" s="274"/>
      <c r="O236" s="274"/>
      <c r="P236" s="274"/>
      <c r="Q236" s="21" t="e">
        <f t="shared" si="53"/>
        <v>#DIV/0!</v>
      </c>
      <c r="X236" s="7"/>
      <c r="Y236" s="7"/>
      <c r="Z236" s="7"/>
      <c r="AA236" s="7"/>
      <c r="AB236" s="7"/>
    </row>
    <row r="237" spans="2:28" s="20" customFormat="1">
      <c r="B237" s="274"/>
      <c r="C237" s="274"/>
      <c r="D237" s="274"/>
      <c r="E237" s="274"/>
      <c r="F237" s="274"/>
      <c r="G237" s="274"/>
      <c r="H237" s="274"/>
      <c r="I237" s="274"/>
      <c r="J237" s="274"/>
      <c r="K237" s="274"/>
      <c r="L237" s="274"/>
      <c r="M237" s="274"/>
      <c r="N237" s="274"/>
      <c r="O237" s="274"/>
      <c r="P237" s="274"/>
      <c r="Q237" s="21" t="e">
        <f t="shared" si="53"/>
        <v>#DIV/0!</v>
      </c>
      <c r="X237" s="7"/>
      <c r="Y237" s="7"/>
      <c r="Z237" s="7"/>
      <c r="AA237" s="7"/>
      <c r="AB237" s="7"/>
    </row>
    <row r="238" spans="2:28" s="20" customFormat="1">
      <c r="B238" s="274"/>
      <c r="C238" s="274"/>
      <c r="D238" s="274"/>
      <c r="E238" s="274"/>
      <c r="F238" s="274"/>
      <c r="G238" s="274"/>
      <c r="H238" s="274"/>
      <c r="I238" s="274"/>
      <c r="J238" s="274"/>
      <c r="K238" s="274"/>
      <c r="L238" s="274"/>
      <c r="M238" s="274"/>
      <c r="N238" s="274"/>
      <c r="O238" s="274"/>
      <c r="P238" s="274"/>
      <c r="Q238" s="21" t="e">
        <f t="shared" si="53"/>
        <v>#DIV/0!</v>
      </c>
      <c r="X238" s="7"/>
      <c r="Y238" s="7"/>
      <c r="Z238" s="7"/>
      <c r="AA238" s="7"/>
      <c r="AB238" s="7"/>
    </row>
    <row r="239" spans="2:28" s="20" customFormat="1">
      <c r="B239" s="274"/>
      <c r="C239" s="274"/>
      <c r="D239" s="274"/>
      <c r="E239" s="274"/>
      <c r="F239" s="274"/>
      <c r="G239" s="274"/>
      <c r="H239" s="274"/>
      <c r="I239" s="274"/>
      <c r="J239" s="274"/>
      <c r="K239" s="274"/>
      <c r="L239" s="274"/>
      <c r="M239" s="274"/>
      <c r="N239" s="274"/>
      <c r="O239" s="274"/>
      <c r="P239" s="274"/>
      <c r="Q239" s="21" t="e">
        <f t="shared" si="53"/>
        <v>#DIV/0!</v>
      </c>
      <c r="X239" s="7"/>
      <c r="Y239" s="7"/>
      <c r="Z239" s="7"/>
      <c r="AA239" s="7"/>
      <c r="AB239" s="7"/>
    </row>
    <row r="240" spans="2:28" s="20" customFormat="1">
      <c r="B240" s="274"/>
      <c r="C240" s="274"/>
      <c r="D240" s="274"/>
      <c r="E240" s="274"/>
      <c r="F240" s="274"/>
      <c r="G240" s="274"/>
      <c r="H240" s="274"/>
      <c r="I240" s="274"/>
      <c r="J240" s="274"/>
      <c r="K240" s="274"/>
      <c r="L240" s="274"/>
      <c r="M240" s="274"/>
      <c r="N240" s="274"/>
      <c r="O240" s="274"/>
      <c r="P240" s="274"/>
      <c r="Q240" s="21" t="e">
        <f t="shared" si="53"/>
        <v>#DIV/0!</v>
      </c>
      <c r="X240" s="7"/>
      <c r="Y240" s="7"/>
      <c r="Z240" s="7"/>
      <c r="AA240" s="7"/>
      <c r="AB240" s="7"/>
    </row>
    <row r="241" spans="2:28" s="20" customFormat="1">
      <c r="B241" s="274"/>
      <c r="C241" s="274"/>
      <c r="D241" s="274"/>
      <c r="E241" s="274"/>
      <c r="F241" s="274"/>
      <c r="G241" s="274"/>
      <c r="H241" s="274"/>
      <c r="I241" s="274"/>
      <c r="J241" s="274"/>
      <c r="K241" s="274"/>
      <c r="L241" s="274"/>
      <c r="M241" s="274"/>
      <c r="N241" s="274"/>
      <c r="O241" s="274"/>
      <c r="P241" s="274"/>
      <c r="Q241" s="21" t="e">
        <f t="shared" si="53"/>
        <v>#DIV/0!</v>
      </c>
      <c r="X241" s="7"/>
      <c r="Y241" s="7"/>
      <c r="Z241" s="7"/>
      <c r="AA241" s="7"/>
      <c r="AB241" s="7"/>
    </row>
    <row r="242" spans="2:28" s="20" customFormat="1">
      <c r="B242" s="274"/>
      <c r="C242" s="274"/>
      <c r="D242" s="274"/>
      <c r="E242" s="274"/>
      <c r="F242" s="274"/>
      <c r="G242" s="274"/>
      <c r="H242" s="274"/>
      <c r="I242" s="274"/>
      <c r="J242" s="274"/>
      <c r="K242" s="274"/>
      <c r="L242" s="274"/>
      <c r="M242" s="274"/>
      <c r="N242" s="274"/>
      <c r="O242" s="274"/>
      <c r="P242" s="274"/>
      <c r="Q242" s="21" t="e">
        <f t="shared" si="53"/>
        <v>#DIV/0!</v>
      </c>
      <c r="X242" s="7"/>
      <c r="Y242" s="7"/>
      <c r="Z242" s="7"/>
      <c r="AA242" s="7"/>
      <c r="AB242" s="7"/>
    </row>
    <row r="243" spans="2:28" s="20" customFormat="1">
      <c r="B243" s="274"/>
      <c r="C243" s="274"/>
      <c r="D243" s="274"/>
      <c r="E243" s="274"/>
      <c r="F243" s="274"/>
      <c r="G243" s="274"/>
      <c r="H243" s="274"/>
      <c r="I243" s="274"/>
      <c r="J243" s="274"/>
      <c r="K243" s="274"/>
      <c r="L243" s="274"/>
      <c r="M243" s="274"/>
      <c r="N243" s="274"/>
      <c r="O243" s="274"/>
      <c r="P243" s="274"/>
      <c r="Q243" s="21" t="e">
        <f t="shared" si="53"/>
        <v>#DIV/0!</v>
      </c>
      <c r="X243" s="7"/>
      <c r="Y243" s="7"/>
      <c r="Z243" s="7"/>
      <c r="AA243" s="7"/>
      <c r="AB243" s="7"/>
    </row>
    <row r="244" spans="2:28" s="20" customFormat="1">
      <c r="B244" s="274"/>
      <c r="C244" s="274"/>
      <c r="D244" s="274"/>
      <c r="E244" s="274"/>
      <c r="F244" s="274"/>
      <c r="G244" s="274"/>
      <c r="H244" s="274"/>
      <c r="I244" s="274"/>
      <c r="J244" s="274"/>
      <c r="K244" s="274"/>
      <c r="L244" s="274"/>
      <c r="M244" s="274"/>
      <c r="N244" s="274"/>
      <c r="O244" s="274"/>
      <c r="P244" s="274"/>
      <c r="Q244" s="21" t="e">
        <f t="shared" si="53"/>
        <v>#DIV/0!</v>
      </c>
      <c r="X244" s="7"/>
      <c r="Y244" s="7"/>
      <c r="Z244" s="7"/>
      <c r="AA244" s="7"/>
      <c r="AB244" s="7"/>
    </row>
    <row r="245" spans="2:28" s="20" customFormat="1">
      <c r="B245" s="274"/>
      <c r="C245" s="274"/>
      <c r="D245" s="274"/>
      <c r="E245" s="274"/>
      <c r="F245" s="274"/>
      <c r="G245" s="274"/>
      <c r="H245" s="274"/>
      <c r="I245" s="274"/>
      <c r="J245" s="274"/>
      <c r="K245" s="274"/>
      <c r="L245" s="274"/>
      <c r="M245" s="274"/>
      <c r="N245" s="274"/>
      <c r="O245" s="274"/>
      <c r="P245" s="274"/>
      <c r="Q245" s="21" t="e">
        <f t="shared" si="53"/>
        <v>#DIV/0!</v>
      </c>
      <c r="X245" s="7"/>
      <c r="Y245" s="7"/>
      <c r="Z245" s="7"/>
      <c r="AA245" s="7"/>
      <c r="AB245" s="7"/>
    </row>
    <row r="246" spans="2:28" s="20" customFormat="1">
      <c r="B246" s="274"/>
      <c r="C246" s="274"/>
      <c r="D246" s="274"/>
      <c r="E246" s="274"/>
      <c r="F246" s="274"/>
      <c r="G246" s="274"/>
      <c r="H246" s="274"/>
      <c r="I246" s="274"/>
      <c r="J246" s="274"/>
      <c r="K246" s="274"/>
      <c r="L246" s="274"/>
      <c r="M246" s="274"/>
      <c r="N246" s="274"/>
      <c r="O246" s="274"/>
      <c r="P246" s="274"/>
      <c r="Q246" s="21" t="e">
        <f t="shared" ref="Q246:Q259" si="54">AVERAGE(D246:O246)</f>
        <v>#DIV/0!</v>
      </c>
      <c r="X246" s="7"/>
      <c r="Y246" s="7"/>
      <c r="Z246" s="7"/>
      <c r="AA246" s="7"/>
      <c r="AB246" s="7"/>
    </row>
    <row r="247" spans="2:28" s="20" customFormat="1">
      <c r="B247" s="274"/>
      <c r="C247" s="274"/>
      <c r="D247" s="274"/>
      <c r="E247" s="274"/>
      <c r="F247" s="274"/>
      <c r="G247" s="274"/>
      <c r="H247" s="274"/>
      <c r="I247" s="274"/>
      <c r="J247" s="274"/>
      <c r="K247" s="274"/>
      <c r="L247" s="274"/>
      <c r="M247" s="274"/>
      <c r="N247" s="274"/>
      <c r="O247" s="274"/>
      <c r="P247" s="274"/>
      <c r="Q247" s="21" t="e">
        <f t="shared" si="54"/>
        <v>#DIV/0!</v>
      </c>
      <c r="X247" s="7"/>
      <c r="Y247" s="7"/>
      <c r="Z247" s="7"/>
      <c r="AA247" s="7"/>
      <c r="AB247" s="7"/>
    </row>
    <row r="248" spans="2:28" s="20" customFormat="1">
      <c r="B248" s="274"/>
      <c r="C248" s="274"/>
      <c r="D248" s="274"/>
      <c r="E248" s="274"/>
      <c r="F248" s="274"/>
      <c r="G248" s="274"/>
      <c r="H248" s="274"/>
      <c r="I248" s="274"/>
      <c r="J248" s="274"/>
      <c r="K248" s="274"/>
      <c r="L248" s="274"/>
      <c r="M248" s="274"/>
      <c r="N248" s="274"/>
      <c r="O248" s="274"/>
      <c r="P248" s="274"/>
      <c r="Q248" s="21" t="e">
        <f t="shared" si="54"/>
        <v>#DIV/0!</v>
      </c>
      <c r="X248" s="7"/>
      <c r="Y248" s="7"/>
      <c r="Z248" s="7"/>
      <c r="AA248" s="7"/>
      <c r="AB248" s="7"/>
    </row>
    <row r="249" spans="2:28" s="20" customFormat="1">
      <c r="B249" s="274"/>
      <c r="C249" s="274"/>
      <c r="D249" s="274"/>
      <c r="E249" s="274"/>
      <c r="F249" s="274"/>
      <c r="G249" s="274"/>
      <c r="H249" s="274"/>
      <c r="I249" s="274"/>
      <c r="J249" s="274"/>
      <c r="K249" s="274"/>
      <c r="L249" s="274"/>
      <c r="M249" s="274"/>
      <c r="N249" s="274"/>
      <c r="O249" s="274"/>
      <c r="P249" s="274"/>
      <c r="Q249" s="21" t="e">
        <f t="shared" si="54"/>
        <v>#DIV/0!</v>
      </c>
      <c r="X249" s="7"/>
      <c r="Y249" s="7"/>
      <c r="Z249" s="7"/>
      <c r="AA249" s="7"/>
      <c r="AB249" s="7"/>
    </row>
    <row r="250" spans="2:28" s="20" customFormat="1">
      <c r="B250" s="274"/>
      <c r="C250" s="274"/>
      <c r="D250" s="274"/>
      <c r="E250" s="274"/>
      <c r="F250" s="274"/>
      <c r="G250" s="274"/>
      <c r="H250" s="274"/>
      <c r="I250" s="274"/>
      <c r="J250" s="274"/>
      <c r="K250" s="274"/>
      <c r="L250" s="274"/>
      <c r="M250" s="274"/>
      <c r="N250" s="274"/>
      <c r="O250" s="274"/>
      <c r="P250" s="274"/>
      <c r="Q250" s="21" t="e">
        <f t="shared" si="54"/>
        <v>#DIV/0!</v>
      </c>
      <c r="X250" s="7"/>
      <c r="Y250" s="7"/>
      <c r="Z250" s="7"/>
      <c r="AA250" s="7"/>
      <c r="AB250" s="7"/>
    </row>
    <row r="251" spans="2:28" s="20" customFormat="1">
      <c r="B251" s="274"/>
      <c r="C251" s="274"/>
      <c r="D251" s="274"/>
      <c r="E251" s="274"/>
      <c r="F251" s="274"/>
      <c r="G251" s="274"/>
      <c r="H251" s="274"/>
      <c r="I251" s="274"/>
      <c r="J251" s="274"/>
      <c r="K251" s="274"/>
      <c r="L251" s="274"/>
      <c r="M251" s="274"/>
      <c r="N251" s="274"/>
      <c r="O251" s="274"/>
      <c r="P251" s="274"/>
      <c r="Q251" s="21" t="e">
        <f t="shared" si="54"/>
        <v>#DIV/0!</v>
      </c>
      <c r="X251" s="7"/>
      <c r="Y251" s="7"/>
      <c r="Z251" s="7"/>
      <c r="AA251" s="7"/>
      <c r="AB251" s="7"/>
    </row>
    <row r="252" spans="2:28" s="20" customFormat="1">
      <c r="B252" s="274"/>
      <c r="C252" s="274"/>
      <c r="D252" s="274"/>
      <c r="E252" s="274"/>
      <c r="F252" s="274"/>
      <c r="G252" s="274"/>
      <c r="H252" s="274"/>
      <c r="I252" s="274"/>
      <c r="J252" s="274"/>
      <c r="K252" s="274"/>
      <c r="L252" s="274"/>
      <c r="M252" s="274"/>
      <c r="N252" s="274"/>
      <c r="O252" s="274"/>
      <c r="P252" s="274"/>
      <c r="Q252" s="21" t="e">
        <f t="shared" si="54"/>
        <v>#DIV/0!</v>
      </c>
      <c r="X252" s="7"/>
      <c r="Y252" s="7"/>
      <c r="Z252" s="7"/>
      <c r="AA252" s="7"/>
      <c r="AB252" s="7"/>
    </row>
    <row r="253" spans="2:28" s="20" customFormat="1">
      <c r="B253" s="274"/>
      <c r="C253" s="274"/>
      <c r="D253" s="274"/>
      <c r="E253" s="274"/>
      <c r="F253" s="274"/>
      <c r="G253" s="274"/>
      <c r="H253" s="274"/>
      <c r="I253" s="274"/>
      <c r="J253" s="274"/>
      <c r="K253" s="274"/>
      <c r="L253" s="274"/>
      <c r="M253" s="274"/>
      <c r="N253" s="274"/>
      <c r="O253" s="274"/>
      <c r="P253" s="274"/>
      <c r="Q253" s="21" t="e">
        <f t="shared" si="54"/>
        <v>#DIV/0!</v>
      </c>
      <c r="X253" s="7"/>
      <c r="Y253" s="7"/>
      <c r="Z253" s="7"/>
      <c r="AA253" s="7"/>
      <c r="AB253" s="7"/>
    </row>
    <row r="254" spans="2:28" s="20" customFormat="1">
      <c r="B254" s="274"/>
      <c r="C254" s="274"/>
      <c r="D254" s="274"/>
      <c r="E254" s="274"/>
      <c r="F254" s="274"/>
      <c r="G254" s="274"/>
      <c r="H254" s="274"/>
      <c r="I254" s="274"/>
      <c r="J254" s="274"/>
      <c r="K254" s="274"/>
      <c r="L254" s="274"/>
      <c r="M254" s="274"/>
      <c r="N254" s="274"/>
      <c r="O254" s="274"/>
      <c r="P254" s="274"/>
      <c r="Q254" s="21" t="e">
        <f t="shared" si="54"/>
        <v>#DIV/0!</v>
      </c>
      <c r="X254" s="7"/>
      <c r="Y254" s="7"/>
      <c r="Z254" s="7"/>
      <c r="AA254" s="7"/>
      <c r="AB254" s="7"/>
    </row>
    <row r="255" spans="2:28" s="20" customFormat="1">
      <c r="B255" s="274"/>
      <c r="C255" s="274"/>
      <c r="D255" s="274"/>
      <c r="E255" s="274"/>
      <c r="F255" s="274"/>
      <c r="G255" s="274"/>
      <c r="H255" s="274"/>
      <c r="I255" s="274"/>
      <c r="J255" s="274"/>
      <c r="K255" s="274"/>
      <c r="L255" s="274"/>
      <c r="M255" s="274"/>
      <c r="N255" s="274"/>
      <c r="O255" s="274"/>
      <c r="P255" s="274"/>
      <c r="Q255" s="21" t="e">
        <f t="shared" si="54"/>
        <v>#DIV/0!</v>
      </c>
      <c r="X255" s="7"/>
      <c r="Y255" s="7"/>
      <c r="Z255" s="7"/>
      <c r="AA255" s="7"/>
      <c r="AB255" s="7"/>
    </row>
    <row r="256" spans="2:28">
      <c r="Q256" s="21" t="e">
        <f t="shared" si="54"/>
        <v>#DIV/0!</v>
      </c>
      <c r="R256" s="20"/>
      <c r="S256" s="20"/>
      <c r="X256" s="292"/>
      <c r="Y256" s="292"/>
      <c r="Z256" s="292"/>
      <c r="AA256" s="292"/>
      <c r="AB256" s="292"/>
    </row>
    <row r="257" spans="17:28">
      <c r="Q257" s="21" t="e">
        <f t="shared" si="54"/>
        <v>#DIV/0!</v>
      </c>
      <c r="R257" s="20"/>
      <c r="S257" s="20"/>
      <c r="X257" s="292"/>
      <c r="Y257" s="292"/>
      <c r="Z257" s="292"/>
      <c r="AA257" s="292"/>
      <c r="AB257" s="292"/>
    </row>
    <row r="258" spans="17:28">
      <c r="Q258" s="21" t="e">
        <f t="shared" si="54"/>
        <v>#DIV/0!</v>
      </c>
      <c r="R258" s="20"/>
      <c r="S258" s="20"/>
      <c r="X258" s="292"/>
      <c r="Y258" s="292"/>
      <c r="Z258" s="292"/>
      <c r="AA258" s="292"/>
      <c r="AB258" s="292"/>
    </row>
    <row r="259" spans="17:28">
      <c r="Q259" s="21" t="e">
        <f t="shared" si="54"/>
        <v>#DIV/0!</v>
      </c>
      <c r="R259" s="20"/>
      <c r="S259" s="20"/>
      <c r="X259" s="292"/>
      <c r="Y259" s="292"/>
      <c r="Z259" s="292"/>
      <c r="AA259" s="292"/>
      <c r="AB259" s="292"/>
    </row>
    <row r="260" spans="17:28">
      <c r="Q260" s="21"/>
      <c r="R260" s="20"/>
      <c r="S260" s="20"/>
      <c r="X260" s="292"/>
      <c r="Y260" s="292"/>
      <c r="Z260" s="292"/>
      <c r="AA260" s="292"/>
      <c r="AB260" s="292"/>
    </row>
    <row r="261" spans="17:28">
      <c r="Q261" s="21"/>
      <c r="R261" s="20"/>
      <c r="S261" s="20"/>
      <c r="X261" s="292"/>
      <c r="Y261" s="292"/>
      <c r="Z261" s="292"/>
      <c r="AA261" s="292"/>
      <c r="AB261" s="292"/>
    </row>
    <row r="262" spans="17:28">
      <c r="X262" s="292"/>
      <c r="Y262" s="292"/>
      <c r="Z262" s="292"/>
      <c r="AA262" s="292"/>
      <c r="AB262" s="292"/>
    </row>
    <row r="263" spans="17:28">
      <c r="X263" s="292"/>
      <c r="Y263" s="292"/>
      <c r="Z263" s="292"/>
      <c r="AA263" s="292"/>
      <c r="AB263" s="292"/>
    </row>
    <row r="264" spans="17:28">
      <c r="X264" s="292"/>
      <c r="Y264" s="292"/>
      <c r="Z264" s="292"/>
      <c r="AA264" s="292"/>
      <c r="AB264" s="292"/>
    </row>
    <row r="265" spans="17:28">
      <c r="X265" s="292"/>
      <c r="Y265" s="292"/>
      <c r="Z265" s="292"/>
      <c r="AA265" s="292"/>
      <c r="AB265" s="292"/>
    </row>
    <row r="266" spans="17:28">
      <c r="X266" s="292"/>
      <c r="Y266" s="292"/>
      <c r="Z266" s="292"/>
      <c r="AA266" s="292"/>
      <c r="AB266" s="292"/>
    </row>
    <row r="267" spans="17:28">
      <c r="X267" s="292"/>
      <c r="Y267" s="292"/>
      <c r="Z267" s="292"/>
      <c r="AA267" s="292"/>
      <c r="AB267" s="292"/>
    </row>
    <row r="268" spans="17:28">
      <c r="X268" s="292"/>
      <c r="Y268" s="292"/>
      <c r="Z268" s="292"/>
      <c r="AA268" s="292"/>
      <c r="AB268" s="292"/>
    </row>
    <row r="269" spans="17:28">
      <c r="X269" s="292"/>
      <c r="Y269" s="292"/>
      <c r="Z269" s="292"/>
      <c r="AA269" s="292"/>
      <c r="AB269" s="292"/>
    </row>
    <row r="270" spans="17:28">
      <c r="X270" s="292"/>
      <c r="Y270" s="292"/>
      <c r="Z270" s="292"/>
      <c r="AA270" s="292"/>
      <c r="AB270" s="292"/>
    </row>
    <row r="271" spans="17:28">
      <c r="X271" s="292"/>
      <c r="Y271" s="292"/>
      <c r="Z271" s="292"/>
      <c r="AA271" s="292"/>
      <c r="AB271" s="292"/>
    </row>
  </sheetData>
  <mergeCells count="2">
    <mergeCell ref="X5:Z5"/>
    <mergeCell ref="V184:W184"/>
  </mergeCells>
  <pageMargins left="0.75" right="0.75" top="1.5" bottom="1" header="0.75" footer="0.5"/>
  <pageSetup scale="58" fitToHeight="0" orientation="landscape" r:id="rId1"/>
  <headerFooter alignWithMargins="0">
    <oddHeader>&amp;L&amp;"Times New Roman,Regular"PacifiCorp&amp;C&amp;"Times New Roman,Regular"Investor-supplied Working Capital&amp;R&amp;"Times New Roman,Regular"Docket No. UE-100749
Exhibit No. TES-2
October 5, 2010</oddHeader>
    <oddFooter>&amp;L&amp;"-,Regular"&amp;8&amp;F (&amp;A)&amp;R&amp;"Times New Roman,Bold"&amp;P of &amp;N</oddFooter>
  </headerFooter>
  <legacyDrawing r:id="rId2"/>
</worksheet>
</file>

<file path=xl/worksheets/sheet10.xml><?xml version="1.0" encoding="utf-8"?>
<worksheet xmlns="http://schemas.openxmlformats.org/spreadsheetml/2006/main" xmlns:r="http://schemas.openxmlformats.org/officeDocument/2006/relationships">
  <dimension ref="A1:O361"/>
  <sheetViews>
    <sheetView workbookViewId="0">
      <selection activeCell="C25" sqref="C25"/>
    </sheetView>
  </sheetViews>
  <sheetFormatPr defaultRowHeight="12.75"/>
  <cols>
    <col min="1" max="1" width="20.28515625" style="83" bestFit="1" customWidth="1"/>
    <col min="2" max="2" width="9.42578125" style="86" bestFit="1" customWidth="1"/>
    <col min="3" max="3" width="7" style="86" bestFit="1" customWidth="1"/>
    <col min="4" max="4" width="10.140625" style="86" bestFit="1" customWidth="1"/>
    <col min="5" max="5" width="4.5703125" style="86" bestFit="1" customWidth="1"/>
    <col min="6" max="6" width="8" style="83" bestFit="1" customWidth="1"/>
    <col min="7" max="7" width="6.42578125" style="83" bestFit="1" customWidth="1"/>
    <col min="8" max="8" width="9.85546875" style="83" bestFit="1" customWidth="1"/>
    <col min="9" max="9" width="9" style="83" bestFit="1" customWidth="1"/>
    <col min="10" max="10" width="7.140625" style="83" bestFit="1" customWidth="1"/>
    <col min="11" max="11" width="8.140625" style="83" bestFit="1" customWidth="1"/>
    <col min="12" max="12" width="2.28515625" style="83" bestFit="1" customWidth="1"/>
    <col min="13" max="14" width="10.7109375" style="83" bestFit="1" customWidth="1"/>
    <col min="15" max="15" width="12.140625" style="83" bestFit="1" customWidth="1"/>
    <col min="16" max="16384" width="9.140625" style="83"/>
  </cols>
  <sheetData>
    <row r="1" spans="1:15">
      <c r="A1" s="81" t="s">
        <v>236</v>
      </c>
      <c r="B1" s="80" t="s">
        <v>238</v>
      </c>
      <c r="C1" s="80" t="s">
        <v>239</v>
      </c>
      <c r="D1" s="80" t="s">
        <v>240</v>
      </c>
      <c r="E1" s="80" t="s">
        <v>257</v>
      </c>
      <c r="F1" s="87" t="s">
        <v>258</v>
      </c>
      <c r="G1" s="87" t="s">
        <v>237</v>
      </c>
      <c r="H1" s="87" t="s">
        <v>259</v>
      </c>
      <c r="I1" s="87" t="s">
        <v>260</v>
      </c>
      <c r="J1" s="87" t="s">
        <v>261</v>
      </c>
      <c r="K1" s="87" t="s">
        <v>262</v>
      </c>
      <c r="L1" s="87" t="s">
        <v>180</v>
      </c>
      <c r="M1" s="88" t="s">
        <v>263</v>
      </c>
      <c r="N1" s="88" t="s">
        <v>264</v>
      </c>
      <c r="O1" s="88" t="s">
        <v>265</v>
      </c>
    </row>
    <row r="2" spans="1:15">
      <c r="A2" s="83" t="str">
        <f>B2&amp;C2&amp;D2</f>
        <v>182310910</v>
      </c>
      <c r="B2" s="84">
        <v>1823109</v>
      </c>
      <c r="C2" s="84">
        <v>1</v>
      </c>
      <c r="D2" s="84">
        <v>0</v>
      </c>
      <c r="E2" s="84" t="s">
        <v>266</v>
      </c>
      <c r="F2" s="89" t="s">
        <v>267</v>
      </c>
      <c r="G2" s="89" t="s">
        <v>268</v>
      </c>
      <c r="H2" s="89" t="s">
        <v>269</v>
      </c>
      <c r="I2" s="89" t="s">
        <v>270</v>
      </c>
      <c r="J2" s="89" t="s">
        <v>271</v>
      </c>
      <c r="K2" s="89" t="s">
        <v>272</v>
      </c>
      <c r="L2" s="89" t="s">
        <v>21</v>
      </c>
      <c r="M2" s="90">
        <v>36892</v>
      </c>
      <c r="N2" s="90">
        <v>401404</v>
      </c>
      <c r="O2" s="90">
        <v>39307</v>
      </c>
    </row>
    <row r="3" spans="1:15">
      <c r="A3" s="83" t="str">
        <f t="shared" ref="A3:A66" si="0">B3&amp;C3&amp;D3</f>
        <v>18231091111543</v>
      </c>
      <c r="B3" s="84">
        <v>1823109</v>
      </c>
      <c r="C3" s="84">
        <v>1</v>
      </c>
      <c r="D3" s="84">
        <v>111543</v>
      </c>
      <c r="E3" s="84" t="s">
        <v>266</v>
      </c>
      <c r="F3" s="89" t="s">
        <v>267</v>
      </c>
      <c r="G3" s="89" t="s">
        <v>268</v>
      </c>
      <c r="H3" s="89" t="s">
        <v>269</v>
      </c>
      <c r="I3" s="89" t="s">
        <v>270</v>
      </c>
      <c r="J3" s="89" t="s">
        <v>271</v>
      </c>
      <c r="K3" s="89" t="s">
        <v>272</v>
      </c>
      <c r="L3" s="89" t="s">
        <v>21</v>
      </c>
      <c r="M3" s="90">
        <v>36892</v>
      </c>
      <c r="N3" s="90">
        <v>401404</v>
      </c>
      <c r="O3" s="90">
        <v>39307</v>
      </c>
    </row>
    <row r="4" spans="1:15">
      <c r="A4" s="83" t="str">
        <f t="shared" si="0"/>
        <v>18231091111543</v>
      </c>
      <c r="B4" s="84">
        <v>1823109</v>
      </c>
      <c r="C4" s="84">
        <v>1</v>
      </c>
      <c r="D4" s="84">
        <v>111543</v>
      </c>
      <c r="E4" s="84" t="s">
        <v>266</v>
      </c>
      <c r="F4" s="89" t="s">
        <v>267</v>
      </c>
      <c r="G4" s="89" t="s">
        <v>268</v>
      </c>
      <c r="H4" s="89" t="s">
        <v>269</v>
      </c>
      <c r="I4" s="89" t="s">
        <v>270</v>
      </c>
      <c r="J4" s="89" t="s">
        <v>271</v>
      </c>
      <c r="K4" s="89" t="s">
        <v>272</v>
      </c>
      <c r="L4" s="89" t="s">
        <v>21</v>
      </c>
      <c r="M4" s="90">
        <v>36892</v>
      </c>
      <c r="N4" s="90">
        <v>401404</v>
      </c>
      <c r="O4" s="90">
        <v>39307</v>
      </c>
    </row>
    <row r="5" spans="1:15">
      <c r="A5" s="83" t="str">
        <f t="shared" si="0"/>
        <v>18231091114020</v>
      </c>
      <c r="B5" s="84">
        <v>1823109</v>
      </c>
      <c r="C5" s="84">
        <v>1</v>
      </c>
      <c r="D5" s="84">
        <v>114020</v>
      </c>
      <c r="E5" s="84" t="s">
        <v>266</v>
      </c>
      <c r="F5" s="89" t="s">
        <v>267</v>
      </c>
      <c r="G5" s="89" t="s">
        <v>268</v>
      </c>
      <c r="H5" s="89" t="s">
        <v>269</v>
      </c>
      <c r="I5" s="89" t="s">
        <v>270</v>
      </c>
      <c r="J5" s="89" t="s">
        <v>271</v>
      </c>
      <c r="K5" s="89" t="s">
        <v>272</v>
      </c>
      <c r="L5" s="89" t="s">
        <v>21</v>
      </c>
      <c r="M5" s="90">
        <v>36892</v>
      </c>
      <c r="N5" s="90">
        <v>401404</v>
      </c>
      <c r="O5" s="90">
        <v>39307</v>
      </c>
    </row>
    <row r="6" spans="1:15">
      <c r="A6" s="83" t="str">
        <f t="shared" si="0"/>
        <v>18231091187030</v>
      </c>
      <c r="B6" s="84">
        <v>1823109</v>
      </c>
      <c r="C6" s="84">
        <v>1</v>
      </c>
      <c r="D6" s="84">
        <v>187030</v>
      </c>
      <c r="E6" s="84" t="s">
        <v>266</v>
      </c>
      <c r="F6" s="89" t="s">
        <v>267</v>
      </c>
      <c r="G6" s="89" t="s">
        <v>268</v>
      </c>
      <c r="H6" s="89" t="s">
        <v>269</v>
      </c>
      <c r="I6" s="89" t="s">
        <v>270</v>
      </c>
      <c r="J6" s="89" t="s">
        <v>271</v>
      </c>
      <c r="K6" s="89" t="s">
        <v>272</v>
      </c>
      <c r="L6" s="89" t="s">
        <v>273</v>
      </c>
      <c r="M6" s="90">
        <v>36892</v>
      </c>
      <c r="N6" s="90">
        <v>401404</v>
      </c>
      <c r="O6" s="90">
        <v>39307</v>
      </c>
    </row>
    <row r="7" spans="1:15">
      <c r="A7" s="83" t="str">
        <f t="shared" si="0"/>
        <v>18231091187031</v>
      </c>
      <c r="B7" s="84">
        <v>1823109</v>
      </c>
      <c r="C7" s="84">
        <v>1</v>
      </c>
      <c r="D7" s="84">
        <v>187031</v>
      </c>
      <c r="E7" s="84" t="s">
        <v>266</v>
      </c>
      <c r="F7" s="89" t="s">
        <v>267</v>
      </c>
      <c r="G7" s="89" t="s">
        <v>268</v>
      </c>
      <c r="H7" s="89" t="s">
        <v>269</v>
      </c>
      <c r="I7" s="89" t="s">
        <v>270</v>
      </c>
      <c r="J7" s="89" t="s">
        <v>271</v>
      </c>
      <c r="K7" s="89" t="s">
        <v>272</v>
      </c>
      <c r="L7" s="89" t="s">
        <v>21</v>
      </c>
      <c r="M7" s="90">
        <v>36892</v>
      </c>
      <c r="N7" s="90">
        <v>401404</v>
      </c>
      <c r="O7" s="90">
        <v>39307</v>
      </c>
    </row>
    <row r="8" spans="1:15">
      <c r="A8" s="83" t="str">
        <f t="shared" si="0"/>
        <v>18231091187032</v>
      </c>
      <c r="B8" s="84">
        <v>1823109</v>
      </c>
      <c r="C8" s="84">
        <v>1</v>
      </c>
      <c r="D8" s="84">
        <v>187032</v>
      </c>
      <c r="E8" s="84" t="s">
        <v>266</v>
      </c>
      <c r="F8" s="89" t="s">
        <v>267</v>
      </c>
      <c r="G8" s="89" t="s">
        <v>268</v>
      </c>
      <c r="H8" s="89" t="s">
        <v>269</v>
      </c>
      <c r="I8" s="89" t="s">
        <v>270</v>
      </c>
      <c r="J8" s="89" t="s">
        <v>271</v>
      </c>
      <c r="K8" s="89" t="s">
        <v>272</v>
      </c>
      <c r="L8" s="89" t="s">
        <v>21</v>
      </c>
      <c r="M8" s="90">
        <v>36892</v>
      </c>
      <c r="N8" s="90">
        <v>401404</v>
      </c>
      <c r="O8" s="90">
        <v>39307</v>
      </c>
    </row>
    <row r="9" spans="1:15">
      <c r="A9" s="83" t="str">
        <f t="shared" si="0"/>
        <v>18231091187033</v>
      </c>
      <c r="B9" s="84">
        <v>1823109</v>
      </c>
      <c r="C9" s="84">
        <v>1</v>
      </c>
      <c r="D9" s="84">
        <v>187033</v>
      </c>
      <c r="E9" s="84" t="s">
        <v>266</v>
      </c>
      <c r="F9" s="89" t="s">
        <v>267</v>
      </c>
      <c r="G9" s="89" t="s">
        <v>268</v>
      </c>
      <c r="H9" s="89" t="s">
        <v>269</v>
      </c>
      <c r="I9" s="89" t="s">
        <v>270</v>
      </c>
      <c r="J9" s="89" t="s">
        <v>271</v>
      </c>
      <c r="K9" s="89" t="s">
        <v>272</v>
      </c>
      <c r="L9" s="89" t="s">
        <v>21</v>
      </c>
      <c r="M9" s="90">
        <v>36892</v>
      </c>
      <c r="N9" s="90">
        <v>401404</v>
      </c>
      <c r="O9" s="90">
        <v>39307</v>
      </c>
    </row>
    <row r="10" spans="1:15">
      <c r="A10" s="83" t="str">
        <f t="shared" si="0"/>
        <v>18231091187034</v>
      </c>
      <c r="B10" s="84">
        <v>1823109</v>
      </c>
      <c r="C10" s="84">
        <v>1</v>
      </c>
      <c r="D10" s="84">
        <v>187034</v>
      </c>
      <c r="E10" s="84" t="s">
        <v>266</v>
      </c>
      <c r="F10" s="89" t="s">
        <v>267</v>
      </c>
      <c r="G10" s="89" t="s">
        <v>268</v>
      </c>
      <c r="H10" s="89" t="s">
        <v>269</v>
      </c>
      <c r="I10" s="89" t="s">
        <v>274</v>
      </c>
      <c r="J10" s="89" t="s">
        <v>275</v>
      </c>
      <c r="K10" s="89" t="s">
        <v>276</v>
      </c>
      <c r="L10" s="89" t="s">
        <v>273</v>
      </c>
      <c r="M10" s="90">
        <v>36161</v>
      </c>
      <c r="N10" s="90">
        <v>2958465</v>
      </c>
      <c r="O10" s="90">
        <v>40305</v>
      </c>
    </row>
    <row r="11" spans="1:15">
      <c r="A11" s="83" t="str">
        <f t="shared" si="0"/>
        <v>18231091187626</v>
      </c>
      <c r="B11" s="84">
        <v>1823109</v>
      </c>
      <c r="C11" s="84">
        <v>1</v>
      </c>
      <c r="D11" s="84">
        <v>187626</v>
      </c>
      <c r="E11" s="84" t="s">
        <v>266</v>
      </c>
      <c r="F11" s="89" t="s">
        <v>267</v>
      </c>
      <c r="G11" s="89" t="s">
        <v>268</v>
      </c>
      <c r="H11" s="89" t="s">
        <v>269</v>
      </c>
      <c r="I11" s="89" t="s">
        <v>270</v>
      </c>
      <c r="J11" s="89" t="s">
        <v>271</v>
      </c>
      <c r="K11" s="89" t="s">
        <v>272</v>
      </c>
      <c r="L11" s="89" t="s">
        <v>273</v>
      </c>
      <c r="M11" s="90">
        <v>36892</v>
      </c>
      <c r="N11" s="90">
        <v>401404</v>
      </c>
      <c r="O11" s="90">
        <v>39307</v>
      </c>
    </row>
    <row r="12" spans="1:15">
      <c r="A12" s="83" t="str">
        <f t="shared" si="0"/>
        <v>1823109103111543</v>
      </c>
      <c r="B12" s="84">
        <v>1823109</v>
      </c>
      <c r="C12" s="84">
        <v>103</v>
      </c>
      <c r="D12" s="84">
        <v>111543</v>
      </c>
      <c r="E12" s="84" t="s">
        <v>266</v>
      </c>
      <c r="F12" s="89" t="s">
        <v>267</v>
      </c>
      <c r="G12" s="89" t="s">
        <v>268</v>
      </c>
      <c r="H12" s="89" t="s">
        <v>269</v>
      </c>
      <c r="I12" s="89" t="s">
        <v>270</v>
      </c>
      <c r="J12" s="89" t="s">
        <v>271</v>
      </c>
      <c r="K12" s="89" t="s">
        <v>272</v>
      </c>
      <c r="L12" s="89" t="s">
        <v>21</v>
      </c>
      <c r="M12" s="90">
        <v>36892</v>
      </c>
      <c r="N12" s="90">
        <v>401404</v>
      </c>
      <c r="O12" s="90">
        <v>39307</v>
      </c>
    </row>
    <row r="13" spans="1:15">
      <c r="A13" s="83" t="str">
        <f t="shared" si="0"/>
        <v>1823109103187032</v>
      </c>
      <c r="B13" s="84">
        <v>1823109</v>
      </c>
      <c r="C13" s="84">
        <v>103</v>
      </c>
      <c r="D13" s="84">
        <v>187032</v>
      </c>
      <c r="E13" s="84" t="s">
        <v>266</v>
      </c>
      <c r="F13" s="89" t="s">
        <v>267</v>
      </c>
      <c r="G13" s="89" t="s">
        <v>268</v>
      </c>
      <c r="H13" s="89" t="s">
        <v>269</v>
      </c>
      <c r="I13" s="89" t="s">
        <v>270</v>
      </c>
      <c r="J13" s="89" t="s">
        <v>271</v>
      </c>
      <c r="K13" s="89" t="s">
        <v>272</v>
      </c>
      <c r="L13" s="89" t="s">
        <v>21</v>
      </c>
      <c r="M13" s="90">
        <v>36892</v>
      </c>
      <c r="N13" s="90">
        <v>401404</v>
      </c>
      <c r="O13" s="90">
        <v>39307</v>
      </c>
    </row>
    <row r="14" spans="1:15">
      <c r="A14" s="83" t="str">
        <f t="shared" si="0"/>
        <v>18231091220920</v>
      </c>
      <c r="B14" s="84">
        <v>1823109</v>
      </c>
      <c r="C14" s="84">
        <v>122092</v>
      </c>
      <c r="D14" s="84">
        <v>0</v>
      </c>
      <c r="E14" s="84" t="s">
        <v>266</v>
      </c>
      <c r="F14" s="89" t="s">
        <v>267</v>
      </c>
      <c r="G14" s="89" t="s">
        <v>268</v>
      </c>
      <c r="H14" s="89" t="s">
        <v>269</v>
      </c>
      <c r="I14" s="89" t="s">
        <v>270</v>
      </c>
      <c r="J14" s="89" t="s">
        <v>271</v>
      </c>
      <c r="K14" s="89" t="s">
        <v>272</v>
      </c>
      <c r="L14" s="89" t="s">
        <v>21</v>
      </c>
      <c r="M14" s="90">
        <v>36892</v>
      </c>
      <c r="N14" s="90">
        <v>401404</v>
      </c>
      <c r="O14" s="90">
        <v>39307</v>
      </c>
    </row>
    <row r="15" spans="1:15">
      <c r="A15" s="83" t="str">
        <f t="shared" si="0"/>
        <v>1823109122092187030</v>
      </c>
      <c r="B15" s="84">
        <v>1823109</v>
      </c>
      <c r="C15" s="84">
        <v>122092</v>
      </c>
      <c r="D15" s="84">
        <v>187030</v>
      </c>
      <c r="E15" s="84" t="s">
        <v>266</v>
      </c>
      <c r="F15" s="89" t="s">
        <v>267</v>
      </c>
      <c r="G15" s="89" t="s">
        <v>268</v>
      </c>
      <c r="H15" s="89" t="s">
        <v>269</v>
      </c>
      <c r="I15" s="89" t="s">
        <v>270</v>
      </c>
      <c r="J15" s="89" t="s">
        <v>271</v>
      </c>
      <c r="K15" s="89" t="s">
        <v>272</v>
      </c>
      <c r="L15" s="89" t="s">
        <v>21</v>
      </c>
      <c r="M15" s="90">
        <v>36892</v>
      </c>
      <c r="N15" s="90">
        <v>401404</v>
      </c>
      <c r="O15" s="90">
        <v>39307</v>
      </c>
    </row>
    <row r="16" spans="1:15">
      <c r="A16" s="83" t="str">
        <f t="shared" si="0"/>
        <v>1823109122092187032</v>
      </c>
      <c r="B16" s="84">
        <v>1823109</v>
      </c>
      <c r="C16" s="84">
        <v>122092</v>
      </c>
      <c r="D16" s="84">
        <v>187032</v>
      </c>
      <c r="E16" s="84" t="s">
        <v>266</v>
      </c>
      <c r="F16" s="89" t="s">
        <v>267</v>
      </c>
      <c r="G16" s="89" t="s">
        <v>268</v>
      </c>
      <c r="H16" s="89" t="s">
        <v>269</v>
      </c>
      <c r="I16" s="89" t="s">
        <v>270</v>
      </c>
      <c r="J16" s="89" t="s">
        <v>271</v>
      </c>
      <c r="K16" s="89" t="s">
        <v>272</v>
      </c>
      <c r="L16" s="89" t="s">
        <v>21</v>
      </c>
      <c r="M16" s="90">
        <v>36892</v>
      </c>
      <c r="N16" s="90">
        <v>401404</v>
      </c>
      <c r="O16" s="90">
        <v>39307</v>
      </c>
    </row>
    <row r="17" spans="1:15">
      <c r="A17" s="83" t="str">
        <f t="shared" si="0"/>
        <v>1823109122092187033</v>
      </c>
      <c r="B17" s="84">
        <v>1823109</v>
      </c>
      <c r="C17" s="84">
        <v>122092</v>
      </c>
      <c r="D17" s="84">
        <v>187033</v>
      </c>
      <c r="E17" s="84" t="s">
        <v>266</v>
      </c>
      <c r="F17" s="89" t="s">
        <v>267</v>
      </c>
      <c r="G17" s="89" t="s">
        <v>268</v>
      </c>
      <c r="H17" s="89" t="s">
        <v>269</v>
      </c>
      <c r="I17" s="89" t="s">
        <v>270</v>
      </c>
      <c r="J17" s="89" t="s">
        <v>271</v>
      </c>
      <c r="K17" s="89" t="s">
        <v>272</v>
      </c>
      <c r="L17" s="89" t="s">
        <v>21</v>
      </c>
      <c r="M17" s="90">
        <v>36892</v>
      </c>
      <c r="N17" s="90">
        <v>401404</v>
      </c>
      <c r="O17" s="90">
        <v>39307</v>
      </c>
    </row>
    <row r="18" spans="1:15">
      <c r="A18" s="83" t="str">
        <f t="shared" si="0"/>
        <v>182387010</v>
      </c>
      <c r="B18" s="84">
        <v>1823870</v>
      </c>
      <c r="C18" s="84">
        <v>1</v>
      </c>
      <c r="D18" s="84">
        <v>0</v>
      </c>
      <c r="E18" s="84" t="s">
        <v>266</v>
      </c>
      <c r="F18" s="89" t="s">
        <v>267</v>
      </c>
      <c r="G18" s="89" t="s">
        <v>268</v>
      </c>
      <c r="H18" s="89" t="s">
        <v>269</v>
      </c>
      <c r="I18" s="89" t="s">
        <v>270</v>
      </c>
      <c r="J18" s="89" t="s">
        <v>271</v>
      </c>
      <c r="K18" s="89" t="s">
        <v>272</v>
      </c>
      <c r="L18" s="89" t="s">
        <v>21</v>
      </c>
      <c r="M18" s="90">
        <v>36892</v>
      </c>
      <c r="N18" s="90">
        <v>401404</v>
      </c>
      <c r="O18" s="90">
        <v>39307</v>
      </c>
    </row>
    <row r="19" spans="1:15">
      <c r="A19" s="83" t="str">
        <f t="shared" si="0"/>
        <v>18238701111610</v>
      </c>
      <c r="B19" s="84">
        <v>1823870</v>
      </c>
      <c r="C19" s="84">
        <v>1</v>
      </c>
      <c r="D19" s="84">
        <v>111610</v>
      </c>
      <c r="E19" s="84" t="s">
        <v>266</v>
      </c>
      <c r="F19" s="89" t="s">
        <v>267</v>
      </c>
      <c r="G19" s="89" t="s">
        <v>268</v>
      </c>
      <c r="H19" s="89" t="s">
        <v>269</v>
      </c>
      <c r="I19" s="89" t="s">
        <v>270</v>
      </c>
      <c r="J19" s="89" t="s">
        <v>271</v>
      </c>
      <c r="K19" s="89" t="s">
        <v>272</v>
      </c>
      <c r="L19" s="89" t="s">
        <v>21</v>
      </c>
      <c r="M19" s="90">
        <v>36892</v>
      </c>
      <c r="N19" s="90">
        <v>401404</v>
      </c>
      <c r="O19" s="90">
        <v>39307</v>
      </c>
    </row>
    <row r="20" spans="1:15">
      <c r="A20" s="83" t="str">
        <f t="shared" si="0"/>
        <v>18238701114020</v>
      </c>
      <c r="B20" s="84">
        <v>1823870</v>
      </c>
      <c r="C20" s="84">
        <v>1</v>
      </c>
      <c r="D20" s="84">
        <v>114020</v>
      </c>
      <c r="E20" s="84" t="s">
        <v>266</v>
      </c>
      <c r="F20" s="89" t="s">
        <v>267</v>
      </c>
      <c r="G20" s="89" t="s">
        <v>268</v>
      </c>
      <c r="H20" s="89" t="s">
        <v>269</v>
      </c>
      <c r="I20" s="89" t="s">
        <v>270</v>
      </c>
      <c r="J20" s="89" t="s">
        <v>271</v>
      </c>
      <c r="K20" s="89" t="s">
        <v>272</v>
      </c>
      <c r="L20" s="89" t="s">
        <v>21</v>
      </c>
      <c r="M20" s="90">
        <v>36892</v>
      </c>
      <c r="N20" s="90">
        <v>401404</v>
      </c>
      <c r="O20" s="90">
        <v>39307</v>
      </c>
    </row>
    <row r="21" spans="1:15">
      <c r="A21" s="83" t="str">
        <f t="shared" si="0"/>
        <v>18238701187015</v>
      </c>
      <c r="B21" s="84">
        <v>1823870</v>
      </c>
      <c r="C21" s="84">
        <v>1</v>
      </c>
      <c r="D21" s="84">
        <v>187015</v>
      </c>
      <c r="E21" s="84" t="s">
        <v>266</v>
      </c>
      <c r="F21" s="89" t="s">
        <v>267</v>
      </c>
      <c r="G21" s="89" t="s">
        <v>268</v>
      </c>
      <c r="H21" s="89" t="s">
        <v>269</v>
      </c>
      <c r="I21" s="89" t="s">
        <v>270</v>
      </c>
      <c r="J21" s="89" t="s">
        <v>271</v>
      </c>
      <c r="K21" s="89" t="s">
        <v>272</v>
      </c>
      <c r="L21" s="89" t="s">
        <v>21</v>
      </c>
      <c r="M21" s="90">
        <v>36892</v>
      </c>
      <c r="N21" s="90">
        <v>401404</v>
      </c>
      <c r="O21" s="90">
        <v>39307</v>
      </c>
    </row>
    <row r="22" spans="1:15">
      <c r="A22" s="83" t="str">
        <f t="shared" si="0"/>
        <v>18238701187017</v>
      </c>
      <c r="B22" s="84">
        <v>1823870</v>
      </c>
      <c r="C22" s="84">
        <v>1</v>
      </c>
      <c r="D22" s="84">
        <v>187017</v>
      </c>
      <c r="E22" s="84" t="s">
        <v>266</v>
      </c>
      <c r="F22" s="89" t="s">
        <v>267</v>
      </c>
      <c r="G22" s="89" t="s">
        <v>268</v>
      </c>
      <c r="H22" s="89" t="s">
        <v>269</v>
      </c>
      <c r="I22" s="89" t="s">
        <v>270</v>
      </c>
      <c r="J22" s="89" t="s">
        <v>271</v>
      </c>
      <c r="K22" s="89" t="s">
        <v>272</v>
      </c>
      <c r="L22" s="89" t="s">
        <v>273</v>
      </c>
      <c r="M22" s="90">
        <v>36892</v>
      </c>
      <c r="N22" s="90">
        <v>401404</v>
      </c>
      <c r="O22" s="90">
        <v>39307</v>
      </c>
    </row>
    <row r="23" spans="1:15">
      <c r="A23" s="83" t="str">
        <f t="shared" si="0"/>
        <v>18238701187018</v>
      </c>
      <c r="B23" s="84">
        <v>1823870</v>
      </c>
      <c r="C23" s="84">
        <v>1</v>
      </c>
      <c r="D23" s="84">
        <v>187018</v>
      </c>
      <c r="E23" s="84" t="s">
        <v>266</v>
      </c>
      <c r="F23" s="89" t="s">
        <v>267</v>
      </c>
      <c r="G23" s="89" t="s">
        <v>268</v>
      </c>
      <c r="H23" s="89" t="s">
        <v>269</v>
      </c>
      <c r="I23" s="89" t="s">
        <v>274</v>
      </c>
      <c r="J23" s="89" t="s">
        <v>277</v>
      </c>
      <c r="K23" s="89" t="s">
        <v>278</v>
      </c>
      <c r="L23" s="89" t="s">
        <v>273</v>
      </c>
      <c r="M23" s="90">
        <v>36161</v>
      </c>
      <c r="N23" s="90">
        <v>2958465</v>
      </c>
      <c r="O23" s="90">
        <v>39630</v>
      </c>
    </row>
    <row r="24" spans="1:15">
      <c r="A24" s="83" t="str">
        <f t="shared" si="0"/>
        <v>18238701187020</v>
      </c>
      <c r="B24" s="84">
        <v>1823870</v>
      </c>
      <c r="C24" s="84">
        <v>1</v>
      </c>
      <c r="D24" s="84">
        <v>187020</v>
      </c>
      <c r="E24" s="84" t="s">
        <v>266</v>
      </c>
      <c r="F24" s="89" t="s">
        <v>267</v>
      </c>
      <c r="G24" s="89" t="s">
        <v>268</v>
      </c>
      <c r="H24" s="89" t="s">
        <v>269</v>
      </c>
      <c r="I24" s="89" t="s">
        <v>270</v>
      </c>
      <c r="J24" s="89" t="s">
        <v>271</v>
      </c>
      <c r="K24" s="89" t="s">
        <v>272</v>
      </c>
      <c r="L24" s="89" t="s">
        <v>21</v>
      </c>
      <c r="M24" s="90">
        <v>36892</v>
      </c>
      <c r="N24" s="90">
        <v>401404</v>
      </c>
      <c r="O24" s="90">
        <v>39307</v>
      </c>
    </row>
    <row r="25" spans="1:15">
      <c r="A25" s="83" t="str">
        <f t="shared" si="0"/>
        <v>18238701187021</v>
      </c>
      <c r="B25" s="84">
        <v>1823870</v>
      </c>
      <c r="C25" s="84">
        <v>1</v>
      </c>
      <c r="D25" s="84">
        <v>187021</v>
      </c>
      <c r="E25" s="84" t="s">
        <v>266</v>
      </c>
      <c r="F25" s="89" t="s">
        <v>267</v>
      </c>
      <c r="G25" s="89" t="s">
        <v>268</v>
      </c>
      <c r="H25" s="89" t="s">
        <v>269</v>
      </c>
      <c r="I25" s="89" t="s">
        <v>270</v>
      </c>
      <c r="J25" s="89" t="s">
        <v>271</v>
      </c>
      <c r="K25" s="89" t="s">
        <v>272</v>
      </c>
      <c r="L25" s="89" t="s">
        <v>21</v>
      </c>
      <c r="M25" s="90">
        <v>36892</v>
      </c>
      <c r="N25" s="90">
        <v>401404</v>
      </c>
      <c r="O25" s="90">
        <v>39307</v>
      </c>
    </row>
    <row r="26" spans="1:15">
      <c r="A26" s="83" t="str">
        <f t="shared" si="0"/>
        <v>18238701187600</v>
      </c>
      <c r="B26" s="84">
        <v>1823870</v>
      </c>
      <c r="C26" s="84">
        <v>1</v>
      </c>
      <c r="D26" s="84">
        <v>187600</v>
      </c>
      <c r="E26" s="84" t="s">
        <v>266</v>
      </c>
      <c r="F26" s="89" t="s">
        <v>267</v>
      </c>
      <c r="G26" s="89" t="s">
        <v>268</v>
      </c>
      <c r="H26" s="89" t="s">
        <v>269</v>
      </c>
      <c r="I26" s="89" t="s">
        <v>270</v>
      </c>
      <c r="J26" s="89" t="s">
        <v>279</v>
      </c>
      <c r="K26" s="89" t="s">
        <v>280</v>
      </c>
      <c r="L26" s="89" t="s">
        <v>273</v>
      </c>
      <c r="M26" s="90">
        <v>36892</v>
      </c>
      <c r="N26" s="90">
        <v>401404</v>
      </c>
      <c r="O26" s="90">
        <v>39820</v>
      </c>
    </row>
    <row r="27" spans="1:15">
      <c r="A27" s="83" t="str">
        <f t="shared" si="0"/>
        <v>18238701187601</v>
      </c>
      <c r="B27" s="84">
        <v>1823870</v>
      </c>
      <c r="C27" s="84">
        <v>1</v>
      </c>
      <c r="D27" s="84">
        <v>187601</v>
      </c>
      <c r="E27" s="84" t="s">
        <v>266</v>
      </c>
      <c r="F27" s="89" t="s">
        <v>267</v>
      </c>
      <c r="G27" s="89" t="s">
        <v>281</v>
      </c>
      <c r="H27" s="89" t="s">
        <v>269</v>
      </c>
      <c r="I27" s="89" t="s">
        <v>270</v>
      </c>
      <c r="J27" s="89" t="s">
        <v>279</v>
      </c>
      <c r="K27" s="89" t="s">
        <v>280</v>
      </c>
      <c r="L27" s="89" t="s">
        <v>273</v>
      </c>
      <c r="M27" s="90">
        <v>36892</v>
      </c>
      <c r="N27" s="90">
        <v>401404</v>
      </c>
      <c r="O27" s="90">
        <v>39820</v>
      </c>
    </row>
    <row r="28" spans="1:15">
      <c r="A28" s="83" t="str">
        <f t="shared" si="0"/>
        <v>18238701187602</v>
      </c>
      <c r="B28" s="84">
        <v>1823870</v>
      </c>
      <c r="C28" s="84">
        <v>1</v>
      </c>
      <c r="D28" s="84">
        <v>187602</v>
      </c>
      <c r="E28" s="84" t="s">
        <v>266</v>
      </c>
      <c r="F28" s="89" t="s">
        <v>267</v>
      </c>
      <c r="G28" s="89" t="s">
        <v>268</v>
      </c>
      <c r="H28" s="89" t="s">
        <v>269</v>
      </c>
      <c r="I28" s="89" t="s">
        <v>270</v>
      </c>
      <c r="J28" s="89" t="s">
        <v>279</v>
      </c>
      <c r="K28" s="89" t="s">
        <v>280</v>
      </c>
      <c r="L28" s="89" t="s">
        <v>273</v>
      </c>
      <c r="M28" s="90">
        <v>36892</v>
      </c>
      <c r="N28" s="90">
        <v>401404</v>
      </c>
      <c r="O28" s="90">
        <v>39820</v>
      </c>
    </row>
    <row r="29" spans="1:15">
      <c r="A29" s="83" t="str">
        <f t="shared" si="0"/>
        <v>18238701187603</v>
      </c>
      <c r="B29" s="84">
        <v>1823870</v>
      </c>
      <c r="C29" s="84">
        <v>1</v>
      </c>
      <c r="D29" s="84">
        <v>187603</v>
      </c>
      <c r="E29" s="84" t="s">
        <v>266</v>
      </c>
      <c r="F29" s="89" t="s">
        <v>267</v>
      </c>
      <c r="G29" s="89" t="s">
        <v>268</v>
      </c>
      <c r="H29" s="89" t="s">
        <v>269</v>
      </c>
      <c r="I29" s="89" t="s">
        <v>270</v>
      </c>
      <c r="J29" s="89" t="s">
        <v>279</v>
      </c>
      <c r="K29" s="89" t="s">
        <v>280</v>
      </c>
      <c r="L29" s="89" t="s">
        <v>273</v>
      </c>
      <c r="M29" s="90">
        <v>36892</v>
      </c>
      <c r="N29" s="90">
        <v>401404</v>
      </c>
      <c r="O29" s="90">
        <v>39820</v>
      </c>
    </row>
    <row r="30" spans="1:15">
      <c r="A30" s="83" t="str">
        <f t="shared" si="0"/>
        <v>18238701187604</v>
      </c>
      <c r="B30" s="84">
        <v>1823870</v>
      </c>
      <c r="C30" s="84">
        <v>1</v>
      </c>
      <c r="D30" s="84">
        <v>187604</v>
      </c>
      <c r="E30" s="84" t="s">
        <v>266</v>
      </c>
      <c r="F30" s="89" t="s">
        <v>267</v>
      </c>
      <c r="G30" s="89" t="s">
        <v>268</v>
      </c>
      <c r="H30" s="89" t="s">
        <v>269</v>
      </c>
      <c r="I30" s="89" t="s">
        <v>270</v>
      </c>
      <c r="J30" s="89" t="s">
        <v>279</v>
      </c>
      <c r="K30" s="89" t="s">
        <v>280</v>
      </c>
      <c r="L30" s="89" t="s">
        <v>273</v>
      </c>
      <c r="M30" s="90">
        <v>36892</v>
      </c>
      <c r="N30" s="90">
        <v>401404</v>
      </c>
      <c r="O30" s="90">
        <v>39820</v>
      </c>
    </row>
    <row r="31" spans="1:15">
      <c r="A31" s="83" t="str">
        <f t="shared" si="0"/>
        <v>18238701187605</v>
      </c>
      <c r="B31" s="84">
        <v>1823870</v>
      </c>
      <c r="C31" s="84">
        <v>1</v>
      </c>
      <c r="D31" s="84">
        <v>187605</v>
      </c>
      <c r="E31" s="84" t="s">
        <v>266</v>
      </c>
      <c r="F31" s="89" t="s">
        <v>267</v>
      </c>
      <c r="G31" s="89" t="s">
        <v>268</v>
      </c>
      <c r="H31" s="89" t="s">
        <v>269</v>
      </c>
      <c r="I31" s="89" t="s">
        <v>270</v>
      </c>
      <c r="J31" s="89" t="s">
        <v>279</v>
      </c>
      <c r="K31" s="89" t="s">
        <v>282</v>
      </c>
      <c r="L31" s="89" t="s">
        <v>273</v>
      </c>
      <c r="M31" s="90">
        <v>36892</v>
      </c>
      <c r="N31" s="90">
        <v>401404</v>
      </c>
      <c r="O31" s="90">
        <v>39828</v>
      </c>
    </row>
    <row r="32" spans="1:15">
      <c r="A32" s="83" t="str">
        <f t="shared" si="0"/>
        <v>18238701187606</v>
      </c>
      <c r="B32" s="84">
        <v>1823870</v>
      </c>
      <c r="C32" s="84">
        <v>1</v>
      </c>
      <c r="D32" s="84">
        <v>187606</v>
      </c>
      <c r="E32" s="84" t="s">
        <v>266</v>
      </c>
      <c r="F32" s="89" t="s">
        <v>267</v>
      </c>
      <c r="G32" s="89" t="s">
        <v>268</v>
      </c>
      <c r="H32" s="89" t="s">
        <v>269</v>
      </c>
      <c r="I32" s="89" t="s">
        <v>270</v>
      </c>
      <c r="J32" s="89" t="s">
        <v>279</v>
      </c>
      <c r="K32" s="89" t="s">
        <v>280</v>
      </c>
      <c r="L32" s="89" t="s">
        <v>273</v>
      </c>
      <c r="M32" s="90">
        <v>36892</v>
      </c>
      <c r="N32" s="90">
        <v>401404</v>
      </c>
      <c r="O32" s="90">
        <v>39820</v>
      </c>
    </row>
    <row r="33" spans="1:15">
      <c r="A33" s="83" t="str">
        <f t="shared" si="0"/>
        <v>18238701187621</v>
      </c>
      <c r="B33" s="84">
        <v>1823870</v>
      </c>
      <c r="C33" s="84">
        <v>1</v>
      </c>
      <c r="D33" s="84">
        <v>187621</v>
      </c>
      <c r="E33" s="84" t="s">
        <v>266</v>
      </c>
      <c r="F33" s="89" t="s">
        <v>267</v>
      </c>
      <c r="G33" s="89" t="s">
        <v>268</v>
      </c>
      <c r="H33" s="89" t="s">
        <v>269</v>
      </c>
      <c r="I33" s="89" t="s">
        <v>270</v>
      </c>
      <c r="J33" s="89" t="s">
        <v>271</v>
      </c>
      <c r="K33" s="89" t="s">
        <v>272</v>
      </c>
      <c r="L33" s="89" t="s">
        <v>273</v>
      </c>
      <c r="M33" s="90">
        <v>36892</v>
      </c>
      <c r="N33" s="90">
        <v>401404</v>
      </c>
      <c r="O33" s="90">
        <v>39307</v>
      </c>
    </row>
    <row r="34" spans="1:15">
      <c r="A34" s="83" t="str">
        <f t="shared" si="0"/>
        <v>18238701187622</v>
      </c>
      <c r="B34" s="84">
        <v>1823870</v>
      </c>
      <c r="C34" s="84">
        <v>1</v>
      </c>
      <c r="D34" s="84">
        <v>187622</v>
      </c>
      <c r="E34" s="84" t="s">
        <v>266</v>
      </c>
      <c r="F34" s="89" t="s">
        <v>267</v>
      </c>
      <c r="G34" s="89" t="s">
        <v>268</v>
      </c>
      <c r="H34" s="89" t="s">
        <v>269</v>
      </c>
      <c r="I34" s="89" t="s">
        <v>270</v>
      </c>
      <c r="J34" s="89" t="s">
        <v>279</v>
      </c>
      <c r="K34" s="89" t="s">
        <v>280</v>
      </c>
      <c r="L34" s="89" t="s">
        <v>273</v>
      </c>
      <c r="M34" s="90">
        <v>36892</v>
      </c>
      <c r="N34" s="90">
        <v>401404</v>
      </c>
      <c r="O34" s="90">
        <v>39820</v>
      </c>
    </row>
    <row r="35" spans="1:15">
      <c r="A35" s="83" t="str">
        <f t="shared" si="0"/>
        <v>18238701187623</v>
      </c>
      <c r="B35" s="84">
        <v>1823870</v>
      </c>
      <c r="C35" s="84">
        <v>1</v>
      </c>
      <c r="D35" s="84">
        <v>187623</v>
      </c>
      <c r="E35" s="84" t="s">
        <v>266</v>
      </c>
      <c r="F35" s="89" t="s">
        <v>267</v>
      </c>
      <c r="G35" s="89" t="s">
        <v>281</v>
      </c>
      <c r="H35" s="89" t="s">
        <v>269</v>
      </c>
      <c r="I35" s="89" t="s">
        <v>270</v>
      </c>
      <c r="J35" s="89" t="s">
        <v>279</v>
      </c>
      <c r="K35" s="89" t="s">
        <v>280</v>
      </c>
      <c r="L35" s="89" t="s">
        <v>273</v>
      </c>
      <c r="M35" s="90">
        <v>36892</v>
      </c>
      <c r="N35" s="90">
        <v>401404</v>
      </c>
      <c r="O35" s="90">
        <v>39820</v>
      </c>
    </row>
    <row r="36" spans="1:15">
      <c r="A36" s="83" t="str">
        <f t="shared" si="0"/>
        <v>18238701187624</v>
      </c>
      <c r="B36" s="84">
        <v>1823870</v>
      </c>
      <c r="C36" s="84">
        <v>1</v>
      </c>
      <c r="D36" s="84">
        <v>187624</v>
      </c>
      <c r="E36" s="84" t="s">
        <v>266</v>
      </c>
      <c r="F36" s="89" t="s">
        <v>267</v>
      </c>
      <c r="G36" s="89" t="s">
        <v>268</v>
      </c>
      <c r="H36" s="89" t="s">
        <v>269</v>
      </c>
      <c r="I36" s="89" t="s">
        <v>270</v>
      </c>
      <c r="J36" s="89" t="s">
        <v>279</v>
      </c>
      <c r="K36" s="89" t="s">
        <v>280</v>
      </c>
      <c r="L36" s="89" t="s">
        <v>273</v>
      </c>
      <c r="M36" s="90">
        <v>36892</v>
      </c>
      <c r="N36" s="90">
        <v>401404</v>
      </c>
      <c r="O36" s="90">
        <v>39820</v>
      </c>
    </row>
    <row r="37" spans="1:15">
      <c r="A37" s="83" t="str">
        <f t="shared" si="0"/>
        <v>18238701187625</v>
      </c>
      <c r="B37" s="84">
        <v>1823870</v>
      </c>
      <c r="C37" s="84">
        <v>1</v>
      </c>
      <c r="D37" s="84">
        <v>187625</v>
      </c>
      <c r="E37" s="84" t="s">
        <v>266</v>
      </c>
      <c r="F37" s="89" t="s">
        <v>267</v>
      </c>
      <c r="G37" s="89" t="s">
        <v>268</v>
      </c>
      <c r="H37" s="89" t="s">
        <v>269</v>
      </c>
      <c r="I37" s="89" t="s">
        <v>270</v>
      </c>
      <c r="J37" s="89" t="s">
        <v>279</v>
      </c>
      <c r="K37" s="89" t="s">
        <v>280</v>
      </c>
      <c r="L37" s="89" t="s">
        <v>273</v>
      </c>
      <c r="M37" s="90">
        <v>36892</v>
      </c>
      <c r="N37" s="90">
        <v>401404</v>
      </c>
      <c r="O37" s="90">
        <v>39820</v>
      </c>
    </row>
    <row r="38" spans="1:15">
      <c r="A38" s="83" t="str">
        <f t="shared" si="0"/>
        <v>18238701187627</v>
      </c>
      <c r="B38" s="84">
        <v>1823870</v>
      </c>
      <c r="C38" s="84">
        <v>1</v>
      </c>
      <c r="D38" s="84">
        <v>187627</v>
      </c>
      <c r="E38" s="84" t="s">
        <v>266</v>
      </c>
      <c r="F38" s="89" t="s">
        <v>267</v>
      </c>
      <c r="G38" s="89" t="s">
        <v>268</v>
      </c>
      <c r="H38" s="89" t="s">
        <v>269</v>
      </c>
      <c r="I38" s="89" t="s">
        <v>270</v>
      </c>
      <c r="J38" s="89" t="s">
        <v>279</v>
      </c>
      <c r="K38" s="89" t="s">
        <v>280</v>
      </c>
      <c r="L38" s="89" t="s">
        <v>273</v>
      </c>
      <c r="M38" s="90">
        <v>36892</v>
      </c>
      <c r="N38" s="90">
        <v>401404</v>
      </c>
      <c r="O38" s="90">
        <v>39820</v>
      </c>
    </row>
    <row r="39" spans="1:15">
      <c r="A39" s="83" t="str">
        <f t="shared" si="0"/>
        <v>1823870197</v>
      </c>
      <c r="B39" s="84">
        <v>1823870</v>
      </c>
      <c r="C39" s="84">
        <v>1</v>
      </c>
      <c r="D39" s="84">
        <v>97</v>
      </c>
      <c r="E39" s="84" t="s">
        <v>266</v>
      </c>
      <c r="F39" s="89" t="s">
        <v>267</v>
      </c>
      <c r="G39" s="89" t="s">
        <v>268</v>
      </c>
      <c r="H39" s="89" t="s">
        <v>269</v>
      </c>
      <c r="I39" s="89" t="s">
        <v>270</v>
      </c>
      <c r="J39" s="89" t="s">
        <v>271</v>
      </c>
      <c r="K39" s="89" t="s">
        <v>272</v>
      </c>
      <c r="L39" s="89" t="s">
        <v>21</v>
      </c>
      <c r="M39" s="90">
        <v>36892</v>
      </c>
      <c r="N39" s="90">
        <v>401404</v>
      </c>
      <c r="O39" s="90">
        <v>39307</v>
      </c>
    </row>
    <row r="40" spans="1:15">
      <c r="A40" s="83" t="str">
        <f t="shared" si="0"/>
        <v>1823870109111550</v>
      </c>
      <c r="B40" s="84">
        <v>1823870</v>
      </c>
      <c r="C40" s="84">
        <v>109</v>
      </c>
      <c r="D40" s="84">
        <v>111550</v>
      </c>
      <c r="E40" s="84" t="s">
        <v>266</v>
      </c>
      <c r="F40" s="89" t="s">
        <v>267</v>
      </c>
      <c r="G40" s="89" t="s">
        <v>283</v>
      </c>
      <c r="H40" s="89" t="s">
        <v>269</v>
      </c>
      <c r="I40" s="89" t="s">
        <v>270</v>
      </c>
      <c r="J40" s="89" t="s">
        <v>271</v>
      </c>
      <c r="K40" s="89" t="s">
        <v>272</v>
      </c>
      <c r="L40" s="89" t="s">
        <v>21</v>
      </c>
      <c r="M40" s="90">
        <v>36892</v>
      </c>
      <c r="N40" s="90">
        <v>401404</v>
      </c>
      <c r="O40" s="90">
        <v>39307</v>
      </c>
    </row>
    <row r="41" spans="1:15">
      <c r="A41" s="83" t="str">
        <f t="shared" si="0"/>
        <v>1823870109111550</v>
      </c>
      <c r="B41" s="84">
        <v>1823870</v>
      </c>
      <c r="C41" s="84">
        <v>109</v>
      </c>
      <c r="D41" s="84">
        <v>111550</v>
      </c>
      <c r="E41" s="84" t="s">
        <v>266</v>
      </c>
      <c r="F41" s="89" t="s">
        <v>267</v>
      </c>
      <c r="G41" s="89" t="s">
        <v>283</v>
      </c>
      <c r="H41" s="89" t="s">
        <v>269</v>
      </c>
      <c r="I41" s="89" t="s">
        <v>270</v>
      </c>
      <c r="J41" s="89" t="s">
        <v>271</v>
      </c>
      <c r="K41" s="89" t="s">
        <v>272</v>
      </c>
      <c r="L41" s="89" t="s">
        <v>21</v>
      </c>
      <c r="M41" s="90">
        <v>36892</v>
      </c>
      <c r="N41" s="90">
        <v>401404</v>
      </c>
      <c r="O41" s="90">
        <v>39307</v>
      </c>
    </row>
    <row r="42" spans="1:15">
      <c r="A42" s="83" t="str">
        <f t="shared" si="0"/>
        <v>1823870109187104</v>
      </c>
      <c r="B42" s="84">
        <v>1823870</v>
      </c>
      <c r="C42" s="84">
        <v>109</v>
      </c>
      <c r="D42" s="84">
        <v>187104</v>
      </c>
      <c r="E42" s="84" t="s">
        <v>266</v>
      </c>
      <c r="F42" s="89" t="s">
        <v>267</v>
      </c>
      <c r="G42" s="89" t="s">
        <v>283</v>
      </c>
      <c r="H42" s="89" t="s">
        <v>269</v>
      </c>
      <c r="I42" s="89" t="s">
        <v>270</v>
      </c>
      <c r="J42" s="89" t="s">
        <v>271</v>
      </c>
      <c r="K42" s="89" t="s">
        <v>272</v>
      </c>
      <c r="L42" s="89" t="s">
        <v>273</v>
      </c>
      <c r="M42" s="90">
        <v>36892</v>
      </c>
      <c r="N42" s="90">
        <v>401404</v>
      </c>
      <c r="O42" s="90">
        <v>39307</v>
      </c>
    </row>
    <row r="43" spans="1:15">
      <c r="A43" s="83" t="str">
        <f t="shared" si="0"/>
        <v>1823870109187602</v>
      </c>
      <c r="B43" s="84">
        <v>1823870</v>
      </c>
      <c r="C43" s="84">
        <v>109</v>
      </c>
      <c r="D43" s="84">
        <v>187602</v>
      </c>
      <c r="E43" s="84" t="s">
        <v>266</v>
      </c>
      <c r="F43" s="89" t="s">
        <v>267</v>
      </c>
      <c r="G43" s="89" t="s">
        <v>268</v>
      </c>
      <c r="H43" s="89" t="s">
        <v>269</v>
      </c>
      <c r="I43" s="89" t="s">
        <v>274</v>
      </c>
      <c r="J43" s="89" t="s">
        <v>284</v>
      </c>
      <c r="K43" s="89" t="s">
        <v>285</v>
      </c>
      <c r="L43" s="89" t="s">
        <v>273</v>
      </c>
      <c r="M43" s="90">
        <v>36161</v>
      </c>
      <c r="N43" s="90">
        <v>2958465</v>
      </c>
      <c r="O43" s="90">
        <v>39931</v>
      </c>
    </row>
    <row r="44" spans="1:15">
      <c r="A44" s="83" t="str">
        <f t="shared" si="0"/>
        <v>1823870109187603</v>
      </c>
      <c r="B44" s="84">
        <v>1823870</v>
      </c>
      <c r="C44" s="84">
        <v>109</v>
      </c>
      <c r="D44" s="84">
        <v>187603</v>
      </c>
      <c r="E44" s="84" t="s">
        <v>266</v>
      </c>
      <c r="F44" s="89" t="s">
        <v>267</v>
      </c>
      <c r="G44" s="89" t="s">
        <v>268</v>
      </c>
      <c r="H44" s="89" t="s">
        <v>269</v>
      </c>
      <c r="I44" s="89" t="s">
        <v>274</v>
      </c>
      <c r="J44" s="89" t="s">
        <v>284</v>
      </c>
      <c r="K44" s="89" t="s">
        <v>285</v>
      </c>
      <c r="L44" s="89" t="s">
        <v>273</v>
      </c>
      <c r="M44" s="90">
        <v>36161</v>
      </c>
      <c r="N44" s="90">
        <v>2958465</v>
      </c>
      <c r="O44" s="90">
        <v>39931</v>
      </c>
    </row>
    <row r="45" spans="1:15">
      <c r="A45" s="83" t="str">
        <f t="shared" si="0"/>
        <v>1823870109187624</v>
      </c>
      <c r="B45" s="84">
        <v>1823870</v>
      </c>
      <c r="C45" s="84">
        <v>109</v>
      </c>
      <c r="D45" s="84">
        <v>187624</v>
      </c>
      <c r="E45" s="84" t="s">
        <v>266</v>
      </c>
      <c r="F45" s="89" t="s">
        <v>267</v>
      </c>
      <c r="G45" s="89" t="s">
        <v>268</v>
      </c>
      <c r="H45" s="89" t="s">
        <v>269</v>
      </c>
      <c r="I45" s="89" t="s">
        <v>274</v>
      </c>
      <c r="J45" s="89" t="s">
        <v>284</v>
      </c>
      <c r="K45" s="89" t="s">
        <v>285</v>
      </c>
      <c r="L45" s="89" t="s">
        <v>273</v>
      </c>
      <c r="M45" s="90">
        <v>36161</v>
      </c>
      <c r="N45" s="90">
        <v>2958465</v>
      </c>
      <c r="O45" s="90">
        <v>39931</v>
      </c>
    </row>
    <row r="46" spans="1:15">
      <c r="A46" s="83" t="str">
        <f t="shared" si="0"/>
        <v>1823870122092187015</v>
      </c>
      <c r="B46" s="84">
        <v>1823870</v>
      </c>
      <c r="C46" s="84">
        <v>122092</v>
      </c>
      <c r="D46" s="84">
        <v>187015</v>
      </c>
      <c r="E46" s="84" t="s">
        <v>266</v>
      </c>
      <c r="F46" s="89" t="s">
        <v>267</v>
      </c>
      <c r="G46" s="89" t="s">
        <v>268</v>
      </c>
      <c r="H46" s="89" t="s">
        <v>269</v>
      </c>
      <c r="I46" s="89" t="s">
        <v>270</v>
      </c>
      <c r="J46" s="89" t="s">
        <v>271</v>
      </c>
      <c r="K46" s="89" t="s">
        <v>272</v>
      </c>
      <c r="L46" s="89" t="s">
        <v>21</v>
      </c>
      <c r="M46" s="90">
        <v>36892</v>
      </c>
      <c r="N46" s="90">
        <v>401404</v>
      </c>
      <c r="O46" s="90">
        <v>39307</v>
      </c>
    </row>
    <row r="47" spans="1:15">
      <c r="A47" s="83" t="str">
        <f t="shared" si="0"/>
        <v>1823870122092187016</v>
      </c>
      <c r="B47" s="84">
        <v>1823870</v>
      </c>
      <c r="C47" s="84">
        <v>122092</v>
      </c>
      <c r="D47" s="84">
        <v>187016</v>
      </c>
      <c r="E47" s="84" t="s">
        <v>266</v>
      </c>
      <c r="F47" s="89" t="s">
        <v>267</v>
      </c>
      <c r="G47" s="89" t="s">
        <v>268</v>
      </c>
      <c r="H47" s="89" t="s">
        <v>269</v>
      </c>
      <c r="I47" s="89" t="s">
        <v>270</v>
      </c>
      <c r="J47" s="89" t="s">
        <v>271</v>
      </c>
      <c r="K47" s="89" t="s">
        <v>272</v>
      </c>
      <c r="L47" s="89" t="s">
        <v>21</v>
      </c>
      <c r="M47" s="90">
        <v>36892</v>
      </c>
      <c r="N47" s="90">
        <v>401404</v>
      </c>
      <c r="O47" s="90">
        <v>39307</v>
      </c>
    </row>
    <row r="48" spans="1:15">
      <c r="A48" s="83" t="str">
        <f t="shared" si="0"/>
        <v>1823870122092187020</v>
      </c>
      <c r="B48" s="84">
        <v>1823870</v>
      </c>
      <c r="C48" s="84">
        <v>122092</v>
      </c>
      <c r="D48" s="84">
        <v>187020</v>
      </c>
      <c r="E48" s="84" t="s">
        <v>266</v>
      </c>
      <c r="F48" s="89" t="s">
        <v>267</v>
      </c>
      <c r="G48" s="89" t="s">
        <v>268</v>
      </c>
      <c r="H48" s="89" t="s">
        <v>269</v>
      </c>
      <c r="I48" s="89" t="s">
        <v>270</v>
      </c>
      <c r="J48" s="89" t="s">
        <v>271</v>
      </c>
      <c r="K48" s="89" t="s">
        <v>272</v>
      </c>
      <c r="L48" s="89" t="s">
        <v>21</v>
      </c>
      <c r="M48" s="90">
        <v>36892</v>
      </c>
      <c r="N48" s="90">
        <v>401404</v>
      </c>
      <c r="O48" s="90">
        <v>39307</v>
      </c>
    </row>
    <row r="49" spans="1:15">
      <c r="A49" s="83" t="str">
        <f t="shared" si="0"/>
        <v>1823870122092187021</v>
      </c>
      <c r="B49" s="84">
        <v>1823870</v>
      </c>
      <c r="C49" s="84">
        <v>122092</v>
      </c>
      <c r="D49" s="84">
        <v>187021</v>
      </c>
      <c r="E49" s="84" t="s">
        <v>266</v>
      </c>
      <c r="F49" s="89" t="s">
        <v>267</v>
      </c>
      <c r="G49" s="89" t="s">
        <v>268</v>
      </c>
      <c r="H49" s="89" t="s">
        <v>269</v>
      </c>
      <c r="I49" s="89" t="s">
        <v>270</v>
      </c>
      <c r="J49" s="89" t="s">
        <v>271</v>
      </c>
      <c r="K49" s="89" t="s">
        <v>272</v>
      </c>
      <c r="L49" s="89" t="s">
        <v>21</v>
      </c>
      <c r="M49" s="90">
        <v>36892</v>
      </c>
      <c r="N49" s="90">
        <v>401404</v>
      </c>
      <c r="O49" s="90">
        <v>39307</v>
      </c>
    </row>
    <row r="50" spans="1:15">
      <c r="A50" s="83" t="str">
        <f t="shared" si="0"/>
        <v>219000010</v>
      </c>
      <c r="B50" s="84">
        <v>2190000</v>
      </c>
      <c r="C50" s="84">
        <v>1</v>
      </c>
      <c r="D50" s="84">
        <v>0</v>
      </c>
      <c r="E50" s="84" t="s">
        <v>266</v>
      </c>
      <c r="F50" s="89" t="s">
        <v>267</v>
      </c>
      <c r="G50" s="89" t="s">
        <v>268</v>
      </c>
      <c r="H50" s="89" t="s">
        <v>286</v>
      </c>
      <c r="I50" s="89" t="s">
        <v>270</v>
      </c>
      <c r="J50" s="89" t="s">
        <v>271</v>
      </c>
      <c r="K50" s="89" t="s">
        <v>272</v>
      </c>
      <c r="L50" s="89" t="s">
        <v>273</v>
      </c>
      <c r="M50" s="90">
        <v>36892</v>
      </c>
      <c r="N50" s="90">
        <v>401404</v>
      </c>
      <c r="O50" s="90">
        <v>39307</v>
      </c>
    </row>
    <row r="51" spans="1:15">
      <c r="A51" s="83" t="str">
        <f t="shared" si="0"/>
        <v>2190000500</v>
      </c>
      <c r="B51" s="84">
        <v>2190000</v>
      </c>
      <c r="C51" s="84">
        <v>50</v>
      </c>
      <c r="D51" s="84">
        <v>0</v>
      </c>
      <c r="E51" s="84" t="s">
        <v>266</v>
      </c>
      <c r="F51" s="89" t="s">
        <v>267</v>
      </c>
      <c r="G51" s="89" t="s">
        <v>268</v>
      </c>
      <c r="H51" s="89" t="s">
        <v>286</v>
      </c>
      <c r="I51" s="89" t="s">
        <v>270</v>
      </c>
      <c r="J51" s="89" t="s">
        <v>271</v>
      </c>
      <c r="K51" s="89" t="s">
        <v>272</v>
      </c>
      <c r="L51" s="89" t="s">
        <v>273</v>
      </c>
      <c r="M51" s="90">
        <v>36892</v>
      </c>
      <c r="N51" s="90">
        <v>401404</v>
      </c>
      <c r="O51" s="90">
        <v>39307</v>
      </c>
    </row>
    <row r="52" spans="1:15">
      <c r="A52" s="83" t="str">
        <f t="shared" si="0"/>
        <v>2190000680</v>
      </c>
      <c r="B52" s="84">
        <v>2190000</v>
      </c>
      <c r="C52" s="84">
        <v>68</v>
      </c>
      <c r="D52" s="84">
        <v>0</v>
      </c>
      <c r="E52" s="84" t="s">
        <v>266</v>
      </c>
      <c r="F52" s="89" t="s">
        <v>267</v>
      </c>
      <c r="G52" s="89" t="s">
        <v>268</v>
      </c>
      <c r="H52" s="89" t="s">
        <v>286</v>
      </c>
      <c r="I52" s="89" t="s">
        <v>270</v>
      </c>
      <c r="J52" s="89" t="s">
        <v>271</v>
      </c>
      <c r="K52" s="89" t="s">
        <v>272</v>
      </c>
      <c r="L52" s="89" t="s">
        <v>21</v>
      </c>
      <c r="M52" s="90">
        <v>36892</v>
      </c>
      <c r="N52" s="90">
        <v>401404</v>
      </c>
      <c r="O52" s="90">
        <v>39307</v>
      </c>
    </row>
    <row r="53" spans="1:15">
      <c r="A53" s="83" t="str">
        <f t="shared" si="0"/>
        <v>2190000700</v>
      </c>
      <c r="B53" s="84">
        <v>2190000</v>
      </c>
      <c r="C53" s="84">
        <v>70</v>
      </c>
      <c r="D53" s="84">
        <v>0</v>
      </c>
      <c r="E53" s="84" t="s">
        <v>266</v>
      </c>
      <c r="F53" s="89" t="s">
        <v>267</v>
      </c>
      <c r="G53" s="89" t="s">
        <v>268</v>
      </c>
      <c r="H53" s="89" t="s">
        <v>286</v>
      </c>
      <c r="I53" s="89" t="s">
        <v>270</v>
      </c>
      <c r="J53" s="89" t="s">
        <v>271</v>
      </c>
      <c r="K53" s="89" t="s">
        <v>272</v>
      </c>
      <c r="L53" s="89" t="s">
        <v>273</v>
      </c>
      <c r="M53" s="90">
        <v>36892</v>
      </c>
      <c r="N53" s="90">
        <v>401404</v>
      </c>
      <c r="O53" s="90">
        <v>39307</v>
      </c>
    </row>
    <row r="54" spans="1:15">
      <c r="A54" s="83" t="str">
        <f t="shared" si="0"/>
        <v>2190000900</v>
      </c>
      <c r="B54" s="84">
        <v>2190000</v>
      </c>
      <c r="C54" s="84">
        <v>90</v>
      </c>
      <c r="D54" s="84">
        <v>0</v>
      </c>
      <c r="E54" s="84" t="s">
        <v>266</v>
      </c>
      <c r="F54" s="89" t="s">
        <v>267</v>
      </c>
      <c r="G54" s="89" t="s">
        <v>268</v>
      </c>
      <c r="H54" s="89" t="s">
        <v>286</v>
      </c>
      <c r="I54" s="89" t="s">
        <v>270</v>
      </c>
      <c r="J54" s="89" t="s">
        <v>271</v>
      </c>
      <c r="K54" s="89" t="s">
        <v>272</v>
      </c>
      <c r="L54" s="89" t="s">
        <v>273</v>
      </c>
      <c r="M54" s="90">
        <v>36892</v>
      </c>
      <c r="N54" s="90">
        <v>401404</v>
      </c>
      <c r="O54" s="90">
        <v>39307</v>
      </c>
    </row>
    <row r="55" spans="1:15">
      <c r="A55" s="83" t="str">
        <f t="shared" si="0"/>
        <v>21900001030</v>
      </c>
      <c r="B55" s="84">
        <v>2190000</v>
      </c>
      <c r="C55" s="84">
        <v>103</v>
      </c>
      <c r="D55" s="84">
        <v>0</v>
      </c>
      <c r="E55" s="84" t="s">
        <v>266</v>
      </c>
      <c r="F55" s="89" t="s">
        <v>267</v>
      </c>
      <c r="G55" s="89" t="s">
        <v>268</v>
      </c>
      <c r="H55" s="89" t="s">
        <v>286</v>
      </c>
      <c r="I55" s="89" t="s">
        <v>270</v>
      </c>
      <c r="J55" s="89" t="s">
        <v>271</v>
      </c>
      <c r="K55" s="89" t="s">
        <v>272</v>
      </c>
      <c r="L55" s="89" t="s">
        <v>273</v>
      </c>
      <c r="M55" s="90">
        <v>36892</v>
      </c>
      <c r="N55" s="90">
        <v>401404</v>
      </c>
      <c r="O55" s="90">
        <v>39307</v>
      </c>
    </row>
    <row r="56" spans="1:15">
      <c r="A56" s="83" t="str">
        <f t="shared" si="0"/>
        <v>21900001060</v>
      </c>
      <c r="B56" s="84">
        <v>2190000</v>
      </c>
      <c r="C56" s="84">
        <v>106</v>
      </c>
      <c r="D56" s="84">
        <v>0</v>
      </c>
      <c r="E56" s="84" t="s">
        <v>266</v>
      </c>
      <c r="F56" s="89" t="s">
        <v>267</v>
      </c>
      <c r="G56" s="89" t="s">
        <v>268</v>
      </c>
      <c r="H56" s="89" t="s">
        <v>286</v>
      </c>
      <c r="I56" s="89" t="s">
        <v>270</v>
      </c>
      <c r="J56" s="89" t="s">
        <v>271</v>
      </c>
      <c r="K56" s="89" t="s">
        <v>272</v>
      </c>
      <c r="L56" s="89" t="s">
        <v>273</v>
      </c>
      <c r="M56" s="90">
        <v>36892</v>
      </c>
      <c r="N56" s="90">
        <v>401404</v>
      </c>
      <c r="O56" s="90">
        <v>39307</v>
      </c>
    </row>
    <row r="57" spans="1:15">
      <c r="A57" s="83" t="str">
        <f t="shared" si="0"/>
        <v>21900001070</v>
      </c>
      <c r="B57" s="84">
        <v>2190000</v>
      </c>
      <c r="C57" s="84">
        <v>107</v>
      </c>
      <c r="D57" s="84">
        <v>0</v>
      </c>
      <c r="E57" s="84" t="s">
        <v>266</v>
      </c>
      <c r="F57" s="89" t="s">
        <v>267</v>
      </c>
      <c r="G57" s="89" t="s">
        <v>268</v>
      </c>
      <c r="H57" s="89" t="s">
        <v>286</v>
      </c>
      <c r="I57" s="89" t="s">
        <v>270</v>
      </c>
      <c r="J57" s="89" t="s">
        <v>271</v>
      </c>
      <c r="K57" s="89" t="s">
        <v>272</v>
      </c>
      <c r="L57" s="89" t="s">
        <v>21</v>
      </c>
      <c r="M57" s="90">
        <v>36892</v>
      </c>
      <c r="N57" s="90">
        <v>401404</v>
      </c>
      <c r="O57" s="90">
        <v>39307</v>
      </c>
    </row>
    <row r="58" spans="1:15">
      <c r="A58" s="83" t="str">
        <f t="shared" si="0"/>
        <v>21900001080</v>
      </c>
      <c r="B58" s="84">
        <v>2190000</v>
      </c>
      <c r="C58" s="84">
        <v>108</v>
      </c>
      <c r="D58" s="84">
        <v>0</v>
      </c>
      <c r="E58" s="84" t="s">
        <v>266</v>
      </c>
      <c r="F58" s="89" t="s">
        <v>267</v>
      </c>
      <c r="G58" s="89" t="s">
        <v>268</v>
      </c>
      <c r="H58" s="89" t="s">
        <v>286</v>
      </c>
      <c r="I58" s="89" t="s">
        <v>270</v>
      </c>
      <c r="J58" s="89" t="s">
        <v>271</v>
      </c>
      <c r="K58" s="89" t="s">
        <v>272</v>
      </c>
      <c r="L58" s="89" t="s">
        <v>273</v>
      </c>
      <c r="M58" s="90">
        <v>36892</v>
      </c>
      <c r="N58" s="90">
        <v>401404</v>
      </c>
      <c r="O58" s="90">
        <v>39307</v>
      </c>
    </row>
    <row r="59" spans="1:15">
      <c r="A59" s="83" t="str">
        <f t="shared" si="0"/>
        <v>21900001090</v>
      </c>
      <c r="B59" s="84">
        <v>2190000</v>
      </c>
      <c r="C59" s="84">
        <v>109</v>
      </c>
      <c r="D59" s="84">
        <v>0</v>
      </c>
      <c r="E59" s="84" t="s">
        <v>266</v>
      </c>
      <c r="F59" s="89" t="s">
        <v>267</v>
      </c>
      <c r="G59" s="89" t="s">
        <v>268</v>
      </c>
      <c r="H59" s="89" t="s">
        <v>286</v>
      </c>
      <c r="I59" s="89" t="s">
        <v>270</v>
      </c>
      <c r="J59" s="89" t="s">
        <v>271</v>
      </c>
      <c r="K59" s="89" t="s">
        <v>272</v>
      </c>
      <c r="L59" s="89" t="s">
        <v>273</v>
      </c>
      <c r="M59" s="90">
        <v>36892</v>
      </c>
      <c r="N59" s="90">
        <v>401404</v>
      </c>
      <c r="O59" s="90">
        <v>39307</v>
      </c>
    </row>
    <row r="60" spans="1:15">
      <c r="A60" s="83" t="str">
        <f t="shared" si="0"/>
        <v>21900001100</v>
      </c>
      <c r="B60" s="84">
        <v>2190000</v>
      </c>
      <c r="C60" s="84">
        <v>110</v>
      </c>
      <c r="D60" s="84">
        <v>0</v>
      </c>
      <c r="E60" s="84" t="s">
        <v>266</v>
      </c>
      <c r="F60" s="89" t="s">
        <v>267</v>
      </c>
      <c r="G60" s="89" t="s">
        <v>268</v>
      </c>
      <c r="H60" s="89" t="s">
        <v>286</v>
      </c>
      <c r="I60" s="89" t="s">
        <v>270</v>
      </c>
      <c r="J60" s="89" t="s">
        <v>271</v>
      </c>
      <c r="K60" s="89" t="s">
        <v>272</v>
      </c>
      <c r="L60" s="89" t="s">
        <v>273</v>
      </c>
      <c r="M60" s="90">
        <v>36892</v>
      </c>
      <c r="N60" s="90">
        <v>401404</v>
      </c>
      <c r="O60" s="90">
        <v>39307</v>
      </c>
    </row>
    <row r="61" spans="1:15">
      <c r="A61" s="83" t="str">
        <f t="shared" si="0"/>
        <v>21900001110</v>
      </c>
      <c r="B61" s="84">
        <v>2190000</v>
      </c>
      <c r="C61" s="84">
        <v>111</v>
      </c>
      <c r="D61" s="84">
        <v>0</v>
      </c>
      <c r="E61" s="84" t="s">
        <v>266</v>
      </c>
      <c r="F61" s="89" t="s">
        <v>267</v>
      </c>
      <c r="G61" s="89" t="s">
        <v>268</v>
      </c>
      <c r="H61" s="89" t="s">
        <v>286</v>
      </c>
      <c r="I61" s="89" t="s">
        <v>270</v>
      </c>
      <c r="J61" s="89" t="s">
        <v>271</v>
      </c>
      <c r="K61" s="89" t="s">
        <v>272</v>
      </c>
      <c r="L61" s="89" t="s">
        <v>273</v>
      </c>
      <c r="M61" s="90">
        <v>36892</v>
      </c>
      <c r="N61" s="90">
        <v>401404</v>
      </c>
      <c r="O61" s="90">
        <v>39307</v>
      </c>
    </row>
    <row r="62" spans="1:15">
      <c r="A62" s="83" t="str">
        <f t="shared" si="0"/>
        <v>21900001120</v>
      </c>
      <c r="B62" s="84">
        <v>2190000</v>
      </c>
      <c r="C62" s="84">
        <v>112</v>
      </c>
      <c r="D62" s="84">
        <v>0</v>
      </c>
      <c r="E62" s="84" t="s">
        <v>266</v>
      </c>
      <c r="F62" s="89" t="s">
        <v>267</v>
      </c>
      <c r="G62" s="89" t="s">
        <v>268</v>
      </c>
      <c r="H62" s="89" t="s">
        <v>286</v>
      </c>
      <c r="I62" s="89" t="s">
        <v>270</v>
      </c>
      <c r="J62" s="89" t="s">
        <v>271</v>
      </c>
      <c r="K62" s="89" t="s">
        <v>272</v>
      </c>
      <c r="L62" s="89" t="s">
        <v>273</v>
      </c>
      <c r="M62" s="90">
        <v>36892</v>
      </c>
      <c r="N62" s="90">
        <v>401404</v>
      </c>
      <c r="O62" s="90">
        <v>39307</v>
      </c>
    </row>
    <row r="63" spans="1:15">
      <c r="A63" s="83" t="str">
        <f t="shared" si="0"/>
        <v>21900002250</v>
      </c>
      <c r="B63" s="84">
        <v>2190000</v>
      </c>
      <c r="C63" s="84">
        <v>225</v>
      </c>
      <c r="D63" s="84">
        <v>0</v>
      </c>
      <c r="E63" s="84" t="s">
        <v>266</v>
      </c>
      <c r="F63" s="89" t="s">
        <v>267</v>
      </c>
      <c r="G63" s="89" t="s">
        <v>268</v>
      </c>
      <c r="H63" s="89" t="s">
        <v>286</v>
      </c>
      <c r="I63" s="89" t="s">
        <v>270</v>
      </c>
      <c r="J63" s="89" t="s">
        <v>271</v>
      </c>
      <c r="K63" s="89" t="s">
        <v>272</v>
      </c>
      <c r="L63" s="89" t="s">
        <v>21</v>
      </c>
      <c r="M63" s="90">
        <v>36892</v>
      </c>
      <c r="N63" s="90">
        <v>401404</v>
      </c>
      <c r="O63" s="90">
        <v>39307</v>
      </c>
    </row>
    <row r="64" spans="1:15">
      <c r="A64" s="83" t="str">
        <f t="shared" si="0"/>
        <v>21900002500</v>
      </c>
      <c r="B64" s="84">
        <v>2190000</v>
      </c>
      <c r="C64" s="84">
        <v>250</v>
      </c>
      <c r="D64" s="84">
        <v>0</v>
      </c>
      <c r="E64" s="84" t="s">
        <v>266</v>
      </c>
      <c r="F64" s="89" t="s">
        <v>267</v>
      </c>
      <c r="G64" s="89" t="s">
        <v>268</v>
      </c>
      <c r="H64" s="89" t="s">
        <v>286</v>
      </c>
      <c r="I64" s="89" t="s">
        <v>270</v>
      </c>
      <c r="J64" s="89" t="s">
        <v>271</v>
      </c>
      <c r="K64" s="89" t="s">
        <v>272</v>
      </c>
      <c r="L64" s="89" t="s">
        <v>273</v>
      </c>
      <c r="M64" s="90">
        <v>36892</v>
      </c>
      <c r="N64" s="90">
        <v>401404</v>
      </c>
      <c r="O64" s="90">
        <v>39307</v>
      </c>
    </row>
    <row r="65" spans="1:15">
      <c r="A65" s="83" t="str">
        <f t="shared" si="0"/>
        <v>21900002510</v>
      </c>
      <c r="B65" s="84">
        <v>2190000</v>
      </c>
      <c r="C65" s="84">
        <v>251</v>
      </c>
      <c r="D65" s="84">
        <v>0</v>
      </c>
      <c r="E65" s="84" t="s">
        <v>266</v>
      </c>
      <c r="F65" s="89" t="s">
        <v>267</v>
      </c>
      <c r="G65" s="89" t="s">
        <v>268</v>
      </c>
      <c r="H65" s="89" t="s">
        <v>286</v>
      </c>
      <c r="I65" s="89" t="s">
        <v>270</v>
      </c>
      <c r="J65" s="89" t="s">
        <v>271</v>
      </c>
      <c r="K65" s="89" t="s">
        <v>272</v>
      </c>
      <c r="L65" s="89" t="s">
        <v>273</v>
      </c>
      <c r="M65" s="90">
        <v>36892</v>
      </c>
      <c r="N65" s="90">
        <v>401404</v>
      </c>
      <c r="O65" s="90">
        <v>39307</v>
      </c>
    </row>
    <row r="66" spans="1:15">
      <c r="A66" s="83" t="str">
        <f t="shared" si="0"/>
        <v>21900002520</v>
      </c>
      <c r="B66" s="84">
        <v>2190000</v>
      </c>
      <c r="C66" s="84">
        <v>252</v>
      </c>
      <c r="D66" s="84">
        <v>0</v>
      </c>
      <c r="E66" s="84" t="s">
        <v>266</v>
      </c>
      <c r="F66" s="89" t="s">
        <v>267</v>
      </c>
      <c r="G66" s="89" t="s">
        <v>268</v>
      </c>
      <c r="H66" s="89" t="s">
        <v>286</v>
      </c>
      <c r="I66" s="89" t="s">
        <v>270</v>
      </c>
      <c r="J66" s="89" t="s">
        <v>271</v>
      </c>
      <c r="K66" s="89" t="s">
        <v>272</v>
      </c>
      <c r="L66" s="89" t="s">
        <v>273</v>
      </c>
      <c r="M66" s="90">
        <v>36892</v>
      </c>
      <c r="N66" s="90">
        <v>401404</v>
      </c>
      <c r="O66" s="90">
        <v>39307</v>
      </c>
    </row>
    <row r="67" spans="1:15">
      <c r="A67" s="83" t="str">
        <f t="shared" ref="A67:A130" si="1">B67&amp;C67&amp;D67</f>
        <v>21900002600</v>
      </c>
      <c r="B67" s="84">
        <v>2190000</v>
      </c>
      <c r="C67" s="84">
        <v>260</v>
      </c>
      <c r="D67" s="84">
        <v>0</v>
      </c>
      <c r="E67" s="84" t="s">
        <v>266</v>
      </c>
      <c r="F67" s="89" t="s">
        <v>267</v>
      </c>
      <c r="G67" s="89" t="s">
        <v>268</v>
      </c>
      <c r="H67" s="89" t="s">
        <v>286</v>
      </c>
      <c r="I67" s="89" t="s">
        <v>270</v>
      </c>
      <c r="J67" s="89" t="s">
        <v>271</v>
      </c>
      <c r="K67" s="89" t="s">
        <v>272</v>
      </c>
      <c r="L67" s="89" t="s">
        <v>273</v>
      </c>
      <c r="M67" s="90">
        <v>36892</v>
      </c>
      <c r="N67" s="90">
        <v>401404</v>
      </c>
      <c r="O67" s="90">
        <v>39307</v>
      </c>
    </row>
    <row r="68" spans="1:15">
      <c r="A68" s="83" t="str">
        <f t="shared" si="1"/>
        <v>21900002610</v>
      </c>
      <c r="B68" s="84">
        <v>2190000</v>
      </c>
      <c r="C68" s="84">
        <v>261</v>
      </c>
      <c r="D68" s="84">
        <v>0</v>
      </c>
      <c r="E68" s="84" t="s">
        <v>266</v>
      </c>
      <c r="F68" s="89" t="s">
        <v>267</v>
      </c>
      <c r="G68" s="89" t="s">
        <v>268</v>
      </c>
      <c r="H68" s="89" t="s">
        <v>286</v>
      </c>
      <c r="I68" s="89" t="s">
        <v>270</v>
      </c>
      <c r="J68" s="89" t="s">
        <v>271</v>
      </c>
      <c r="K68" s="89" t="s">
        <v>272</v>
      </c>
      <c r="L68" s="89" t="s">
        <v>21</v>
      </c>
      <c r="M68" s="90">
        <v>36892</v>
      </c>
      <c r="N68" s="90">
        <v>401404</v>
      </c>
      <c r="O68" s="90">
        <v>39307</v>
      </c>
    </row>
    <row r="69" spans="1:15">
      <c r="A69" s="83" t="str">
        <f t="shared" si="1"/>
        <v>21900002700</v>
      </c>
      <c r="B69" s="84">
        <v>2190000</v>
      </c>
      <c r="C69" s="84">
        <v>270</v>
      </c>
      <c r="D69" s="84">
        <v>0</v>
      </c>
      <c r="E69" s="84" t="s">
        <v>266</v>
      </c>
      <c r="F69" s="89" t="s">
        <v>267</v>
      </c>
      <c r="G69" s="89" t="s">
        <v>268</v>
      </c>
      <c r="H69" s="89" t="s">
        <v>286</v>
      </c>
      <c r="I69" s="89" t="s">
        <v>270</v>
      </c>
      <c r="J69" s="89" t="s">
        <v>271</v>
      </c>
      <c r="K69" s="89" t="s">
        <v>272</v>
      </c>
      <c r="L69" s="89" t="s">
        <v>273</v>
      </c>
      <c r="M69" s="90">
        <v>36892</v>
      </c>
      <c r="N69" s="90">
        <v>401404</v>
      </c>
      <c r="O69" s="90">
        <v>39307</v>
      </c>
    </row>
    <row r="70" spans="1:15">
      <c r="A70" s="83" t="str">
        <f t="shared" si="1"/>
        <v>21900002710</v>
      </c>
      <c r="B70" s="84">
        <v>2190000</v>
      </c>
      <c r="C70" s="84">
        <v>271</v>
      </c>
      <c r="D70" s="84">
        <v>0</v>
      </c>
      <c r="E70" s="84" t="s">
        <v>266</v>
      </c>
      <c r="F70" s="89" t="s">
        <v>267</v>
      </c>
      <c r="G70" s="89" t="s">
        <v>268</v>
      </c>
      <c r="H70" s="89" t="s">
        <v>286</v>
      </c>
      <c r="I70" s="89" t="s">
        <v>270</v>
      </c>
      <c r="J70" s="89" t="s">
        <v>271</v>
      </c>
      <c r="K70" s="89" t="s">
        <v>272</v>
      </c>
      <c r="L70" s="89" t="s">
        <v>21</v>
      </c>
      <c r="M70" s="90">
        <v>36892</v>
      </c>
      <c r="N70" s="90">
        <v>401404</v>
      </c>
      <c r="O70" s="90">
        <v>39307</v>
      </c>
    </row>
    <row r="71" spans="1:15">
      <c r="A71" s="83" t="str">
        <f t="shared" si="1"/>
        <v>21900002720</v>
      </c>
      <c r="B71" s="84">
        <v>2190000</v>
      </c>
      <c r="C71" s="84">
        <v>272</v>
      </c>
      <c r="D71" s="84">
        <v>0</v>
      </c>
      <c r="E71" s="84" t="s">
        <v>266</v>
      </c>
      <c r="F71" s="89" t="s">
        <v>267</v>
      </c>
      <c r="G71" s="89" t="s">
        <v>268</v>
      </c>
      <c r="H71" s="89" t="s">
        <v>286</v>
      </c>
      <c r="I71" s="89" t="s">
        <v>270</v>
      </c>
      <c r="J71" s="89" t="s">
        <v>271</v>
      </c>
      <c r="K71" s="89" t="s">
        <v>272</v>
      </c>
      <c r="L71" s="89" t="s">
        <v>21</v>
      </c>
      <c r="M71" s="90">
        <v>36892</v>
      </c>
      <c r="N71" s="90">
        <v>401404</v>
      </c>
      <c r="O71" s="90">
        <v>39307</v>
      </c>
    </row>
    <row r="72" spans="1:15">
      <c r="A72" s="83" t="str">
        <f t="shared" si="1"/>
        <v>21900002730</v>
      </c>
      <c r="B72" s="84">
        <v>2190000</v>
      </c>
      <c r="C72" s="84">
        <v>273</v>
      </c>
      <c r="D72" s="84">
        <v>0</v>
      </c>
      <c r="E72" s="84" t="s">
        <v>266</v>
      </c>
      <c r="F72" s="89" t="s">
        <v>267</v>
      </c>
      <c r="G72" s="89" t="s">
        <v>268</v>
      </c>
      <c r="H72" s="89" t="s">
        <v>286</v>
      </c>
      <c r="I72" s="89" t="s">
        <v>270</v>
      </c>
      <c r="J72" s="89" t="s">
        <v>271</v>
      </c>
      <c r="K72" s="89" t="s">
        <v>272</v>
      </c>
      <c r="L72" s="89" t="s">
        <v>21</v>
      </c>
      <c r="M72" s="90">
        <v>36892</v>
      </c>
      <c r="N72" s="90">
        <v>401404</v>
      </c>
      <c r="O72" s="90">
        <v>39307</v>
      </c>
    </row>
    <row r="73" spans="1:15">
      <c r="A73" s="83" t="str">
        <f t="shared" si="1"/>
        <v>21900002800</v>
      </c>
      <c r="B73" s="84">
        <v>2190000</v>
      </c>
      <c r="C73" s="84">
        <v>280</v>
      </c>
      <c r="D73" s="84">
        <v>0</v>
      </c>
      <c r="E73" s="84" t="s">
        <v>266</v>
      </c>
      <c r="F73" s="89" t="s">
        <v>267</v>
      </c>
      <c r="G73" s="89" t="s">
        <v>268</v>
      </c>
      <c r="H73" s="89" t="s">
        <v>286</v>
      </c>
      <c r="I73" s="89" t="s">
        <v>270</v>
      </c>
      <c r="J73" s="89" t="s">
        <v>271</v>
      </c>
      <c r="K73" s="89" t="s">
        <v>272</v>
      </c>
      <c r="L73" s="89" t="s">
        <v>273</v>
      </c>
      <c r="M73" s="90">
        <v>36892</v>
      </c>
      <c r="N73" s="90">
        <v>401404</v>
      </c>
      <c r="O73" s="90">
        <v>39307</v>
      </c>
    </row>
    <row r="74" spans="1:15">
      <c r="A74" s="83" t="str">
        <f t="shared" si="1"/>
        <v>21900002810</v>
      </c>
      <c r="B74" s="84">
        <v>2190000</v>
      </c>
      <c r="C74" s="84">
        <v>281</v>
      </c>
      <c r="D74" s="84">
        <v>0</v>
      </c>
      <c r="E74" s="84" t="s">
        <v>266</v>
      </c>
      <c r="F74" s="89" t="s">
        <v>267</v>
      </c>
      <c r="G74" s="89" t="s">
        <v>268</v>
      </c>
      <c r="H74" s="89" t="s">
        <v>286</v>
      </c>
      <c r="I74" s="89" t="s">
        <v>270</v>
      </c>
      <c r="J74" s="89" t="s">
        <v>271</v>
      </c>
      <c r="K74" s="89" t="s">
        <v>272</v>
      </c>
      <c r="L74" s="89" t="s">
        <v>273</v>
      </c>
      <c r="M74" s="90">
        <v>36892</v>
      </c>
      <c r="N74" s="90">
        <v>401404</v>
      </c>
      <c r="O74" s="90">
        <v>39307</v>
      </c>
    </row>
    <row r="75" spans="1:15">
      <c r="A75" s="83" t="str">
        <f t="shared" si="1"/>
        <v>21900002820</v>
      </c>
      <c r="B75" s="84">
        <v>2190000</v>
      </c>
      <c r="C75" s="84">
        <v>282</v>
      </c>
      <c r="D75" s="84">
        <v>0</v>
      </c>
      <c r="E75" s="84" t="s">
        <v>266</v>
      </c>
      <c r="F75" s="89" t="s">
        <v>267</v>
      </c>
      <c r="G75" s="89" t="s">
        <v>268</v>
      </c>
      <c r="H75" s="89" t="s">
        <v>286</v>
      </c>
      <c r="I75" s="89" t="s">
        <v>270</v>
      </c>
      <c r="J75" s="89" t="s">
        <v>271</v>
      </c>
      <c r="K75" s="89" t="s">
        <v>272</v>
      </c>
      <c r="L75" s="89" t="s">
        <v>21</v>
      </c>
      <c r="M75" s="90">
        <v>36892</v>
      </c>
      <c r="N75" s="90">
        <v>401404</v>
      </c>
      <c r="O75" s="90">
        <v>39307</v>
      </c>
    </row>
    <row r="76" spans="1:15">
      <c r="A76" s="83" t="str">
        <f t="shared" si="1"/>
        <v>21900003000</v>
      </c>
      <c r="B76" s="84">
        <v>2190000</v>
      </c>
      <c r="C76" s="84">
        <v>300</v>
      </c>
      <c r="D76" s="84">
        <v>0</v>
      </c>
      <c r="E76" s="84" t="s">
        <v>266</v>
      </c>
      <c r="F76" s="89" t="s">
        <v>267</v>
      </c>
      <c r="G76" s="89" t="s">
        <v>268</v>
      </c>
      <c r="H76" s="89" t="s">
        <v>286</v>
      </c>
      <c r="I76" s="89" t="s">
        <v>270</v>
      </c>
      <c r="J76" s="89" t="s">
        <v>271</v>
      </c>
      <c r="K76" s="89" t="s">
        <v>272</v>
      </c>
      <c r="L76" s="89" t="s">
        <v>273</v>
      </c>
      <c r="M76" s="90">
        <v>36892</v>
      </c>
      <c r="N76" s="90">
        <v>401404</v>
      </c>
      <c r="O76" s="90">
        <v>39307</v>
      </c>
    </row>
    <row r="77" spans="1:15">
      <c r="A77" s="83" t="str">
        <f t="shared" si="1"/>
        <v>21900003010</v>
      </c>
      <c r="B77" s="84">
        <v>2190000</v>
      </c>
      <c r="C77" s="84">
        <v>301</v>
      </c>
      <c r="D77" s="84">
        <v>0</v>
      </c>
      <c r="E77" s="84" t="s">
        <v>266</v>
      </c>
      <c r="F77" s="89" t="s">
        <v>267</v>
      </c>
      <c r="G77" s="89" t="s">
        <v>268</v>
      </c>
      <c r="H77" s="89" t="s">
        <v>286</v>
      </c>
      <c r="I77" s="89" t="s">
        <v>270</v>
      </c>
      <c r="J77" s="89" t="s">
        <v>271</v>
      </c>
      <c r="K77" s="89" t="s">
        <v>272</v>
      </c>
      <c r="L77" s="89" t="s">
        <v>21</v>
      </c>
      <c r="M77" s="90">
        <v>36892</v>
      </c>
      <c r="N77" s="90">
        <v>401404</v>
      </c>
      <c r="O77" s="90">
        <v>39307</v>
      </c>
    </row>
    <row r="78" spans="1:15">
      <c r="A78" s="83" t="str">
        <f t="shared" si="1"/>
        <v>21900003020</v>
      </c>
      <c r="B78" s="84">
        <v>2190000</v>
      </c>
      <c r="C78" s="84">
        <v>302</v>
      </c>
      <c r="D78" s="84">
        <v>0</v>
      </c>
      <c r="E78" s="84" t="s">
        <v>266</v>
      </c>
      <c r="F78" s="89" t="s">
        <v>267</v>
      </c>
      <c r="G78" s="89" t="s">
        <v>268</v>
      </c>
      <c r="H78" s="89" t="s">
        <v>286</v>
      </c>
      <c r="I78" s="89" t="s">
        <v>270</v>
      </c>
      <c r="J78" s="89" t="s">
        <v>271</v>
      </c>
      <c r="K78" s="89" t="s">
        <v>272</v>
      </c>
      <c r="L78" s="89" t="s">
        <v>21</v>
      </c>
      <c r="M78" s="90">
        <v>36892</v>
      </c>
      <c r="N78" s="90">
        <v>401404</v>
      </c>
      <c r="O78" s="90">
        <v>39307</v>
      </c>
    </row>
    <row r="79" spans="1:15">
      <c r="A79" s="83" t="str">
        <f t="shared" si="1"/>
        <v>21900003030</v>
      </c>
      <c r="B79" s="84">
        <v>2190000</v>
      </c>
      <c r="C79" s="84">
        <v>303</v>
      </c>
      <c r="D79" s="84">
        <v>0</v>
      </c>
      <c r="E79" s="84" t="s">
        <v>266</v>
      </c>
      <c r="F79" s="89" t="s">
        <v>267</v>
      </c>
      <c r="G79" s="89" t="s">
        <v>268</v>
      </c>
      <c r="H79" s="89" t="s">
        <v>286</v>
      </c>
      <c r="I79" s="89" t="s">
        <v>270</v>
      </c>
      <c r="J79" s="89" t="s">
        <v>271</v>
      </c>
      <c r="K79" s="89" t="s">
        <v>272</v>
      </c>
      <c r="L79" s="89" t="s">
        <v>21</v>
      </c>
      <c r="M79" s="90">
        <v>36892</v>
      </c>
      <c r="N79" s="90">
        <v>401404</v>
      </c>
      <c r="O79" s="90">
        <v>39307</v>
      </c>
    </row>
    <row r="80" spans="1:15">
      <c r="A80" s="83" t="str">
        <f t="shared" si="1"/>
        <v>21900003100</v>
      </c>
      <c r="B80" s="84">
        <v>2190000</v>
      </c>
      <c r="C80" s="84">
        <v>310</v>
      </c>
      <c r="D80" s="84">
        <v>0</v>
      </c>
      <c r="E80" s="84" t="s">
        <v>266</v>
      </c>
      <c r="F80" s="89" t="s">
        <v>267</v>
      </c>
      <c r="G80" s="89" t="s">
        <v>268</v>
      </c>
      <c r="H80" s="89" t="s">
        <v>286</v>
      </c>
      <c r="I80" s="89" t="s">
        <v>270</v>
      </c>
      <c r="J80" s="89" t="s">
        <v>271</v>
      </c>
      <c r="K80" s="89" t="s">
        <v>272</v>
      </c>
      <c r="L80" s="89" t="s">
        <v>21</v>
      </c>
      <c r="M80" s="90">
        <v>36892</v>
      </c>
      <c r="N80" s="90">
        <v>401404</v>
      </c>
      <c r="O80" s="90">
        <v>39307</v>
      </c>
    </row>
    <row r="81" spans="1:15">
      <c r="A81" s="83" t="str">
        <f t="shared" si="1"/>
        <v>21900003810</v>
      </c>
      <c r="B81" s="84">
        <v>2190000</v>
      </c>
      <c r="C81" s="84">
        <v>381</v>
      </c>
      <c r="D81" s="84">
        <v>0</v>
      </c>
      <c r="E81" s="84" t="s">
        <v>266</v>
      </c>
      <c r="F81" s="89" t="s">
        <v>267</v>
      </c>
      <c r="G81" s="89" t="s">
        <v>268</v>
      </c>
      <c r="H81" s="89" t="s">
        <v>286</v>
      </c>
      <c r="I81" s="89" t="s">
        <v>270</v>
      </c>
      <c r="J81" s="89" t="s">
        <v>271</v>
      </c>
      <c r="K81" s="89" t="s">
        <v>272</v>
      </c>
      <c r="L81" s="89" t="s">
        <v>273</v>
      </c>
      <c r="M81" s="90">
        <v>36892</v>
      </c>
      <c r="N81" s="90">
        <v>401404</v>
      </c>
      <c r="O81" s="90">
        <v>39307</v>
      </c>
    </row>
    <row r="82" spans="1:15">
      <c r="A82" s="83" t="str">
        <f t="shared" si="1"/>
        <v>21900004000</v>
      </c>
      <c r="B82" s="84">
        <v>2190000</v>
      </c>
      <c r="C82" s="84">
        <v>400</v>
      </c>
      <c r="D82" s="84">
        <v>0</v>
      </c>
      <c r="E82" s="84" t="s">
        <v>266</v>
      </c>
      <c r="F82" s="89" t="s">
        <v>267</v>
      </c>
      <c r="G82" s="89" t="s">
        <v>268</v>
      </c>
      <c r="H82" s="89" t="s">
        <v>286</v>
      </c>
      <c r="I82" s="89" t="s">
        <v>270</v>
      </c>
      <c r="J82" s="89" t="s">
        <v>271</v>
      </c>
      <c r="K82" s="89" t="s">
        <v>272</v>
      </c>
      <c r="L82" s="89" t="s">
        <v>273</v>
      </c>
      <c r="M82" s="90">
        <v>36892</v>
      </c>
      <c r="N82" s="90">
        <v>401404</v>
      </c>
      <c r="O82" s="90">
        <v>39307</v>
      </c>
    </row>
    <row r="83" spans="1:15">
      <c r="A83" s="83" t="str">
        <f t="shared" si="1"/>
        <v>21900004100</v>
      </c>
      <c r="B83" s="84">
        <v>2190000</v>
      </c>
      <c r="C83" s="84">
        <v>410</v>
      </c>
      <c r="D83" s="84">
        <v>0</v>
      </c>
      <c r="E83" s="84" t="s">
        <v>266</v>
      </c>
      <c r="F83" s="89" t="s">
        <v>267</v>
      </c>
      <c r="G83" s="89" t="s">
        <v>268</v>
      </c>
      <c r="H83" s="89" t="s">
        <v>286</v>
      </c>
      <c r="I83" s="89" t="s">
        <v>270</v>
      </c>
      <c r="J83" s="89" t="s">
        <v>271</v>
      </c>
      <c r="K83" s="89" t="s">
        <v>272</v>
      </c>
      <c r="L83" s="89" t="s">
        <v>21</v>
      </c>
      <c r="M83" s="90">
        <v>36892</v>
      </c>
      <c r="N83" s="90">
        <v>401404</v>
      </c>
      <c r="O83" s="90">
        <v>39307</v>
      </c>
    </row>
    <row r="84" spans="1:15">
      <c r="A84" s="83" t="str">
        <f t="shared" si="1"/>
        <v>21900004750</v>
      </c>
      <c r="B84" s="84">
        <v>2190000</v>
      </c>
      <c r="C84" s="84">
        <v>475</v>
      </c>
      <c r="D84" s="84">
        <v>0</v>
      </c>
      <c r="E84" s="84" t="s">
        <v>266</v>
      </c>
      <c r="F84" s="89" t="s">
        <v>267</v>
      </c>
      <c r="G84" s="89" t="s">
        <v>268</v>
      </c>
      <c r="H84" s="89" t="s">
        <v>286</v>
      </c>
      <c r="I84" s="89" t="s">
        <v>270</v>
      </c>
      <c r="J84" s="89" t="s">
        <v>271</v>
      </c>
      <c r="K84" s="89" t="s">
        <v>272</v>
      </c>
      <c r="L84" s="89" t="s">
        <v>273</v>
      </c>
      <c r="M84" s="90">
        <v>36892</v>
      </c>
      <c r="N84" s="90">
        <v>401404</v>
      </c>
      <c r="O84" s="90">
        <v>39307</v>
      </c>
    </row>
    <row r="85" spans="1:15">
      <c r="A85" s="83" t="str">
        <f t="shared" si="1"/>
        <v>21900009020</v>
      </c>
      <c r="B85" s="84">
        <v>2190000</v>
      </c>
      <c r="C85" s="84">
        <v>902</v>
      </c>
      <c r="D85" s="84">
        <v>0</v>
      </c>
      <c r="E85" s="84" t="s">
        <v>266</v>
      </c>
      <c r="F85" s="89" t="s">
        <v>267</v>
      </c>
      <c r="G85" s="89" t="s">
        <v>268</v>
      </c>
      <c r="H85" s="89" t="s">
        <v>286</v>
      </c>
      <c r="I85" s="89" t="s">
        <v>270</v>
      </c>
      <c r="J85" s="89" t="s">
        <v>271</v>
      </c>
      <c r="K85" s="89" t="s">
        <v>272</v>
      </c>
      <c r="L85" s="89" t="s">
        <v>273</v>
      </c>
      <c r="M85" s="90">
        <v>36892</v>
      </c>
      <c r="N85" s="90">
        <v>401404</v>
      </c>
      <c r="O85" s="90">
        <v>39307</v>
      </c>
    </row>
    <row r="86" spans="1:15">
      <c r="A86" s="83" t="str">
        <f t="shared" si="1"/>
        <v>21900009040</v>
      </c>
      <c r="B86" s="84">
        <v>2190000</v>
      </c>
      <c r="C86" s="84">
        <v>904</v>
      </c>
      <c r="D86" s="84">
        <v>0</v>
      </c>
      <c r="E86" s="84" t="s">
        <v>266</v>
      </c>
      <c r="F86" s="89" t="s">
        <v>267</v>
      </c>
      <c r="G86" s="89" t="s">
        <v>268</v>
      </c>
      <c r="H86" s="89" t="s">
        <v>286</v>
      </c>
      <c r="I86" s="89" t="s">
        <v>270</v>
      </c>
      <c r="J86" s="89" t="s">
        <v>271</v>
      </c>
      <c r="K86" s="89" t="s">
        <v>287</v>
      </c>
      <c r="L86" s="89" t="s">
        <v>21</v>
      </c>
      <c r="M86" s="90">
        <v>36892</v>
      </c>
      <c r="N86" s="90">
        <v>401404</v>
      </c>
      <c r="O86" s="90">
        <v>39484</v>
      </c>
    </row>
    <row r="87" spans="1:15">
      <c r="A87" s="83" t="str">
        <f t="shared" si="1"/>
        <v>21900009060</v>
      </c>
      <c r="B87" s="84">
        <v>2190000</v>
      </c>
      <c r="C87" s="84">
        <v>906</v>
      </c>
      <c r="D87" s="84">
        <v>0</v>
      </c>
      <c r="E87" s="84" t="s">
        <v>266</v>
      </c>
      <c r="F87" s="89" t="s">
        <v>267</v>
      </c>
      <c r="G87" s="89" t="s">
        <v>268</v>
      </c>
      <c r="H87" s="89" t="s">
        <v>286</v>
      </c>
      <c r="I87" s="89" t="s">
        <v>270</v>
      </c>
      <c r="J87" s="89" t="s">
        <v>271</v>
      </c>
      <c r="K87" s="89" t="s">
        <v>272</v>
      </c>
      <c r="L87" s="89" t="s">
        <v>273</v>
      </c>
      <c r="M87" s="90">
        <v>36892</v>
      </c>
      <c r="N87" s="90">
        <v>401404</v>
      </c>
      <c r="O87" s="90">
        <v>39307</v>
      </c>
    </row>
    <row r="88" spans="1:15">
      <c r="A88" s="83" t="str">
        <f t="shared" si="1"/>
        <v>21900009070</v>
      </c>
      <c r="B88" s="84">
        <v>2190000</v>
      </c>
      <c r="C88" s="84">
        <v>907</v>
      </c>
      <c r="D88" s="84">
        <v>0</v>
      </c>
      <c r="E88" s="84" t="s">
        <v>266</v>
      </c>
      <c r="F88" s="89" t="s">
        <v>267</v>
      </c>
      <c r="G88" s="89" t="s">
        <v>268</v>
      </c>
      <c r="H88" s="89" t="s">
        <v>286</v>
      </c>
      <c r="I88" s="89" t="s">
        <v>270</v>
      </c>
      <c r="J88" s="89" t="s">
        <v>271</v>
      </c>
      <c r="K88" s="89" t="s">
        <v>287</v>
      </c>
      <c r="L88" s="89" t="s">
        <v>21</v>
      </c>
      <c r="M88" s="90">
        <v>36892</v>
      </c>
      <c r="N88" s="90">
        <v>401404</v>
      </c>
      <c r="O88" s="90">
        <v>39484</v>
      </c>
    </row>
    <row r="89" spans="1:15">
      <c r="A89" s="83" t="str">
        <f t="shared" si="1"/>
        <v>219000010340</v>
      </c>
      <c r="B89" s="84">
        <v>2190000</v>
      </c>
      <c r="C89" s="84">
        <v>1034</v>
      </c>
      <c r="D89" s="84">
        <v>0</v>
      </c>
      <c r="E89" s="84" t="s">
        <v>266</v>
      </c>
      <c r="F89" s="89" t="s">
        <v>267</v>
      </c>
      <c r="G89" s="89" t="s">
        <v>268</v>
      </c>
      <c r="H89" s="89" t="s">
        <v>286</v>
      </c>
      <c r="I89" s="89" t="s">
        <v>270</v>
      </c>
      <c r="J89" s="89" t="s">
        <v>271</v>
      </c>
      <c r="K89" s="89" t="s">
        <v>272</v>
      </c>
      <c r="L89" s="89" t="s">
        <v>273</v>
      </c>
      <c r="M89" s="90">
        <v>36892</v>
      </c>
      <c r="N89" s="90">
        <v>401404</v>
      </c>
      <c r="O89" s="90">
        <v>39307</v>
      </c>
    </row>
    <row r="90" spans="1:15">
      <c r="A90" s="83" t="str">
        <f t="shared" si="1"/>
        <v>219000011600</v>
      </c>
      <c r="B90" s="84">
        <v>2190000</v>
      </c>
      <c r="C90" s="84">
        <v>1160</v>
      </c>
      <c r="D90" s="84">
        <v>0</v>
      </c>
      <c r="E90" s="84" t="s">
        <v>266</v>
      </c>
      <c r="F90" s="89" t="s">
        <v>267</v>
      </c>
      <c r="G90" s="89" t="s">
        <v>268</v>
      </c>
      <c r="H90" s="89" t="s">
        <v>286</v>
      </c>
      <c r="I90" s="89" t="s">
        <v>270</v>
      </c>
      <c r="J90" s="89" t="s">
        <v>271</v>
      </c>
      <c r="K90" s="89" t="s">
        <v>272</v>
      </c>
      <c r="L90" s="89" t="s">
        <v>21</v>
      </c>
      <c r="M90" s="90">
        <v>36892</v>
      </c>
      <c r="N90" s="90">
        <v>401404</v>
      </c>
      <c r="O90" s="90">
        <v>39307</v>
      </c>
    </row>
    <row r="91" spans="1:15">
      <c r="A91" s="83" t="str">
        <f t="shared" si="1"/>
        <v>219000019020</v>
      </c>
      <c r="B91" s="84">
        <v>2190000</v>
      </c>
      <c r="C91" s="84">
        <v>1902</v>
      </c>
      <c r="D91" s="84">
        <v>0</v>
      </c>
      <c r="E91" s="84" t="s">
        <v>266</v>
      </c>
      <c r="F91" s="89" t="s">
        <v>267</v>
      </c>
      <c r="G91" s="89" t="s">
        <v>268</v>
      </c>
      <c r="H91" s="89" t="s">
        <v>286</v>
      </c>
      <c r="I91" s="89" t="s">
        <v>270</v>
      </c>
      <c r="J91" s="89" t="s">
        <v>271</v>
      </c>
      <c r="K91" s="89" t="s">
        <v>272</v>
      </c>
      <c r="L91" s="89" t="s">
        <v>21</v>
      </c>
      <c r="M91" s="90">
        <v>36892</v>
      </c>
      <c r="N91" s="90">
        <v>401404</v>
      </c>
      <c r="O91" s="90">
        <v>39307</v>
      </c>
    </row>
    <row r="92" spans="1:15">
      <c r="A92" s="83" t="str">
        <f t="shared" si="1"/>
        <v>219000050010</v>
      </c>
      <c r="B92" s="84">
        <v>2190000</v>
      </c>
      <c r="C92" s="84">
        <v>5001</v>
      </c>
      <c r="D92" s="84">
        <v>0</v>
      </c>
      <c r="E92" s="84" t="s">
        <v>266</v>
      </c>
      <c r="F92" s="89" t="s">
        <v>267</v>
      </c>
      <c r="G92" s="89" t="s">
        <v>268</v>
      </c>
      <c r="H92" s="89" t="s">
        <v>286</v>
      </c>
      <c r="I92" s="89" t="s">
        <v>270</v>
      </c>
      <c r="J92" s="89" t="s">
        <v>271</v>
      </c>
      <c r="K92" s="89" t="s">
        <v>272</v>
      </c>
      <c r="L92" s="89" t="s">
        <v>273</v>
      </c>
      <c r="M92" s="90">
        <v>36892</v>
      </c>
      <c r="N92" s="90">
        <v>401404</v>
      </c>
      <c r="O92" s="90">
        <v>39307</v>
      </c>
    </row>
    <row r="93" spans="1:15">
      <c r="A93" s="83" t="str">
        <f t="shared" si="1"/>
        <v>219000050020</v>
      </c>
      <c r="B93" s="84">
        <v>2190000</v>
      </c>
      <c r="C93" s="84">
        <v>5002</v>
      </c>
      <c r="D93" s="84">
        <v>0</v>
      </c>
      <c r="E93" s="84" t="s">
        <v>266</v>
      </c>
      <c r="F93" s="89" t="s">
        <v>267</v>
      </c>
      <c r="G93" s="89" t="s">
        <v>268</v>
      </c>
      <c r="H93" s="89" t="s">
        <v>286</v>
      </c>
      <c r="I93" s="89" t="s">
        <v>270</v>
      </c>
      <c r="J93" s="89" t="s">
        <v>271</v>
      </c>
      <c r="K93" s="89" t="s">
        <v>272</v>
      </c>
      <c r="L93" s="89" t="s">
        <v>21</v>
      </c>
      <c r="M93" s="90">
        <v>36892</v>
      </c>
      <c r="N93" s="90">
        <v>401404</v>
      </c>
      <c r="O93" s="90">
        <v>39307</v>
      </c>
    </row>
    <row r="94" spans="1:15">
      <c r="A94" s="83" t="str">
        <f t="shared" si="1"/>
        <v>219000050030</v>
      </c>
      <c r="B94" s="84">
        <v>2190000</v>
      </c>
      <c r="C94" s="84">
        <v>5003</v>
      </c>
      <c r="D94" s="84">
        <v>0</v>
      </c>
      <c r="E94" s="84" t="s">
        <v>266</v>
      </c>
      <c r="F94" s="89" t="s">
        <v>267</v>
      </c>
      <c r="G94" s="89" t="s">
        <v>268</v>
      </c>
      <c r="H94" s="89" t="s">
        <v>286</v>
      </c>
      <c r="I94" s="89" t="s">
        <v>270</v>
      </c>
      <c r="J94" s="89" t="s">
        <v>271</v>
      </c>
      <c r="K94" s="89" t="s">
        <v>272</v>
      </c>
      <c r="L94" s="89" t="s">
        <v>273</v>
      </c>
      <c r="M94" s="90">
        <v>36892</v>
      </c>
      <c r="N94" s="90">
        <v>401404</v>
      </c>
      <c r="O94" s="90">
        <v>39307</v>
      </c>
    </row>
    <row r="95" spans="1:15">
      <c r="A95" s="83" t="str">
        <f t="shared" si="1"/>
        <v>219000050040</v>
      </c>
      <c r="B95" s="84">
        <v>2190000</v>
      </c>
      <c r="C95" s="84">
        <v>5004</v>
      </c>
      <c r="D95" s="84">
        <v>0</v>
      </c>
      <c r="E95" s="84" t="s">
        <v>266</v>
      </c>
      <c r="F95" s="89" t="s">
        <v>267</v>
      </c>
      <c r="G95" s="89" t="s">
        <v>268</v>
      </c>
      <c r="H95" s="89" t="s">
        <v>286</v>
      </c>
      <c r="I95" s="89" t="s">
        <v>270</v>
      </c>
      <c r="J95" s="89" t="s">
        <v>271</v>
      </c>
      <c r="K95" s="89" t="s">
        <v>272</v>
      </c>
      <c r="L95" s="89" t="s">
        <v>21</v>
      </c>
      <c r="M95" s="90">
        <v>36892</v>
      </c>
      <c r="N95" s="90">
        <v>401404</v>
      </c>
      <c r="O95" s="90">
        <v>39307</v>
      </c>
    </row>
    <row r="96" spans="1:15">
      <c r="A96" s="83" t="str">
        <f t="shared" si="1"/>
        <v>219000050050</v>
      </c>
      <c r="B96" s="84">
        <v>2190000</v>
      </c>
      <c r="C96" s="84">
        <v>5005</v>
      </c>
      <c r="D96" s="84">
        <v>0</v>
      </c>
      <c r="E96" s="84" t="s">
        <v>266</v>
      </c>
      <c r="F96" s="89" t="s">
        <v>267</v>
      </c>
      <c r="G96" s="89" t="s">
        <v>268</v>
      </c>
      <c r="H96" s="89" t="s">
        <v>286</v>
      </c>
      <c r="I96" s="89" t="s">
        <v>270</v>
      </c>
      <c r="J96" s="89" t="s">
        <v>271</v>
      </c>
      <c r="K96" s="89" t="s">
        <v>272</v>
      </c>
      <c r="L96" s="89" t="s">
        <v>273</v>
      </c>
      <c r="M96" s="90">
        <v>36892</v>
      </c>
      <c r="N96" s="90">
        <v>401404</v>
      </c>
      <c r="O96" s="90">
        <v>39307</v>
      </c>
    </row>
    <row r="97" spans="1:15">
      <c r="A97" s="83" t="str">
        <f t="shared" si="1"/>
        <v>219000053010</v>
      </c>
      <c r="B97" s="84">
        <v>2190000</v>
      </c>
      <c r="C97" s="84">
        <v>5301</v>
      </c>
      <c r="D97" s="84">
        <v>0</v>
      </c>
      <c r="E97" s="84" t="s">
        <v>266</v>
      </c>
      <c r="F97" s="89" t="s">
        <v>267</v>
      </c>
      <c r="G97" s="89" t="s">
        <v>268</v>
      </c>
      <c r="H97" s="89" t="s">
        <v>286</v>
      </c>
      <c r="I97" s="89" t="s">
        <v>270</v>
      </c>
      <c r="J97" s="89" t="s">
        <v>271</v>
      </c>
      <c r="K97" s="89" t="s">
        <v>272</v>
      </c>
      <c r="L97" s="89" t="s">
        <v>273</v>
      </c>
      <c r="M97" s="90">
        <v>36892</v>
      </c>
      <c r="N97" s="90">
        <v>401404</v>
      </c>
      <c r="O97" s="90">
        <v>39307</v>
      </c>
    </row>
    <row r="98" spans="1:15">
      <c r="A98" s="83" t="str">
        <f t="shared" si="1"/>
        <v>219000053020</v>
      </c>
      <c r="B98" s="84">
        <v>2190000</v>
      </c>
      <c r="C98" s="84">
        <v>5302</v>
      </c>
      <c r="D98" s="84">
        <v>0</v>
      </c>
      <c r="E98" s="84" t="s">
        <v>266</v>
      </c>
      <c r="F98" s="89" t="s">
        <v>267</v>
      </c>
      <c r="G98" s="89" t="s">
        <v>268</v>
      </c>
      <c r="H98" s="89" t="s">
        <v>286</v>
      </c>
      <c r="I98" s="89" t="s">
        <v>270</v>
      </c>
      <c r="J98" s="89" t="s">
        <v>271</v>
      </c>
      <c r="K98" s="89" t="s">
        <v>272</v>
      </c>
      <c r="L98" s="89" t="s">
        <v>273</v>
      </c>
      <c r="M98" s="90">
        <v>36892</v>
      </c>
      <c r="N98" s="90">
        <v>401404</v>
      </c>
      <c r="O98" s="90">
        <v>39307</v>
      </c>
    </row>
    <row r="99" spans="1:15">
      <c r="A99" s="83" t="str">
        <f t="shared" si="1"/>
        <v>219000053030</v>
      </c>
      <c r="B99" s="84">
        <v>2190000</v>
      </c>
      <c r="C99" s="84">
        <v>5303</v>
      </c>
      <c r="D99" s="84">
        <v>0</v>
      </c>
      <c r="E99" s="84" t="s">
        <v>266</v>
      </c>
      <c r="F99" s="89" t="s">
        <v>267</v>
      </c>
      <c r="G99" s="89" t="s">
        <v>268</v>
      </c>
      <c r="H99" s="89" t="s">
        <v>286</v>
      </c>
      <c r="I99" s="89" t="s">
        <v>270</v>
      </c>
      <c r="J99" s="89" t="s">
        <v>271</v>
      </c>
      <c r="K99" s="89" t="s">
        <v>272</v>
      </c>
      <c r="L99" s="89" t="s">
        <v>273</v>
      </c>
      <c r="M99" s="90">
        <v>36892</v>
      </c>
      <c r="N99" s="90">
        <v>401404</v>
      </c>
      <c r="O99" s="90">
        <v>39307</v>
      </c>
    </row>
    <row r="100" spans="1:15">
      <c r="A100" s="83" t="str">
        <f t="shared" si="1"/>
        <v>219000053040</v>
      </c>
      <c r="B100" s="84">
        <v>2190000</v>
      </c>
      <c r="C100" s="84">
        <v>5304</v>
      </c>
      <c r="D100" s="84">
        <v>0</v>
      </c>
      <c r="E100" s="84" t="s">
        <v>266</v>
      </c>
      <c r="F100" s="89" t="s">
        <v>267</v>
      </c>
      <c r="G100" s="89" t="s">
        <v>268</v>
      </c>
      <c r="H100" s="89" t="s">
        <v>286</v>
      </c>
      <c r="I100" s="89" t="s">
        <v>270</v>
      </c>
      <c r="J100" s="89" t="s">
        <v>271</v>
      </c>
      <c r="K100" s="89" t="s">
        <v>272</v>
      </c>
      <c r="L100" s="89" t="s">
        <v>21</v>
      </c>
      <c r="M100" s="90">
        <v>36892</v>
      </c>
      <c r="N100" s="90">
        <v>401404</v>
      </c>
      <c r="O100" s="90">
        <v>39307</v>
      </c>
    </row>
    <row r="101" spans="1:15">
      <c r="A101" s="83" t="str">
        <f t="shared" si="1"/>
        <v>219000054020</v>
      </c>
      <c r="B101" s="84">
        <v>2190000</v>
      </c>
      <c r="C101" s="84">
        <v>5402</v>
      </c>
      <c r="D101" s="84">
        <v>0</v>
      </c>
      <c r="E101" s="84" t="s">
        <v>266</v>
      </c>
      <c r="F101" s="89" t="s">
        <v>267</v>
      </c>
      <c r="G101" s="89" t="s">
        <v>268</v>
      </c>
      <c r="H101" s="89" t="s">
        <v>286</v>
      </c>
      <c r="I101" s="89" t="s">
        <v>270</v>
      </c>
      <c r="J101" s="89" t="s">
        <v>271</v>
      </c>
      <c r="K101" s="89" t="s">
        <v>272</v>
      </c>
      <c r="L101" s="89" t="s">
        <v>273</v>
      </c>
      <c r="M101" s="90">
        <v>36892</v>
      </c>
      <c r="N101" s="90">
        <v>401404</v>
      </c>
      <c r="O101" s="90">
        <v>39307</v>
      </c>
    </row>
    <row r="102" spans="1:15">
      <c r="A102" s="83" t="str">
        <f t="shared" si="1"/>
        <v>219000054030</v>
      </c>
      <c r="B102" s="84">
        <v>2190000</v>
      </c>
      <c r="C102" s="84">
        <v>5403</v>
      </c>
      <c r="D102" s="84">
        <v>0</v>
      </c>
      <c r="E102" s="84" t="s">
        <v>266</v>
      </c>
      <c r="F102" s="89" t="s">
        <v>267</v>
      </c>
      <c r="G102" s="89" t="s">
        <v>268</v>
      </c>
      <c r="H102" s="89" t="s">
        <v>286</v>
      </c>
      <c r="I102" s="89" t="s">
        <v>270</v>
      </c>
      <c r="J102" s="89" t="s">
        <v>271</v>
      </c>
      <c r="K102" s="89" t="s">
        <v>272</v>
      </c>
      <c r="L102" s="89" t="s">
        <v>21</v>
      </c>
      <c r="M102" s="90">
        <v>36892</v>
      </c>
      <c r="N102" s="90">
        <v>401404</v>
      </c>
      <c r="O102" s="90">
        <v>39307</v>
      </c>
    </row>
    <row r="103" spans="1:15">
      <c r="A103" s="83" t="str">
        <f t="shared" si="1"/>
        <v>219000054040</v>
      </c>
      <c r="B103" s="84">
        <v>2190000</v>
      </c>
      <c r="C103" s="84">
        <v>5404</v>
      </c>
      <c r="D103" s="84">
        <v>0</v>
      </c>
      <c r="E103" s="84" t="s">
        <v>266</v>
      </c>
      <c r="F103" s="89" t="s">
        <v>267</v>
      </c>
      <c r="G103" s="89" t="s">
        <v>268</v>
      </c>
      <c r="H103" s="89" t="s">
        <v>286</v>
      </c>
      <c r="I103" s="89" t="s">
        <v>270</v>
      </c>
      <c r="J103" s="89" t="s">
        <v>271</v>
      </c>
      <c r="K103" s="89" t="s">
        <v>272</v>
      </c>
      <c r="L103" s="89" t="s">
        <v>273</v>
      </c>
      <c r="M103" s="90">
        <v>36892</v>
      </c>
      <c r="N103" s="90">
        <v>401404</v>
      </c>
      <c r="O103" s="90">
        <v>39307</v>
      </c>
    </row>
    <row r="104" spans="1:15">
      <c r="A104" s="83" t="str">
        <f t="shared" si="1"/>
        <v>219000054050</v>
      </c>
      <c r="B104" s="84">
        <v>2190000</v>
      </c>
      <c r="C104" s="84">
        <v>5405</v>
      </c>
      <c r="D104" s="84">
        <v>0</v>
      </c>
      <c r="E104" s="84" t="s">
        <v>266</v>
      </c>
      <c r="F104" s="89" t="s">
        <v>267</v>
      </c>
      <c r="G104" s="89" t="s">
        <v>268</v>
      </c>
      <c r="H104" s="89" t="s">
        <v>286</v>
      </c>
      <c r="I104" s="89" t="s">
        <v>270</v>
      </c>
      <c r="J104" s="89" t="s">
        <v>271</v>
      </c>
      <c r="K104" s="89" t="s">
        <v>272</v>
      </c>
      <c r="L104" s="89" t="s">
        <v>21</v>
      </c>
      <c r="M104" s="90">
        <v>36892</v>
      </c>
      <c r="N104" s="90">
        <v>401404</v>
      </c>
      <c r="O104" s="90">
        <v>39307</v>
      </c>
    </row>
    <row r="105" spans="1:15">
      <c r="A105" s="83" t="str">
        <f t="shared" si="1"/>
        <v>219000054060</v>
      </c>
      <c r="B105" s="84">
        <v>2190000</v>
      </c>
      <c r="C105" s="84">
        <v>5406</v>
      </c>
      <c r="D105" s="84">
        <v>0</v>
      </c>
      <c r="E105" s="84" t="s">
        <v>266</v>
      </c>
      <c r="F105" s="89" t="s">
        <v>267</v>
      </c>
      <c r="G105" s="89" t="s">
        <v>268</v>
      </c>
      <c r="H105" s="89" t="s">
        <v>286</v>
      </c>
      <c r="I105" s="89" t="s">
        <v>270</v>
      </c>
      <c r="J105" s="89" t="s">
        <v>271</v>
      </c>
      <c r="K105" s="89" t="s">
        <v>272</v>
      </c>
      <c r="L105" s="89" t="s">
        <v>273</v>
      </c>
      <c r="M105" s="90">
        <v>36892</v>
      </c>
      <c r="N105" s="90">
        <v>401404</v>
      </c>
      <c r="O105" s="90">
        <v>39307</v>
      </c>
    </row>
    <row r="106" spans="1:15">
      <c r="A106" s="83" t="str">
        <f t="shared" si="1"/>
        <v>219000055010</v>
      </c>
      <c r="B106" s="84">
        <v>2190000</v>
      </c>
      <c r="C106" s="84">
        <v>5501</v>
      </c>
      <c r="D106" s="84">
        <v>0</v>
      </c>
      <c r="E106" s="84" t="s">
        <v>266</v>
      </c>
      <c r="F106" s="89" t="s">
        <v>267</v>
      </c>
      <c r="G106" s="89" t="s">
        <v>268</v>
      </c>
      <c r="H106" s="89" t="s">
        <v>286</v>
      </c>
      <c r="I106" s="89" t="s">
        <v>270</v>
      </c>
      <c r="J106" s="89" t="s">
        <v>271</v>
      </c>
      <c r="K106" s="89" t="s">
        <v>272</v>
      </c>
      <c r="L106" s="89" t="s">
        <v>273</v>
      </c>
      <c r="M106" s="90">
        <v>36892</v>
      </c>
      <c r="N106" s="90">
        <v>401404</v>
      </c>
      <c r="O106" s="90">
        <v>39307</v>
      </c>
    </row>
    <row r="107" spans="1:15">
      <c r="A107" s="83" t="str">
        <f t="shared" si="1"/>
        <v>219000055020</v>
      </c>
      <c r="B107" s="84">
        <v>2190000</v>
      </c>
      <c r="C107" s="84">
        <v>5502</v>
      </c>
      <c r="D107" s="84">
        <v>0</v>
      </c>
      <c r="E107" s="84" t="s">
        <v>266</v>
      </c>
      <c r="F107" s="89" t="s">
        <v>267</v>
      </c>
      <c r="G107" s="89" t="s">
        <v>268</v>
      </c>
      <c r="H107" s="89" t="s">
        <v>286</v>
      </c>
      <c r="I107" s="89" t="s">
        <v>270</v>
      </c>
      <c r="J107" s="89" t="s">
        <v>271</v>
      </c>
      <c r="K107" s="89" t="s">
        <v>272</v>
      </c>
      <c r="L107" s="89" t="s">
        <v>273</v>
      </c>
      <c r="M107" s="90">
        <v>36892</v>
      </c>
      <c r="N107" s="90">
        <v>401404</v>
      </c>
      <c r="O107" s="90">
        <v>39307</v>
      </c>
    </row>
    <row r="108" spans="1:15">
      <c r="A108" s="83" t="str">
        <f t="shared" si="1"/>
        <v>219000055030</v>
      </c>
      <c r="B108" s="84">
        <v>2190000</v>
      </c>
      <c r="C108" s="84">
        <v>5503</v>
      </c>
      <c r="D108" s="84">
        <v>0</v>
      </c>
      <c r="E108" s="84" t="s">
        <v>266</v>
      </c>
      <c r="F108" s="89" t="s">
        <v>267</v>
      </c>
      <c r="G108" s="89" t="s">
        <v>268</v>
      </c>
      <c r="H108" s="89" t="s">
        <v>286</v>
      </c>
      <c r="I108" s="89" t="s">
        <v>270</v>
      </c>
      <c r="J108" s="89" t="s">
        <v>271</v>
      </c>
      <c r="K108" s="89" t="s">
        <v>272</v>
      </c>
      <c r="L108" s="89" t="s">
        <v>273</v>
      </c>
      <c r="M108" s="90">
        <v>36892</v>
      </c>
      <c r="N108" s="90">
        <v>401404</v>
      </c>
      <c r="O108" s="90">
        <v>39307</v>
      </c>
    </row>
    <row r="109" spans="1:15">
      <c r="A109" s="83" t="str">
        <f t="shared" si="1"/>
        <v>219000055040</v>
      </c>
      <c r="B109" s="84">
        <v>2190000</v>
      </c>
      <c r="C109" s="84">
        <v>5504</v>
      </c>
      <c r="D109" s="84">
        <v>0</v>
      </c>
      <c r="E109" s="84" t="s">
        <v>266</v>
      </c>
      <c r="F109" s="89" t="s">
        <v>267</v>
      </c>
      <c r="G109" s="89" t="s">
        <v>268</v>
      </c>
      <c r="H109" s="89" t="s">
        <v>286</v>
      </c>
      <c r="I109" s="89" t="s">
        <v>270</v>
      </c>
      <c r="J109" s="89" t="s">
        <v>271</v>
      </c>
      <c r="K109" s="89" t="s">
        <v>272</v>
      </c>
      <c r="L109" s="89" t="s">
        <v>21</v>
      </c>
      <c r="M109" s="90">
        <v>36892</v>
      </c>
      <c r="N109" s="90">
        <v>401404</v>
      </c>
      <c r="O109" s="90">
        <v>39307</v>
      </c>
    </row>
    <row r="110" spans="1:15">
      <c r="A110" s="83" t="str">
        <f t="shared" si="1"/>
        <v>219000055050</v>
      </c>
      <c r="B110" s="84">
        <v>2190000</v>
      </c>
      <c r="C110" s="84">
        <v>5505</v>
      </c>
      <c r="D110" s="84">
        <v>0</v>
      </c>
      <c r="E110" s="84" t="s">
        <v>266</v>
      </c>
      <c r="F110" s="89" t="s">
        <v>267</v>
      </c>
      <c r="G110" s="89" t="s">
        <v>268</v>
      </c>
      <c r="H110" s="89" t="s">
        <v>286</v>
      </c>
      <c r="I110" s="89" t="s">
        <v>270</v>
      </c>
      <c r="J110" s="89" t="s">
        <v>271</v>
      </c>
      <c r="K110" s="89" t="s">
        <v>272</v>
      </c>
      <c r="L110" s="89" t="s">
        <v>273</v>
      </c>
      <c r="M110" s="90">
        <v>36892</v>
      </c>
      <c r="N110" s="90">
        <v>401404</v>
      </c>
      <c r="O110" s="90">
        <v>39307</v>
      </c>
    </row>
    <row r="111" spans="1:15">
      <c r="A111" s="83" t="str">
        <f t="shared" si="1"/>
        <v>219000057010</v>
      </c>
      <c r="B111" s="84">
        <v>2190000</v>
      </c>
      <c r="C111" s="84">
        <v>5701</v>
      </c>
      <c r="D111" s="84">
        <v>0</v>
      </c>
      <c r="E111" s="84" t="s">
        <v>266</v>
      </c>
      <c r="F111" s="89" t="s">
        <v>267</v>
      </c>
      <c r="G111" s="89" t="s">
        <v>268</v>
      </c>
      <c r="H111" s="89" t="s">
        <v>286</v>
      </c>
      <c r="I111" s="89" t="s">
        <v>270</v>
      </c>
      <c r="J111" s="89" t="s">
        <v>271</v>
      </c>
      <c r="K111" s="89" t="s">
        <v>272</v>
      </c>
      <c r="L111" s="89" t="s">
        <v>273</v>
      </c>
      <c r="M111" s="90">
        <v>36892</v>
      </c>
      <c r="N111" s="90">
        <v>401404</v>
      </c>
      <c r="O111" s="90">
        <v>39307</v>
      </c>
    </row>
    <row r="112" spans="1:15">
      <c r="A112" s="83" t="str">
        <f t="shared" si="1"/>
        <v>219000057020</v>
      </c>
      <c r="B112" s="84">
        <v>2190000</v>
      </c>
      <c r="C112" s="84">
        <v>5702</v>
      </c>
      <c r="D112" s="84">
        <v>0</v>
      </c>
      <c r="E112" s="84" t="s">
        <v>266</v>
      </c>
      <c r="F112" s="89" t="s">
        <v>267</v>
      </c>
      <c r="G112" s="89" t="s">
        <v>268</v>
      </c>
      <c r="H112" s="89" t="s">
        <v>286</v>
      </c>
      <c r="I112" s="89" t="s">
        <v>270</v>
      </c>
      <c r="J112" s="89" t="s">
        <v>271</v>
      </c>
      <c r="K112" s="89" t="s">
        <v>272</v>
      </c>
      <c r="L112" s="89" t="s">
        <v>273</v>
      </c>
      <c r="M112" s="90">
        <v>36892</v>
      </c>
      <c r="N112" s="90">
        <v>401404</v>
      </c>
      <c r="O112" s="90">
        <v>39307</v>
      </c>
    </row>
    <row r="113" spans="1:15">
      <c r="A113" s="83" t="str">
        <f t="shared" si="1"/>
        <v>219000058010</v>
      </c>
      <c r="B113" s="84">
        <v>2190000</v>
      </c>
      <c r="C113" s="84">
        <v>5801</v>
      </c>
      <c r="D113" s="84">
        <v>0</v>
      </c>
      <c r="E113" s="84" t="s">
        <v>266</v>
      </c>
      <c r="F113" s="89" t="s">
        <v>267</v>
      </c>
      <c r="G113" s="89" t="s">
        <v>268</v>
      </c>
      <c r="H113" s="89" t="s">
        <v>286</v>
      </c>
      <c r="I113" s="89" t="s">
        <v>270</v>
      </c>
      <c r="J113" s="89" t="s">
        <v>271</v>
      </c>
      <c r="K113" s="89" t="s">
        <v>272</v>
      </c>
      <c r="L113" s="89" t="s">
        <v>21</v>
      </c>
      <c r="M113" s="90">
        <v>36892</v>
      </c>
      <c r="N113" s="90">
        <v>401404</v>
      </c>
      <c r="O113" s="90">
        <v>39307</v>
      </c>
    </row>
    <row r="114" spans="1:15">
      <c r="A114" s="83" t="str">
        <f t="shared" si="1"/>
        <v>219000058020</v>
      </c>
      <c r="B114" s="84">
        <v>2190000</v>
      </c>
      <c r="C114" s="84">
        <v>5802</v>
      </c>
      <c r="D114" s="84">
        <v>0</v>
      </c>
      <c r="E114" s="84" t="s">
        <v>266</v>
      </c>
      <c r="F114" s="89" t="s">
        <v>267</v>
      </c>
      <c r="G114" s="89" t="s">
        <v>268</v>
      </c>
      <c r="H114" s="89" t="s">
        <v>286</v>
      </c>
      <c r="I114" s="89" t="s">
        <v>270</v>
      </c>
      <c r="J114" s="89" t="s">
        <v>271</v>
      </c>
      <c r="K114" s="89" t="s">
        <v>272</v>
      </c>
      <c r="L114" s="89" t="s">
        <v>21</v>
      </c>
      <c r="M114" s="90">
        <v>36892</v>
      </c>
      <c r="N114" s="90">
        <v>401404</v>
      </c>
      <c r="O114" s="90">
        <v>39307</v>
      </c>
    </row>
    <row r="115" spans="1:15">
      <c r="A115" s="83" t="str">
        <f t="shared" si="1"/>
        <v>219000058030</v>
      </c>
      <c r="B115" s="84">
        <v>2190000</v>
      </c>
      <c r="C115" s="84">
        <v>5803</v>
      </c>
      <c r="D115" s="84">
        <v>0</v>
      </c>
      <c r="E115" s="84" t="s">
        <v>266</v>
      </c>
      <c r="F115" s="89" t="s">
        <v>267</v>
      </c>
      <c r="G115" s="89" t="s">
        <v>268</v>
      </c>
      <c r="H115" s="89" t="s">
        <v>286</v>
      </c>
      <c r="I115" s="89" t="s">
        <v>270</v>
      </c>
      <c r="J115" s="89" t="s">
        <v>271</v>
      </c>
      <c r="K115" s="89" t="s">
        <v>272</v>
      </c>
      <c r="L115" s="89" t="s">
        <v>273</v>
      </c>
      <c r="M115" s="90">
        <v>36892</v>
      </c>
      <c r="N115" s="90">
        <v>401404</v>
      </c>
      <c r="O115" s="90">
        <v>39307</v>
      </c>
    </row>
    <row r="116" spans="1:15">
      <c r="A116" s="83" t="str">
        <f t="shared" si="1"/>
        <v>219000062290</v>
      </c>
      <c r="B116" s="84">
        <v>2190000</v>
      </c>
      <c r="C116" s="84">
        <v>6229</v>
      </c>
      <c r="D116" s="84">
        <v>0</v>
      </c>
      <c r="E116" s="84" t="s">
        <v>266</v>
      </c>
      <c r="F116" s="89" t="s">
        <v>267</v>
      </c>
      <c r="G116" s="89" t="s">
        <v>268</v>
      </c>
      <c r="H116" s="89" t="s">
        <v>286</v>
      </c>
      <c r="I116" s="89" t="s">
        <v>274</v>
      </c>
      <c r="J116" s="89" t="s">
        <v>288</v>
      </c>
      <c r="K116" s="89" t="s">
        <v>289</v>
      </c>
      <c r="L116" s="89" t="s">
        <v>273</v>
      </c>
      <c r="M116" s="90">
        <v>36161</v>
      </c>
      <c r="N116" s="90">
        <v>2958465</v>
      </c>
      <c r="O116" s="90">
        <v>39461</v>
      </c>
    </row>
    <row r="117" spans="1:15">
      <c r="A117" s="83" t="str">
        <f t="shared" si="1"/>
        <v>219000090310</v>
      </c>
      <c r="B117" s="84">
        <v>2190000</v>
      </c>
      <c r="C117" s="84">
        <v>9031</v>
      </c>
      <c r="D117" s="84">
        <v>0</v>
      </c>
      <c r="E117" s="84" t="s">
        <v>266</v>
      </c>
      <c r="F117" s="89" t="s">
        <v>267</v>
      </c>
      <c r="G117" s="89" t="s">
        <v>268</v>
      </c>
      <c r="H117" s="89" t="s">
        <v>286</v>
      </c>
      <c r="I117" s="89" t="s">
        <v>270</v>
      </c>
      <c r="J117" s="89" t="s">
        <v>271</v>
      </c>
      <c r="K117" s="89" t="s">
        <v>272</v>
      </c>
      <c r="L117" s="89" t="s">
        <v>273</v>
      </c>
      <c r="M117" s="90">
        <v>36892</v>
      </c>
      <c r="N117" s="90">
        <v>401404</v>
      </c>
      <c r="O117" s="90">
        <v>39307</v>
      </c>
    </row>
    <row r="118" spans="1:15">
      <c r="A118" s="83" t="str">
        <f t="shared" si="1"/>
        <v>2190000140250</v>
      </c>
      <c r="B118" s="84">
        <v>2190000</v>
      </c>
      <c r="C118" s="84">
        <v>14025</v>
      </c>
      <c r="D118" s="84">
        <v>0</v>
      </c>
      <c r="E118" s="84" t="s">
        <v>266</v>
      </c>
      <c r="F118" s="89" t="s">
        <v>267</v>
      </c>
      <c r="G118" s="89" t="s">
        <v>268</v>
      </c>
      <c r="H118" s="89" t="s">
        <v>286</v>
      </c>
      <c r="I118" s="89" t="s">
        <v>270</v>
      </c>
      <c r="J118" s="89" t="s">
        <v>271</v>
      </c>
      <c r="K118" s="89" t="s">
        <v>272</v>
      </c>
      <c r="L118" s="89" t="s">
        <v>273</v>
      </c>
      <c r="M118" s="90">
        <v>36892</v>
      </c>
      <c r="N118" s="90">
        <v>401404</v>
      </c>
      <c r="O118" s="90">
        <v>39307</v>
      </c>
    </row>
    <row r="119" spans="1:15">
      <c r="A119" s="83" t="str">
        <f t="shared" si="1"/>
        <v>2190000141590</v>
      </c>
      <c r="B119" s="84">
        <v>2190000</v>
      </c>
      <c r="C119" s="84">
        <v>14159</v>
      </c>
      <c r="D119" s="84">
        <v>0</v>
      </c>
      <c r="E119" s="84" t="s">
        <v>266</v>
      </c>
      <c r="F119" s="89" t="s">
        <v>267</v>
      </c>
      <c r="G119" s="89" t="s">
        <v>268</v>
      </c>
      <c r="H119" s="89" t="s">
        <v>286</v>
      </c>
      <c r="I119" s="89" t="s">
        <v>270</v>
      </c>
      <c r="J119" s="89" t="s">
        <v>271</v>
      </c>
      <c r="K119" s="89" t="s">
        <v>272</v>
      </c>
      <c r="L119" s="89" t="s">
        <v>273</v>
      </c>
      <c r="M119" s="90">
        <v>36892</v>
      </c>
      <c r="N119" s="90">
        <v>401404</v>
      </c>
      <c r="O119" s="90">
        <v>39307</v>
      </c>
    </row>
    <row r="120" spans="1:15">
      <c r="A120" s="83" t="str">
        <f t="shared" si="1"/>
        <v>2190000160000</v>
      </c>
      <c r="B120" s="84">
        <v>2190000</v>
      </c>
      <c r="C120" s="84">
        <v>16000</v>
      </c>
      <c r="D120" s="84">
        <v>0</v>
      </c>
      <c r="E120" s="84" t="s">
        <v>266</v>
      </c>
      <c r="F120" s="89" t="s">
        <v>267</v>
      </c>
      <c r="G120" s="89" t="s">
        <v>268</v>
      </c>
      <c r="H120" s="89" t="s">
        <v>286</v>
      </c>
      <c r="I120" s="89" t="s">
        <v>270</v>
      </c>
      <c r="J120" s="89" t="s">
        <v>271</v>
      </c>
      <c r="K120" s="89" t="s">
        <v>272</v>
      </c>
      <c r="L120" s="89" t="s">
        <v>21</v>
      </c>
      <c r="M120" s="90">
        <v>36892</v>
      </c>
      <c r="N120" s="90">
        <v>401404</v>
      </c>
      <c r="O120" s="90">
        <v>39307</v>
      </c>
    </row>
    <row r="121" spans="1:15">
      <c r="A121" s="83" t="str">
        <f t="shared" si="1"/>
        <v>2190000190000</v>
      </c>
      <c r="B121" s="84">
        <v>2190000</v>
      </c>
      <c r="C121" s="84">
        <v>19000</v>
      </c>
      <c r="D121" s="84">
        <v>0</v>
      </c>
      <c r="E121" s="84" t="s">
        <v>266</v>
      </c>
      <c r="F121" s="89" t="s">
        <v>267</v>
      </c>
      <c r="G121" s="89" t="s">
        <v>268</v>
      </c>
      <c r="H121" s="89" t="s">
        <v>286</v>
      </c>
      <c r="I121" s="89" t="s">
        <v>270</v>
      </c>
      <c r="J121" s="89" t="s">
        <v>271</v>
      </c>
      <c r="K121" s="89" t="s">
        <v>272</v>
      </c>
      <c r="L121" s="89" t="s">
        <v>273</v>
      </c>
      <c r="M121" s="90">
        <v>36892</v>
      </c>
      <c r="N121" s="90">
        <v>401404</v>
      </c>
      <c r="O121" s="90">
        <v>39307</v>
      </c>
    </row>
    <row r="122" spans="1:15">
      <c r="A122" s="83" t="str">
        <f t="shared" si="1"/>
        <v>21900001010000</v>
      </c>
      <c r="B122" s="84">
        <v>2190000</v>
      </c>
      <c r="C122" s="84">
        <v>101000</v>
      </c>
      <c r="D122" s="84">
        <v>0</v>
      </c>
      <c r="E122" s="84" t="s">
        <v>266</v>
      </c>
      <c r="F122" s="89" t="s">
        <v>267</v>
      </c>
      <c r="G122" s="89" t="s">
        <v>268</v>
      </c>
      <c r="H122" s="89" t="s">
        <v>286</v>
      </c>
      <c r="I122" s="89" t="s">
        <v>270</v>
      </c>
      <c r="J122" s="89" t="s">
        <v>271</v>
      </c>
      <c r="K122" s="89" t="s">
        <v>272</v>
      </c>
      <c r="L122" s="89" t="s">
        <v>273</v>
      </c>
      <c r="M122" s="90">
        <v>36892</v>
      </c>
      <c r="N122" s="90">
        <v>401404</v>
      </c>
      <c r="O122" s="90">
        <v>39307</v>
      </c>
    </row>
    <row r="123" spans="1:15">
      <c r="A123" s="83" t="str">
        <f t="shared" si="1"/>
        <v>21900001030000</v>
      </c>
      <c r="B123" s="84">
        <v>2190000</v>
      </c>
      <c r="C123" s="84">
        <v>103000</v>
      </c>
      <c r="D123" s="84">
        <v>0</v>
      </c>
      <c r="E123" s="84" t="s">
        <v>266</v>
      </c>
      <c r="F123" s="89" t="s">
        <v>267</v>
      </c>
      <c r="G123" s="89" t="s">
        <v>268</v>
      </c>
      <c r="H123" s="89" t="s">
        <v>286</v>
      </c>
      <c r="I123" s="89" t="s">
        <v>270</v>
      </c>
      <c r="J123" s="89" t="s">
        <v>271</v>
      </c>
      <c r="K123" s="89" t="s">
        <v>272</v>
      </c>
      <c r="L123" s="89" t="s">
        <v>273</v>
      </c>
      <c r="M123" s="90">
        <v>36892</v>
      </c>
      <c r="N123" s="90">
        <v>401404</v>
      </c>
      <c r="O123" s="90">
        <v>39307</v>
      </c>
    </row>
    <row r="124" spans="1:15">
      <c r="A124" s="83" t="str">
        <f t="shared" si="1"/>
        <v>21900001050000</v>
      </c>
      <c r="B124" s="84">
        <v>2190000</v>
      </c>
      <c r="C124" s="84">
        <v>105000</v>
      </c>
      <c r="D124" s="84">
        <v>0</v>
      </c>
      <c r="E124" s="84" t="s">
        <v>266</v>
      </c>
      <c r="F124" s="89" t="s">
        <v>267</v>
      </c>
      <c r="G124" s="89" t="s">
        <v>268</v>
      </c>
      <c r="H124" s="89" t="s">
        <v>286</v>
      </c>
      <c r="I124" s="89" t="s">
        <v>270</v>
      </c>
      <c r="J124" s="89" t="s">
        <v>271</v>
      </c>
      <c r="K124" s="89" t="s">
        <v>272</v>
      </c>
      <c r="L124" s="89" t="s">
        <v>273</v>
      </c>
      <c r="M124" s="90">
        <v>36892</v>
      </c>
      <c r="N124" s="90">
        <v>401404</v>
      </c>
      <c r="O124" s="90">
        <v>39307</v>
      </c>
    </row>
    <row r="125" spans="1:15">
      <c r="A125" s="83" t="str">
        <f t="shared" si="1"/>
        <v>21900001080000</v>
      </c>
      <c r="B125" s="84">
        <v>2190000</v>
      </c>
      <c r="C125" s="84">
        <v>108000</v>
      </c>
      <c r="D125" s="84">
        <v>0</v>
      </c>
      <c r="E125" s="84" t="s">
        <v>266</v>
      </c>
      <c r="F125" s="89" t="s">
        <v>267</v>
      </c>
      <c r="G125" s="89" t="s">
        <v>268</v>
      </c>
      <c r="H125" s="89" t="s">
        <v>286</v>
      </c>
      <c r="I125" s="89" t="s">
        <v>270</v>
      </c>
      <c r="J125" s="89" t="s">
        <v>271</v>
      </c>
      <c r="K125" s="89" t="s">
        <v>272</v>
      </c>
      <c r="L125" s="89" t="s">
        <v>273</v>
      </c>
      <c r="M125" s="90">
        <v>36892</v>
      </c>
      <c r="N125" s="90">
        <v>401404</v>
      </c>
      <c r="O125" s="90">
        <v>39307</v>
      </c>
    </row>
    <row r="126" spans="1:15">
      <c r="A126" s="83" t="str">
        <f t="shared" si="1"/>
        <v>21900001110000</v>
      </c>
      <c r="B126" s="84">
        <v>2190000</v>
      </c>
      <c r="C126" s="84">
        <v>111000</v>
      </c>
      <c r="D126" s="84">
        <v>0</v>
      </c>
      <c r="E126" s="84" t="s">
        <v>266</v>
      </c>
      <c r="F126" s="89" t="s">
        <v>267</v>
      </c>
      <c r="G126" s="89" t="s">
        <v>268</v>
      </c>
      <c r="H126" s="89" t="s">
        <v>286</v>
      </c>
      <c r="I126" s="89" t="s">
        <v>270</v>
      </c>
      <c r="J126" s="89" t="s">
        <v>271</v>
      </c>
      <c r="K126" s="89" t="s">
        <v>272</v>
      </c>
      <c r="L126" s="89" t="s">
        <v>273</v>
      </c>
      <c r="M126" s="90">
        <v>36892</v>
      </c>
      <c r="N126" s="90">
        <v>401404</v>
      </c>
      <c r="O126" s="90">
        <v>39307</v>
      </c>
    </row>
    <row r="127" spans="1:15">
      <c r="A127" s="83" t="str">
        <f t="shared" si="1"/>
        <v>21900001111010</v>
      </c>
      <c r="B127" s="84">
        <v>2190000</v>
      </c>
      <c r="C127" s="84">
        <v>111101</v>
      </c>
      <c r="D127" s="84">
        <v>0</v>
      </c>
      <c r="E127" s="84" t="s">
        <v>266</v>
      </c>
      <c r="F127" s="89" t="s">
        <v>267</v>
      </c>
      <c r="G127" s="89" t="s">
        <v>268</v>
      </c>
      <c r="H127" s="89" t="s">
        <v>286</v>
      </c>
      <c r="I127" s="89" t="s">
        <v>270</v>
      </c>
      <c r="J127" s="89" t="s">
        <v>271</v>
      </c>
      <c r="K127" s="89" t="s">
        <v>272</v>
      </c>
      <c r="L127" s="89" t="s">
        <v>273</v>
      </c>
      <c r="M127" s="90">
        <v>36892</v>
      </c>
      <c r="N127" s="90">
        <v>401404</v>
      </c>
      <c r="O127" s="90">
        <v>39307</v>
      </c>
    </row>
    <row r="128" spans="1:15">
      <c r="A128" s="83" t="str">
        <f t="shared" si="1"/>
        <v>21900001121060</v>
      </c>
      <c r="B128" s="84">
        <v>2190000</v>
      </c>
      <c r="C128" s="84">
        <v>112106</v>
      </c>
      <c r="D128" s="84">
        <v>0</v>
      </c>
      <c r="E128" s="84" t="s">
        <v>266</v>
      </c>
      <c r="F128" s="89" t="s">
        <v>267</v>
      </c>
      <c r="G128" s="89" t="s">
        <v>268</v>
      </c>
      <c r="H128" s="89" t="s">
        <v>286</v>
      </c>
      <c r="I128" s="89" t="s">
        <v>270</v>
      </c>
      <c r="J128" s="89" t="s">
        <v>271</v>
      </c>
      <c r="K128" s="89" t="s">
        <v>272</v>
      </c>
      <c r="L128" s="89" t="s">
        <v>273</v>
      </c>
      <c r="M128" s="90">
        <v>36892</v>
      </c>
      <c r="N128" s="90">
        <v>401404</v>
      </c>
      <c r="O128" s="90">
        <v>39307</v>
      </c>
    </row>
    <row r="129" spans="1:15">
      <c r="A129" s="83" t="str">
        <f t="shared" si="1"/>
        <v>21900001130000</v>
      </c>
      <c r="B129" s="84">
        <v>2190000</v>
      </c>
      <c r="C129" s="84">
        <v>113000</v>
      </c>
      <c r="D129" s="84">
        <v>0</v>
      </c>
      <c r="E129" s="84" t="s">
        <v>266</v>
      </c>
      <c r="F129" s="89" t="s">
        <v>267</v>
      </c>
      <c r="G129" s="89" t="s">
        <v>268</v>
      </c>
      <c r="H129" s="89" t="s">
        <v>286</v>
      </c>
      <c r="I129" s="89" t="s">
        <v>270</v>
      </c>
      <c r="J129" s="89" t="s">
        <v>271</v>
      </c>
      <c r="K129" s="89" t="s">
        <v>272</v>
      </c>
      <c r="L129" s="89" t="s">
        <v>273</v>
      </c>
      <c r="M129" s="90">
        <v>36892</v>
      </c>
      <c r="N129" s="90">
        <v>401404</v>
      </c>
      <c r="O129" s="90">
        <v>39307</v>
      </c>
    </row>
    <row r="130" spans="1:15">
      <c r="A130" s="83" t="str">
        <f t="shared" si="1"/>
        <v>21900001180000</v>
      </c>
      <c r="B130" s="84">
        <v>2190000</v>
      </c>
      <c r="C130" s="84">
        <v>118000</v>
      </c>
      <c r="D130" s="84">
        <v>0</v>
      </c>
      <c r="E130" s="84" t="s">
        <v>266</v>
      </c>
      <c r="F130" s="89" t="s">
        <v>267</v>
      </c>
      <c r="G130" s="89" t="s">
        <v>268</v>
      </c>
      <c r="H130" s="89" t="s">
        <v>286</v>
      </c>
      <c r="I130" s="89" t="s">
        <v>270</v>
      </c>
      <c r="J130" s="89" t="s">
        <v>271</v>
      </c>
      <c r="K130" s="89" t="s">
        <v>272</v>
      </c>
      <c r="L130" s="89" t="s">
        <v>273</v>
      </c>
      <c r="M130" s="90">
        <v>36892</v>
      </c>
      <c r="N130" s="90">
        <v>401404</v>
      </c>
      <c r="O130" s="90">
        <v>39307</v>
      </c>
    </row>
    <row r="131" spans="1:15">
      <c r="A131" s="83" t="str">
        <f t="shared" ref="A131:A194" si="2">B131&amp;C131&amp;D131</f>
        <v>21900001191500</v>
      </c>
      <c r="B131" s="84">
        <v>2190000</v>
      </c>
      <c r="C131" s="84">
        <v>119150</v>
      </c>
      <c r="D131" s="84">
        <v>0</v>
      </c>
      <c r="E131" s="84" t="s">
        <v>266</v>
      </c>
      <c r="F131" s="89" t="s">
        <v>267</v>
      </c>
      <c r="G131" s="89" t="s">
        <v>268</v>
      </c>
      <c r="H131" s="89" t="s">
        <v>286</v>
      </c>
      <c r="I131" s="89" t="s">
        <v>270</v>
      </c>
      <c r="J131" s="89" t="s">
        <v>271</v>
      </c>
      <c r="K131" s="89" t="s">
        <v>272</v>
      </c>
      <c r="L131" s="89" t="s">
        <v>273</v>
      </c>
      <c r="M131" s="90">
        <v>36892</v>
      </c>
      <c r="N131" s="90">
        <v>401404</v>
      </c>
      <c r="O131" s="90">
        <v>39307</v>
      </c>
    </row>
    <row r="132" spans="1:15">
      <c r="A132" s="83" t="str">
        <f t="shared" si="2"/>
        <v>21900001200000</v>
      </c>
      <c r="B132" s="84">
        <v>2190000</v>
      </c>
      <c r="C132" s="84">
        <v>120000</v>
      </c>
      <c r="D132" s="84">
        <v>0</v>
      </c>
      <c r="E132" s="84" t="s">
        <v>266</v>
      </c>
      <c r="F132" s="89" t="s">
        <v>267</v>
      </c>
      <c r="G132" s="89" t="s">
        <v>268</v>
      </c>
      <c r="H132" s="89" t="s">
        <v>286</v>
      </c>
      <c r="I132" s="89" t="s">
        <v>270</v>
      </c>
      <c r="J132" s="89" t="s">
        <v>271</v>
      </c>
      <c r="K132" s="89" t="s">
        <v>272</v>
      </c>
      <c r="L132" s="89" t="s">
        <v>273</v>
      </c>
      <c r="M132" s="90">
        <v>36892</v>
      </c>
      <c r="N132" s="90">
        <v>401404</v>
      </c>
      <c r="O132" s="90">
        <v>39307</v>
      </c>
    </row>
    <row r="133" spans="1:15">
      <c r="A133" s="83" t="str">
        <f t="shared" si="2"/>
        <v>21900001220000</v>
      </c>
      <c r="B133" s="84">
        <v>2190000</v>
      </c>
      <c r="C133" s="84">
        <v>122000</v>
      </c>
      <c r="D133" s="84">
        <v>0</v>
      </c>
      <c r="E133" s="84" t="s">
        <v>266</v>
      </c>
      <c r="F133" s="89" t="s">
        <v>267</v>
      </c>
      <c r="G133" s="89" t="s">
        <v>268</v>
      </c>
      <c r="H133" s="89" t="s">
        <v>286</v>
      </c>
      <c r="I133" s="89" t="s">
        <v>270</v>
      </c>
      <c r="J133" s="89" t="s">
        <v>271</v>
      </c>
      <c r="K133" s="89" t="s">
        <v>272</v>
      </c>
      <c r="L133" s="89" t="s">
        <v>273</v>
      </c>
      <c r="M133" s="90">
        <v>36892</v>
      </c>
      <c r="N133" s="90">
        <v>401404</v>
      </c>
      <c r="O133" s="90">
        <v>39307</v>
      </c>
    </row>
    <row r="134" spans="1:15">
      <c r="A134" s="83" t="str">
        <f t="shared" si="2"/>
        <v>21900001220920</v>
      </c>
      <c r="B134" s="84">
        <v>2190000</v>
      </c>
      <c r="C134" s="84">
        <v>122092</v>
      </c>
      <c r="D134" s="84">
        <v>0</v>
      </c>
      <c r="E134" s="84" t="s">
        <v>266</v>
      </c>
      <c r="F134" s="89" t="s">
        <v>267</v>
      </c>
      <c r="G134" s="89" t="s">
        <v>268</v>
      </c>
      <c r="H134" s="89" t="s">
        <v>286</v>
      </c>
      <c r="I134" s="89" t="s">
        <v>270</v>
      </c>
      <c r="J134" s="89" t="s">
        <v>271</v>
      </c>
      <c r="K134" s="89" t="s">
        <v>272</v>
      </c>
      <c r="L134" s="89" t="s">
        <v>273</v>
      </c>
      <c r="M134" s="90">
        <v>36892</v>
      </c>
      <c r="N134" s="90">
        <v>401404</v>
      </c>
      <c r="O134" s="90">
        <v>39307</v>
      </c>
    </row>
    <row r="135" spans="1:15">
      <c r="A135" s="83" t="str">
        <f t="shared" si="2"/>
        <v>21900001240000</v>
      </c>
      <c r="B135" s="84">
        <v>2190000</v>
      </c>
      <c r="C135" s="84">
        <v>124000</v>
      </c>
      <c r="D135" s="84">
        <v>0</v>
      </c>
      <c r="E135" s="84" t="s">
        <v>266</v>
      </c>
      <c r="F135" s="89" t="s">
        <v>267</v>
      </c>
      <c r="G135" s="89" t="s">
        <v>268</v>
      </c>
      <c r="H135" s="89" t="s">
        <v>286</v>
      </c>
      <c r="I135" s="89" t="s">
        <v>270</v>
      </c>
      <c r="J135" s="89" t="s">
        <v>271</v>
      </c>
      <c r="K135" s="89" t="s">
        <v>272</v>
      </c>
      <c r="L135" s="89" t="s">
        <v>273</v>
      </c>
      <c r="M135" s="90">
        <v>36892</v>
      </c>
      <c r="N135" s="90">
        <v>401404</v>
      </c>
      <c r="O135" s="90">
        <v>39307</v>
      </c>
    </row>
    <row r="136" spans="1:15">
      <c r="A136" s="83" t="str">
        <f t="shared" si="2"/>
        <v>21900001260000</v>
      </c>
      <c r="B136" s="84">
        <v>2190000</v>
      </c>
      <c r="C136" s="84">
        <v>126000</v>
      </c>
      <c r="D136" s="84">
        <v>0</v>
      </c>
      <c r="E136" s="84" t="s">
        <v>266</v>
      </c>
      <c r="F136" s="89" t="s">
        <v>267</v>
      </c>
      <c r="G136" s="89" t="s">
        <v>268</v>
      </c>
      <c r="H136" s="89" t="s">
        <v>286</v>
      </c>
      <c r="I136" s="89" t="s">
        <v>270</v>
      </c>
      <c r="J136" s="89" t="s">
        <v>271</v>
      </c>
      <c r="K136" s="89" t="s">
        <v>272</v>
      </c>
      <c r="L136" s="89" t="s">
        <v>273</v>
      </c>
      <c r="M136" s="90">
        <v>36892</v>
      </c>
      <c r="N136" s="90">
        <v>401404</v>
      </c>
      <c r="O136" s="90">
        <v>39307</v>
      </c>
    </row>
    <row r="137" spans="1:15">
      <c r="A137" s="83" t="str">
        <f t="shared" si="2"/>
        <v>21900001280000</v>
      </c>
      <c r="B137" s="84">
        <v>2190000</v>
      </c>
      <c r="C137" s="84">
        <v>128000</v>
      </c>
      <c r="D137" s="84">
        <v>0</v>
      </c>
      <c r="E137" s="84" t="s">
        <v>266</v>
      </c>
      <c r="F137" s="89" t="s">
        <v>267</v>
      </c>
      <c r="G137" s="89" t="s">
        <v>268</v>
      </c>
      <c r="H137" s="89" t="s">
        <v>286</v>
      </c>
      <c r="I137" s="89" t="s">
        <v>270</v>
      </c>
      <c r="J137" s="89" t="s">
        <v>271</v>
      </c>
      <c r="K137" s="89" t="s">
        <v>272</v>
      </c>
      <c r="L137" s="89" t="s">
        <v>273</v>
      </c>
      <c r="M137" s="90">
        <v>36892</v>
      </c>
      <c r="N137" s="90">
        <v>401404</v>
      </c>
      <c r="O137" s="90">
        <v>39307</v>
      </c>
    </row>
    <row r="138" spans="1:15">
      <c r="A138" s="83" t="str">
        <f t="shared" si="2"/>
        <v>21900001290000</v>
      </c>
      <c r="B138" s="84">
        <v>2190000</v>
      </c>
      <c r="C138" s="84">
        <v>129000</v>
      </c>
      <c r="D138" s="84">
        <v>0</v>
      </c>
      <c r="E138" s="84" t="s">
        <v>266</v>
      </c>
      <c r="F138" s="89" t="s">
        <v>267</v>
      </c>
      <c r="G138" s="89" t="s">
        <v>268</v>
      </c>
      <c r="H138" s="89" t="s">
        <v>286</v>
      </c>
      <c r="I138" s="89" t="s">
        <v>270</v>
      </c>
      <c r="J138" s="89" t="s">
        <v>271</v>
      </c>
      <c r="K138" s="89" t="s">
        <v>272</v>
      </c>
      <c r="L138" s="89" t="s">
        <v>273</v>
      </c>
      <c r="M138" s="90">
        <v>36892</v>
      </c>
      <c r="N138" s="90">
        <v>401404</v>
      </c>
      <c r="O138" s="90">
        <v>39307</v>
      </c>
    </row>
    <row r="139" spans="1:15">
      <c r="A139" s="83" t="str">
        <f t="shared" si="2"/>
        <v>21900001295000</v>
      </c>
      <c r="B139" s="84">
        <v>2190000</v>
      </c>
      <c r="C139" s="84">
        <v>129500</v>
      </c>
      <c r="D139" s="84">
        <v>0</v>
      </c>
      <c r="E139" s="84" t="s">
        <v>266</v>
      </c>
      <c r="F139" s="89" t="s">
        <v>267</v>
      </c>
      <c r="G139" s="89" t="s">
        <v>268</v>
      </c>
      <c r="H139" s="89" t="s">
        <v>286</v>
      </c>
      <c r="I139" s="89" t="s">
        <v>270</v>
      </c>
      <c r="J139" s="89" t="s">
        <v>271</v>
      </c>
      <c r="K139" s="89" t="s">
        <v>272</v>
      </c>
      <c r="L139" s="89" t="s">
        <v>273</v>
      </c>
      <c r="M139" s="90">
        <v>36892</v>
      </c>
      <c r="N139" s="90">
        <v>401404</v>
      </c>
      <c r="O139" s="90">
        <v>39307</v>
      </c>
    </row>
    <row r="140" spans="1:15">
      <c r="A140" s="83" t="str">
        <f t="shared" si="2"/>
        <v>21900001310000</v>
      </c>
      <c r="B140" s="84">
        <v>2190000</v>
      </c>
      <c r="C140" s="84">
        <v>131000</v>
      </c>
      <c r="D140" s="84">
        <v>0</v>
      </c>
      <c r="E140" s="84" t="s">
        <v>266</v>
      </c>
      <c r="F140" s="89" t="s">
        <v>267</v>
      </c>
      <c r="G140" s="89" t="s">
        <v>268</v>
      </c>
      <c r="H140" s="89" t="s">
        <v>286</v>
      </c>
      <c r="I140" s="89" t="s">
        <v>270</v>
      </c>
      <c r="J140" s="89" t="s">
        <v>271</v>
      </c>
      <c r="K140" s="89" t="s">
        <v>272</v>
      </c>
      <c r="L140" s="89" t="s">
        <v>273</v>
      </c>
      <c r="M140" s="90">
        <v>36892</v>
      </c>
      <c r="N140" s="90">
        <v>401404</v>
      </c>
      <c r="O140" s="90">
        <v>39307</v>
      </c>
    </row>
    <row r="141" spans="1:15">
      <c r="A141" s="83" t="str">
        <f t="shared" si="2"/>
        <v>21900001320000</v>
      </c>
      <c r="B141" s="84">
        <v>2190000</v>
      </c>
      <c r="C141" s="84">
        <v>132000</v>
      </c>
      <c r="D141" s="84">
        <v>0</v>
      </c>
      <c r="E141" s="84" t="s">
        <v>266</v>
      </c>
      <c r="F141" s="89" t="s">
        <v>267</v>
      </c>
      <c r="G141" s="89" t="s">
        <v>268</v>
      </c>
      <c r="H141" s="89" t="s">
        <v>286</v>
      </c>
      <c r="I141" s="89" t="s">
        <v>270</v>
      </c>
      <c r="J141" s="89" t="s">
        <v>271</v>
      </c>
      <c r="K141" s="89" t="s">
        <v>272</v>
      </c>
      <c r="L141" s="89" t="s">
        <v>273</v>
      </c>
      <c r="M141" s="90">
        <v>36892</v>
      </c>
      <c r="N141" s="90">
        <v>401404</v>
      </c>
      <c r="O141" s="90">
        <v>39307</v>
      </c>
    </row>
    <row r="142" spans="1:15">
      <c r="A142" s="83" t="str">
        <f t="shared" si="2"/>
        <v>21900001330000</v>
      </c>
      <c r="B142" s="84">
        <v>2190000</v>
      </c>
      <c r="C142" s="84">
        <v>133000</v>
      </c>
      <c r="D142" s="84">
        <v>0</v>
      </c>
      <c r="E142" s="84" t="s">
        <v>266</v>
      </c>
      <c r="F142" s="89" t="s">
        <v>267</v>
      </c>
      <c r="G142" s="89" t="s">
        <v>268</v>
      </c>
      <c r="H142" s="89" t="s">
        <v>286</v>
      </c>
      <c r="I142" s="89" t="s">
        <v>270</v>
      </c>
      <c r="J142" s="89" t="s">
        <v>271</v>
      </c>
      <c r="K142" s="89" t="s">
        <v>272</v>
      </c>
      <c r="L142" s="89" t="s">
        <v>273</v>
      </c>
      <c r="M142" s="90">
        <v>36892</v>
      </c>
      <c r="N142" s="90">
        <v>401404</v>
      </c>
      <c r="O142" s="90">
        <v>39307</v>
      </c>
    </row>
    <row r="143" spans="1:15">
      <c r="A143" s="83" t="str">
        <f t="shared" si="2"/>
        <v>21900001330700</v>
      </c>
      <c r="B143" s="84">
        <v>2190000</v>
      </c>
      <c r="C143" s="84">
        <v>133070</v>
      </c>
      <c r="D143" s="84">
        <v>0</v>
      </c>
      <c r="E143" s="84" t="s">
        <v>266</v>
      </c>
      <c r="F143" s="89" t="s">
        <v>267</v>
      </c>
      <c r="G143" s="89" t="s">
        <v>268</v>
      </c>
      <c r="H143" s="89" t="s">
        <v>286</v>
      </c>
      <c r="I143" s="89" t="s">
        <v>270</v>
      </c>
      <c r="J143" s="89" t="s">
        <v>271</v>
      </c>
      <c r="K143" s="89" t="s">
        <v>272</v>
      </c>
      <c r="L143" s="89" t="s">
        <v>21</v>
      </c>
      <c r="M143" s="90">
        <v>36892</v>
      </c>
      <c r="N143" s="90">
        <v>401404</v>
      </c>
      <c r="O143" s="90">
        <v>39307</v>
      </c>
    </row>
    <row r="144" spans="1:15">
      <c r="A144" s="83" t="str">
        <f t="shared" si="2"/>
        <v>21900001340000</v>
      </c>
      <c r="B144" s="84">
        <v>2190000</v>
      </c>
      <c r="C144" s="84">
        <v>134000</v>
      </c>
      <c r="D144" s="84">
        <v>0</v>
      </c>
      <c r="E144" s="84" t="s">
        <v>266</v>
      </c>
      <c r="F144" s="89" t="s">
        <v>267</v>
      </c>
      <c r="G144" s="89" t="s">
        <v>268</v>
      </c>
      <c r="H144" s="89" t="s">
        <v>286</v>
      </c>
      <c r="I144" s="89" t="s">
        <v>270</v>
      </c>
      <c r="J144" s="89" t="s">
        <v>271</v>
      </c>
      <c r="K144" s="89" t="s">
        <v>272</v>
      </c>
      <c r="L144" s="89" t="s">
        <v>273</v>
      </c>
      <c r="M144" s="90">
        <v>36892</v>
      </c>
      <c r="N144" s="90">
        <v>401404</v>
      </c>
      <c r="O144" s="90">
        <v>39307</v>
      </c>
    </row>
    <row r="145" spans="1:15">
      <c r="A145" s="83" t="str">
        <f t="shared" si="2"/>
        <v>21900001360000</v>
      </c>
      <c r="B145" s="84">
        <v>2190000</v>
      </c>
      <c r="C145" s="84">
        <v>136000</v>
      </c>
      <c r="D145" s="84">
        <v>0</v>
      </c>
      <c r="E145" s="84" t="s">
        <v>266</v>
      </c>
      <c r="F145" s="89" t="s">
        <v>267</v>
      </c>
      <c r="G145" s="89" t="s">
        <v>268</v>
      </c>
      <c r="H145" s="89" t="s">
        <v>286</v>
      </c>
      <c r="I145" s="89" t="s">
        <v>270</v>
      </c>
      <c r="J145" s="89" t="s">
        <v>271</v>
      </c>
      <c r="K145" s="89" t="s">
        <v>272</v>
      </c>
      <c r="L145" s="89" t="s">
        <v>273</v>
      </c>
      <c r="M145" s="90">
        <v>36892</v>
      </c>
      <c r="N145" s="90">
        <v>401404</v>
      </c>
      <c r="O145" s="90">
        <v>39307</v>
      </c>
    </row>
    <row r="146" spans="1:15">
      <c r="A146" s="83" t="str">
        <f t="shared" si="2"/>
        <v>21900001360700</v>
      </c>
      <c r="B146" s="84">
        <v>2190000</v>
      </c>
      <c r="C146" s="84">
        <v>136070</v>
      </c>
      <c r="D146" s="84">
        <v>0</v>
      </c>
      <c r="E146" s="84" t="s">
        <v>266</v>
      </c>
      <c r="F146" s="89" t="s">
        <v>267</v>
      </c>
      <c r="G146" s="89" t="s">
        <v>268</v>
      </c>
      <c r="H146" s="89" t="s">
        <v>286</v>
      </c>
      <c r="I146" s="89" t="s">
        <v>270</v>
      </c>
      <c r="J146" s="89" t="s">
        <v>271</v>
      </c>
      <c r="K146" s="89" t="s">
        <v>272</v>
      </c>
      <c r="L146" s="89" t="s">
        <v>21</v>
      </c>
      <c r="M146" s="90">
        <v>36892</v>
      </c>
      <c r="N146" s="90">
        <v>401404</v>
      </c>
      <c r="O146" s="90">
        <v>39307</v>
      </c>
    </row>
    <row r="147" spans="1:15">
      <c r="A147" s="83" t="str">
        <f t="shared" si="2"/>
        <v>21900001370000</v>
      </c>
      <c r="B147" s="84">
        <v>2190000</v>
      </c>
      <c r="C147" s="84">
        <v>137000</v>
      </c>
      <c r="D147" s="84">
        <v>0</v>
      </c>
      <c r="E147" s="84" t="s">
        <v>266</v>
      </c>
      <c r="F147" s="89" t="s">
        <v>267</v>
      </c>
      <c r="G147" s="89" t="s">
        <v>268</v>
      </c>
      <c r="H147" s="89" t="s">
        <v>286</v>
      </c>
      <c r="I147" s="89" t="s">
        <v>270</v>
      </c>
      <c r="J147" s="89" t="s">
        <v>271</v>
      </c>
      <c r="K147" s="89" t="s">
        <v>272</v>
      </c>
      <c r="L147" s="89" t="s">
        <v>273</v>
      </c>
      <c r="M147" s="90">
        <v>36892</v>
      </c>
      <c r="N147" s="90">
        <v>401404</v>
      </c>
      <c r="O147" s="90">
        <v>39307</v>
      </c>
    </row>
    <row r="148" spans="1:15">
      <c r="A148" s="83" t="str">
        <f t="shared" si="2"/>
        <v>21900001410700</v>
      </c>
      <c r="B148" s="84">
        <v>2190000</v>
      </c>
      <c r="C148" s="84">
        <v>141070</v>
      </c>
      <c r="D148" s="84">
        <v>0</v>
      </c>
      <c r="E148" s="84" t="s">
        <v>266</v>
      </c>
      <c r="F148" s="89" t="s">
        <v>267</v>
      </c>
      <c r="G148" s="89" t="s">
        <v>268</v>
      </c>
      <c r="H148" s="89" t="s">
        <v>286</v>
      </c>
      <c r="I148" s="89" t="s">
        <v>270</v>
      </c>
      <c r="J148" s="89" t="s">
        <v>271</v>
      </c>
      <c r="K148" s="89" t="s">
        <v>272</v>
      </c>
      <c r="L148" s="89" t="s">
        <v>21</v>
      </c>
      <c r="M148" s="90">
        <v>36892</v>
      </c>
      <c r="N148" s="90">
        <v>401404</v>
      </c>
      <c r="O148" s="90">
        <v>39307</v>
      </c>
    </row>
    <row r="149" spans="1:15">
      <c r="A149" s="83" t="str">
        <f t="shared" si="2"/>
        <v>21900002010000</v>
      </c>
      <c r="B149" s="84">
        <v>2190000</v>
      </c>
      <c r="C149" s="84">
        <v>201000</v>
      </c>
      <c r="D149" s="84">
        <v>0</v>
      </c>
      <c r="E149" s="84" t="s">
        <v>266</v>
      </c>
      <c r="F149" s="89" t="s">
        <v>267</v>
      </c>
      <c r="G149" s="89" t="s">
        <v>268</v>
      </c>
      <c r="H149" s="89" t="s">
        <v>286</v>
      </c>
      <c r="I149" s="89" t="s">
        <v>270</v>
      </c>
      <c r="J149" s="89" t="s">
        <v>271</v>
      </c>
      <c r="K149" s="89" t="s">
        <v>272</v>
      </c>
      <c r="L149" s="89" t="s">
        <v>21</v>
      </c>
      <c r="M149" s="90">
        <v>36892</v>
      </c>
      <c r="N149" s="90">
        <v>401404</v>
      </c>
      <c r="O149" s="90">
        <v>39307</v>
      </c>
    </row>
    <row r="150" spans="1:15">
      <c r="A150" s="83" t="str">
        <f t="shared" si="2"/>
        <v>21900002150000</v>
      </c>
      <c r="B150" s="84">
        <v>2190000</v>
      </c>
      <c r="C150" s="84">
        <v>215000</v>
      </c>
      <c r="D150" s="84">
        <v>0</v>
      </c>
      <c r="E150" s="84" t="s">
        <v>266</v>
      </c>
      <c r="F150" s="89" t="s">
        <v>267</v>
      </c>
      <c r="G150" s="89" t="s">
        <v>268</v>
      </c>
      <c r="H150" s="89" t="s">
        <v>286</v>
      </c>
      <c r="I150" s="89" t="s">
        <v>270</v>
      </c>
      <c r="J150" s="89" t="s">
        <v>271</v>
      </c>
      <c r="K150" s="89" t="s">
        <v>272</v>
      </c>
      <c r="L150" s="89" t="s">
        <v>273</v>
      </c>
      <c r="M150" s="90">
        <v>36892</v>
      </c>
      <c r="N150" s="90">
        <v>401404</v>
      </c>
      <c r="O150" s="90">
        <v>39307</v>
      </c>
    </row>
    <row r="151" spans="1:15">
      <c r="A151" s="83" t="str">
        <f t="shared" si="2"/>
        <v>21900002400000</v>
      </c>
      <c r="B151" s="84">
        <v>2190000</v>
      </c>
      <c r="C151" s="84">
        <v>240000</v>
      </c>
      <c r="D151" s="84">
        <v>0</v>
      </c>
      <c r="E151" s="84" t="s">
        <v>266</v>
      </c>
      <c r="F151" s="89" t="s">
        <v>267</v>
      </c>
      <c r="G151" s="89" t="s">
        <v>268</v>
      </c>
      <c r="H151" s="89" t="s">
        <v>286</v>
      </c>
      <c r="I151" s="89" t="s">
        <v>270</v>
      </c>
      <c r="J151" s="89" t="s">
        <v>271</v>
      </c>
      <c r="K151" s="89" t="s">
        <v>272</v>
      </c>
      <c r="L151" s="89" t="s">
        <v>273</v>
      </c>
      <c r="M151" s="90">
        <v>36892</v>
      </c>
      <c r="N151" s="90">
        <v>401404</v>
      </c>
      <c r="O151" s="90">
        <v>39307</v>
      </c>
    </row>
    <row r="152" spans="1:15">
      <c r="A152" s="83" t="str">
        <f t="shared" si="2"/>
        <v>21900002440000</v>
      </c>
      <c r="B152" s="84">
        <v>2190000</v>
      </c>
      <c r="C152" s="84">
        <v>244000</v>
      </c>
      <c r="D152" s="84">
        <v>0</v>
      </c>
      <c r="E152" s="84" t="s">
        <v>266</v>
      </c>
      <c r="F152" s="89" t="s">
        <v>267</v>
      </c>
      <c r="G152" s="89" t="s">
        <v>268</v>
      </c>
      <c r="H152" s="89" t="s">
        <v>286</v>
      </c>
      <c r="I152" s="89" t="s">
        <v>270</v>
      </c>
      <c r="J152" s="89" t="s">
        <v>271</v>
      </c>
      <c r="K152" s="89" t="s">
        <v>272</v>
      </c>
      <c r="L152" s="89" t="s">
        <v>273</v>
      </c>
      <c r="M152" s="90">
        <v>36892</v>
      </c>
      <c r="N152" s="90">
        <v>401404</v>
      </c>
      <c r="O152" s="90">
        <v>39307</v>
      </c>
    </row>
    <row r="153" spans="1:15">
      <c r="A153" s="83" t="str">
        <f t="shared" si="2"/>
        <v>21900002460000</v>
      </c>
      <c r="B153" s="84">
        <v>2190000</v>
      </c>
      <c r="C153" s="84">
        <v>246000</v>
      </c>
      <c r="D153" s="84">
        <v>0</v>
      </c>
      <c r="E153" s="84" t="s">
        <v>266</v>
      </c>
      <c r="F153" s="89" t="s">
        <v>267</v>
      </c>
      <c r="G153" s="89" t="s">
        <v>268</v>
      </c>
      <c r="H153" s="89" t="s">
        <v>286</v>
      </c>
      <c r="I153" s="89" t="s">
        <v>270</v>
      </c>
      <c r="J153" s="89" t="s">
        <v>271</v>
      </c>
      <c r="K153" s="89" t="s">
        <v>272</v>
      </c>
      <c r="L153" s="89" t="s">
        <v>273</v>
      </c>
      <c r="M153" s="90">
        <v>36892</v>
      </c>
      <c r="N153" s="90">
        <v>401404</v>
      </c>
      <c r="O153" s="90">
        <v>39307</v>
      </c>
    </row>
    <row r="154" spans="1:15">
      <c r="A154" s="83" t="str">
        <f t="shared" si="2"/>
        <v>21900004010000</v>
      </c>
      <c r="B154" s="84">
        <v>2190000</v>
      </c>
      <c r="C154" s="84">
        <v>401000</v>
      </c>
      <c r="D154" s="84">
        <v>0</v>
      </c>
      <c r="E154" s="84" t="s">
        <v>266</v>
      </c>
      <c r="F154" s="89" t="s">
        <v>267</v>
      </c>
      <c r="G154" s="89" t="s">
        <v>268</v>
      </c>
      <c r="H154" s="89" t="s">
        <v>286</v>
      </c>
      <c r="I154" s="89" t="s">
        <v>270</v>
      </c>
      <c r="J154" s="89" t="s">
        <v>271</v>
      </c>
      <c r="K154" s="89" t="s">
        <v>272</v>
      </c>
      <c r="L154" s="89" t="s">
        <v>273</v>
      </c>
      <c r="M154" s="90">
        <v>36892</v>
      </c>
      <c r="N154" s="90">
        <v>401404</v>
      </c>
      <c r="O154" s="90">
        <v>39307</v>
      </c>
    </row>
    <row r="155" spans="1:15">
      <c r="A155" s="83" t="str">
        <f t="shared" si="2"/>
        <v>21900005140000</v>
      </c>
      <c r="B155" s="84">
        <v>2190000</v>
      </c>
      <c r="C155" s="84">
        <v>514000</v>
      </c>
      <c r="D155" s="84">
        <v>0</v>
      </c>
      <c r="E155" s="84" t="s">
        <v>266</v>
      </c>
      <c r="F155" s="89" t="s">
        <v>267</v>
      </c>
      <c r="G155" s="89" t="s">
        <v>268</v>
      </c>
      <c r="H155" s="89" t="s">
        <v>286</v>
      </c>
      <c r="I155" s="89" t="s">
        <v>270</v>
      </c>
      <c r="J155" s="89" t="s">
        <v>271</v>
      </c>
      <c r="K155" s="89" t="s">
        <v>272</v>
      </c>
      <c r="L155" s="89" t="s">
        <v>273</v>
      </c>
      <c r="M155" s="90">
        <v>36892</v>
      </c>
      <c r="N155" s="90">
        <v>401404</v>
      </c>
      <c r="O155" s="90">
        <v>39307</v>
      </c>
    </row>
    <row r="156" spans="1:15">
      <c r="A156" s="83" t="str">
        <f t="shared" si="2"/>
        <v>21900005140010</v>
      </c>
      <c r="B156" s="84">
        <v>2190000</v>
      </c>
      <c r="C156" s="84">
        <v>514001</v>
      </c>
      <c r="D156" s="84">
        <v>0</v>
      </c>
      <c r="E156" s="84" t="s">
        <v>266</v>
      </c>
      <c r="F156" s="89" t="s">
        <v>267</v>
      </c>
      <c r="G156" s="89" t="s">
        <v>268</v>
      </c>
      <c r="H156" s="89" t="s">
        <v>286</v>
      </c>
      <c r="I156" s="89" t="s">
        <v>270</v>
      </c>
      <c r="J156" s="89" t="s">
        <v>271</v>
      </c>
      <c r="K156" s="89" t="s">
        <v>272</v>
      </c>
      <c r="L156" s="89" t="s">
        <v>273</v>
      </c>
      <c r="M156" s="90">
        <v>36892</v>
      </c>
      <c r="N156" s="90">
        <v>401404</v>
      </c>
      <c r="O156" s="90">
        <v>39307</v>
      </c>
    </row>
    <row r="157" spans="1:15">
      <c r="A157" s="83" t="str">
        <f t="shared" si="2"/>
        <v>21900005140020</v>
      </c>
      <c r="B157" s="84">
        <v>2190000</v>
      </c>
      <c r="C157" s="84">
        <v>514002</v>
      </c>
      <c r="D157" s="84">
        <v>0</v>
      </c>
      <c r="E157" s="84" t="s">
        <v>266</v>
      </c>
      <c r="F157" s="89" t="s">
        <v>267</v>
      </c>
      <c r="G157" s="89" t="s">
        <v>268</v>
      </c>
      <c r="H157" s="89" t="s">
        <v>286</v>
      </c>
      <c r="I157" s="89" t="s">
        <v>270</v>
      </c>
      <c r="J157" s="89" t="s">
        <v>271</v>
      </c>
      <c r="K157" s="89" t="s">
        <v>272</v>
      </c>
      <c r="L157" s="89" t="s">
        <v>21</v>
      </c>
      <c r="M157" s="90">
        <v>36892</v>
      </c>
      <c r="N157" s="90">
        <v>401404</v>
      </c>
      <c r="O157" s="90">
        <v>39307</v>
      </c>
    </row>
    <row r="158" spans="1:15">
      <c r="A158" s="83" t="str">
        <f t="shared" si="2"/>
        <v>21900005140030</v>
      </c>
      <c r="B158" s="84">
        <v>2190000</v>
      </c>
      <c r="C158" s="84">
        <v>514003</v>
      </c>
      <c r="D158" s="84">
        <v>0</v>
      </c>
      <c r="E158" s="84" t="s">
        <v>266</v>
      </c>
      <c r="F158" s="89" t="s">
        <v>267</v>
      </c>
      <c r="G158" s="89" t="s">
        <v>268</v>
      </c>
      <c r="H158" s="89" t="s">
        <v>286</v>
      </c>
      <c r="I158" s="89" t="s">
        <v>270</v>
      </c>
      <c r="J158" s="89" t="s">
        <v>271</v>
      </c>
      <c r="K158" s="89" t="s">
        <v>272</v>
      </c>
      <c r="L158" s="89" t="s">
        <v>273</v>
      </c>
      <c r="M158" s="90">
        <v>36892</v>
      </c>
      <c r="N158" s="90">
        <v>401404</v>
      </c>
      <c r="O158" s="90">
        <v>39307</v>
      </c>
    </row>
    <row r="159" spans="1:15">
      <c r="A159" s="83" t="str">
        <f t="shared" si="2"/>
        <v>21900005140040</v>
      </c>
      <c r="B159" s="84">
        <v>2190000</v>
      </c>
      <c r="C159" s="84">
        <v>514004</v>
      </c>
      <c r="D159" s="84">
        <v>0</v>
      </c>
      <c r="E159" s="84" t="s">
        <v>266</v>
      </c>
      <c r="F159" s="89" t="s">
        <v>267</v>
      </c>
      <c r="G159" s="89" t="s">
        <v>268</v>
      </c>
      <c r="H159" s="89" t="s">
        <v>286</v>
      </c>
      <c r="I159" s="89" t="s">
        <v>270</v>
      </c>
      <c r="J159" s="89" t="s">
        <v>271</v>
      </c>
      <c r="K159" s="89" t="s">
        <v>272</v>
      </c>
      <c r="L159" s="89" t="s">
        <v>273</v>
      </c>
      <c r="M159" s="90">
        <v>36892</v>
      </c>
      <c r="N159" s="90">
        <v>401404</v>
      </c>
      <c r="O159" s="90">
        <v>39307</v>
      </c>
    </row>
    <row r="160" spans="1:15">
      <c r="A160" s="83" t="str">
        <f t="shared" si="2"/>
        <v>21900005150000</v>
      </c>
      <c r="B160" s="84">
        <v>2190000</v>
      </c>
      <c r="C160" s="84">
        <v>515000</v>
      </c>
      <c r="D160" s="84">
        <v>0</v>
      </c>
      <c r="E160" s="84" t="s">
        <v>266</v>
      </c>
      <c r="F160" s="89" t="s">
        <v>267</v>
      </c>
      <c r="G160" s="89" t="s">
        <v>268</v>
      </c>
      <c r="H160" s="89" t="s">
        <v>286</v>
      </c>
      <c r="I160" s="89" t="s">
        <v>270</v>
      </c>
      <c r="J160" s="89" t="s">
        <v>271</v>
      </c>
      <c r="K160" s="89" t="s">
        <v>272</v>
      </c>
      <c r="L160" s="89" t="s">
        <v>273</v>
      </c>
      <c r="M160" s="90">
        <v>36892</v>
      </c>
      <c r="N160" s="90">
        <v>401404</v>
      </c>
      <c r="O160" s="90">
        <v>39307</v>
      </c>
    </row>
    <row r="161" spans="1:15">
      <c r="A161" s="83" t="str">
        <f t="shared" si="2"/>
        <v>21900005170000</v>
      </c>
      <c r="B161" s="84">
        <v>2190000</v>
      </c>
      <c r="C161" s="84">
        <v>517000</v>
      </c>
      <c r="D161" s="84">
        <v>0</v>
      </c>
      <c r="E161" s="84" t="s">
        <v>266</v>
      </c>
      <c r="F161" s="89" t="s">
        <v>267</v>
      </c>
      <c r="G161" s="89" t="s">
        <v>268</v>
      </c>
      <c r="H161" s="89" t="s">
        <v>286</v>
      </c>
      <c r="I161" s="89" t="s">
        <v>270</v>
      </c>
      <c r="J161" s="89" t="s">
        <v>271</v>
      </c>
      <c r="K161" s="89" t="s">
        <v>272</v>
      </c>
      <c r="L161" s="89" t="s">
        <v>273</v>
      </c>
      <c r="M161" s="90">
        <v>36892</v>
      </c>
      <c r="N161" s="90">
        <v>401404</v>
      </c>
      <c r="O161" s="90">
        <v>39307</v>
      </c>
    </row>
    <row r="162" spans="1:15">
      <c r="A162" s="83" t="str">
        <f t="shared" si="2"/>
        <v>21900005170010</v>
      </c>
      <c r="B162" s="84">
        <v>2190000</v>
      </c>
      <c r="C162" s="84">
        <v>517001</v>
      </c>
      <c r="D162" s="84">
        <v>0</v>
      </c>
      <c r="E162" s="84" t="s">
        <v>266</v>
      </c>
      <c r="F162" s="89" t="s">
        <v>267</v>
      </c>
      <c r="G162" s="89" t="s">
        <v>268</v>
      </c>
      <c r="H162" s="89" t="s">
        <v>286</v>
      </c>
      <c r="I162" s="89" t="s">
        <v>270</v>
      </c>
      <c r="J162" s="89" t="s">
        <v>271</v>
      </c>
      <c r="K162" s="89" t="s">
        <v>272</v>
      </c>
      <c r="L162" s="89" t="s">
        <v>21</v>
      </c>
      <c r="M162" s="90">
        <v>36892</v>
      </c>
      <c r="N162" s="90">
        <v>401404</v>
      </c>
      <c r="O162" s="90">
        <v>39307</v>
      </c>
    </row>
    <row r="163" spans="1:15">
      <c r="A163" s="83" t="str">
        <f t="shared" si="2"/>
        <v>21900005170020</v>
      </c>
      <c r="B163" s="84">
        <v>2190000</v>
      </c>
      <c r="C163" s="84">
        <v>517002</v>
      </c>
      <c r="D163" s="84">
        <v>0</v>
      </c>
      <c r="E163" s="84" t="s">
        <v>266</v>
      </c>
      <c r="F163" s="89" t="s">
        <v>267</v>
      </c>
      <c r="G163" s="89" t="s">
        <v>268</v>
      </c>
      <c r="H163" s="89" t="s">
        <v>286</v>
      </c>
      <c r="I163" s="89" t="s">
        <v>270</v>
      </c>
      <c r="J163" s="89" t="s">
        <v>271</v>
      </c>
      <c r="K163" s="89" t="s">
        <v>272</v>
      </c>
      <c r="L163" s="89" t="s">
        <v>21</v>
      </c>
      <c r="M163" s="90">
        <v>36892</v>
      </c>
      <c r="N163" s="90">
        <v>401404</v>
      </c>
      <c r="O163" s="90">
        <v>39307</v>
      </c>
    </row>
    <row r="164" spans="1:15">
      <c r="A164" s="83" t="str">
        <f t="shared" si="2"/>
        <v>21900005170030</v>
      </c>
      <c r="B164" s="84">
        <v>2190000</v>
      </c>
      <c r="C164" s="84">
        <v>517003</v>
      </c>
      <c r="D164" s="84">
        <v>0</v>
      </c>
      <c r="E164" s="84" t="s">
        <v>266</v>
      </c>
      <c r="F164" s="89" t="s">
        <v>267</v>
      </c>
      <c r="G164" s="89" t="s">
        <v>268</v>
      </c>
      <c r="H164" s="89" t="s">
        <v>286</v>
      </c>
      <c r="I164" s="89" t="s">
        <v>270</v>
      </c>
      <c r="J164" s="89" t="s">
        <v>271</v>
      </c>
      <c r="K164" s="89" t="s">
        <v>272</v>
      </c>
      <c r="L164" s="89" t="s">
        <v>21</v>
      </c>
      <c r="M164" s="90">
        <v>36892</v>
      </c>
      <c r="N164" s="90">
        <v>401404</v>
      </c>
      <c r="O164" s="90">
        <v>39307</v>
      </c>
    </row>
    <row r="165" spans="1:15">
      <c r="A165" s="83" t="str">
        <f t="shared" si="2"/>
        <v>21900005170040</v>
      </c>
      <c r="B165" s="84">
        <v>2190000</v>
      </c>
      <c r="C165" s="84">
        <v>517004</v>
      </c>
      <c r="D165" s="84">
        <v>0</v>
      </c>
      <c r="E165" s="84" t="s">
        <v>266</v>
      </c>
      <c r="F165" s="89" t="s">
        <v>267</v>
      </c>
      <c r="G165" s="89" t="s">
        <v>268</v>
      </c>
      <c r="H165" s="89" t="s">
        <v>286</v>
      </c>
      <c r="I165" s="89" t="s">
        <v>270</v>
      </c>
      <c r="J165" s="89" t="s">
        <v>271</v>
      </c>
      <c r="K165" s="89" t="s">
        <v>272</v>
      </c>
      <c r="L165" s="89" t="s">
        <v>21</v>
      </c>
      <c r="M165" s="90">
        <v>36892</v>
      </c>
      <c r="N165" s="90">
        <v>401404</v>
      </c>
      <c r="O165" s="90">
        <v>39307</v>
      </c>
    </row>
    <row r="166" spans="1:15">
      <c r="A166" s="83" t="str">
        <f t="shared" si="2"/>
        <v>21900005175000</v>
      </c>
      <c r="B166" s="84">
        <v>2190000</v>
      </c>
      <c r="C166" s="84">
        <v>517500</v>
      </c>
      <c r="D166" s="84">
        <v>0</v>
      </c>
      <c r="E166" s="84" t="s">
        <v>266</v>
      </c>
      <c r="F166" s="89" t="s">
        <v>267</v>
      </c>
      <c r="G166" s="89" t="s">
        <v>268</v>
      </c>
      <c r="H166" s="89" t="s">
        <v>286</v>
      </c>
      <c r="I166" s="89" t="s">
        <v>270</v>
      </c>
      <c r="J166" s="89" t="s">
        <v>271</v>
      </c>
      <c r="K166" s="89" t="s">
        <v>272</v>
      </c>
      <c r="L166" s="89" t="s">
        <v>273</v>
      </c>
      <c r="M166" s="90">
        <v>36892</v>
      </c>
      <c r="N166" s="90">
        <v>401404</v>
      </c>
      <c r="O166" s="90">
        <v>39307</v>
      </c>
    </row>
    <row r="167" spans="1:15">
      <c r="A167" s="83" t="str">
        <f t="shared" si="2"/>
        <v>21900005190000</v>
      </c>
      <c r="B167" s="84">
        <v>2190000</v>
      </c>
      <c r="C167" s="84">
        <v>519000</v>
      </c>
      <c r="D167" s="84">
        <v>0</v>
      </c>
      <c r="E167" s="84" t="s">
        <v>266</v>
      </c>
      <c r="F167" s="89" t="s">
        <v>267</v>
      </c>
      <c r="G167" s="89" t="s">
        <v>268</v>
      </c>
      <c r="H167" s="89" t="s">
        <v>286</v>
      </c>
      <c r="I167" s="89" t="s">
        <v>270</v>
      </c>
      <c r="J167" s="89" t="s">
        <v>271</v>
      </c>
      <c r="K167" s="89" t="s">
        <v>272</v>
      </c>
      <c r="L167" s="89" t="s">
        <v>273</v>
      </c>
      <c r="M167" s="90">
        <v>36892</v>
      </c>
      <c r="N167" s="90">
        <v>401404</v>
      </c>
      <c r="O167" s="90">
        <v>39307</v>
      </c>
    </row>
    <row r="168" spans="1:15">
      <c r="A168" s="83" t="str">
        <f t="shared" si="2"/>
        <v>21900005190010</v>
      </c>
      <c r="B168" s="84">
        <v>2190000</v>
      </c>
      <c r="C168" s="84">
        <v>519001</v>
      </c>
      <c r="D168" s="84">
        <v>0</v>
      </c>
      <c r="E168" s="84" t="s">
        <v>266</v>
      </c>
      <c r="F168" s="89" t="s">
        <v>267</v>
      </c>
      <c r="G168" s="89" t="s">
        <v>268</v>
      </c>
      <c r="H168" s="89" t="s">
        <v>286</v>
      </c>
      <c r="I168" s="89" t="s">
        <v>274</v>
      </c>
      <c r="J168" s="89" t="s">
        <v>290</v>
      </c>
      <c r="K168" s="89" t="s">
        <v>291</v>
      </c>
      <c r="L168" s="89" t="s">
        <v>273</v>
      </c>
      <c r="M168" s="90">
        <v>36161</v>
      </c>
      <c r="N168" s="90">
        <v>2958465</v>
      </c>
      <c r="O168" s="90">
        <v>39491</v>
      </c>
    </row>
    <row r="169" spans="1:15">
      <c r="A169" s="83" t="str">
        <f t="shared" si="2"/>
        <v>21900005495700</v>
      </c>
      <c r="B169" s="84">
        <v>2190000</v>
      </c>
      <c r="C169" s="84">
        <v>549570</v>
      </c>
      <c r="D169" s="84">
        <v>0</v>
      </c>
      <c r="E169" s="84" t="s">
        <v>266</v>
      </c>
      <c r="F169" s="89" t="s">
        <v>267</v>
      </c>
      <c r="G169" s="89" t="s">
        <v>268</v>
      </c>
      <c r="H169" s="89" t="s">
        <v>286</v>
      </c>
      <c r="I169" s="89" t="s">
        <v>270</v>
      </c>
      <c r="J169" s="89" t="s">
        <v>271</v>
      </c>
      <c r="K169" s="89" t="s">
        <v>272</v>
      </c>
      <c r="L169" s="89" t="s">
        <v>273</v>
      </c>
      <c r="M169" s="90">
        <v>36892</v>
      </c>
      <c r="N169" s="90">
        <v>401404</v>
      </c>
      <c r="O169" s="90">
        <v>39307</v>
      </c>
    </row>
    <row r="170" spans="1:15">
      <c r="A170" s="83" t="str">
        <f t="shared" si="2"/>
        <v>21900005630000</v>
      </c>
      <c r="B170" s="84">
        <v>2190000</v>
      </c>
      <c r="C170" s="84">
        <v>563000</v>
      </c>
      <c r="D170" s="84">
        <v>0</v>
      </c>
      <c r="E170" s="84" t="s">
        <v>266</v>
      </c>
      <c r="F170" s="89" t="s">
        <v>267</v>
      </c>
      <c r="G170" s="89" t="s">
        <v>268</v>
      </c>
      <c r="H170" s="89" t="s">
        <v>286</v>
      </c>
      <c r="I170" s="89" t="s">
        <v>270</v>
      </c>
      <c r="J170" s="89" t="s">
        <v>271</v>
      </c>
      <c r="K170" s="89" t="s">
        <v>272</v>
      </c>
      <c r="L170" s="89" t="s">
        <v>21</v>
      </c>
      <c r="M170" s="90">
        <v>36892</v>
      </c>
      <c r="N170" s="90">
        <v>401404</v>
      </c>
      <c r="O170" s="90">
        <v>39307</v>
      </c>
    </row>
    <row r="171" spans="1:15">
      <c r="A171" s="83" t="str">
        <f t="shared" si="2"/>
        <v>21900005651000</v>
      </c>
      <c r="B171" s="84">
        <v>2190000</v>
      </c>
      <c r="C171" s="84">
        <v>565100</v>
      </c>
      <c r="D171" s="84">
        <v>0</v>
      </c>
      <c r="E171" s="84" t="s">
        <v>266</v>
      </c>
      <c r="F171" s="89" t="s">
        <v>267</v>
      </c>
      <c r="G171" s="89" t="s">
        <v>268</v>
      </c>
      <c r="H171" s="89" t="s">
        <v>286</v>
      </c>
      <c r="I171" s="89" t="s">
        <v>270</v>
      </c>
      <c r="J171" s="89" t="s">
        <v>271</v>
      </c>
      <c r="K171" s="89" t="s">
        <v>272</v>
      </c>
      <c r="L171" s="89" t="s">
        <v>21</v>
      </c>
      <c r="M171" s="90">
        <v>36892</v>
      </c>
      <c r="N171" s="90">
        <v>401404</v>
      </c>
      <c r="O171" s="90">
        <v>39307</v>
      </c>
    </row>
    <row r="172" spans="1:15">
      <c r="A172" s="83" t="str">
        <f t="shared" si="2"/>
        <v>21900005670000</v>
      </c>
      <c r="B172" s="84">
        <v>2190000</v>
      </c>
      <c r="C172" s="84">
        <v>567000</v>
      </c>
      <c r="D172" s="84">
        <v>0</v>
      </c>
      <c r="E172" s="84" t="s">
        <v>266</v>
      </c>
      <c r="F172" s="89" t="s">
        <v>267</v>
      </c>
      <c r="G172" s="89" t="s">
        <v>268</v>
      </c>
      <c r="H172" s="89" t="s">
        <v>286</v>
      </c>
      <c r="I172" s="89" t="s">
        <v>270</v>
      </c>
      <c r="J172" s="89" t="s">
        <v>271</v>
      </c>
      <c r="K172" s="89" t="s">
        <v>272</v>
      </c>
      <c r="L172" s="89" t="s">
        <v>273</v>
      </c>
      <c r="M172" s="90">
        <v>36892</v>
      </c>
      <c r="N172" s="90">
        <v>401404</v>
      </c>
      <c r="O172" s="90">
        <v>39307</v>
      </c>
    </row>
    <row r="173" spans="1:15">
      <c r="A173" s="83" t="str">
        <f t="shared" si="2"/>
        <v>21900005720000</v>
      </c>
      <c r="B173" s="84">
        <v>2190000</v>
      </c>
      <c r="C173" s="84">
        <v>572000</v>
      </c>
      <c r="D173" s="84">
        <v>0</v>
      </c>
      <c r="E173" s="84" t="s">
        <v>266</v>
      </c>
      <c r="F173" s="89" t="s">
        <v>267</v>
      </c>
      <c r="G173" s="89" t="s">
        <v>268</v>
      </c>
      <c r="H173" s="89" t="s">
        <v>286</v>
      </c>
      <c r="I173" s="89" t="s">
        <v>270</v>
      </c>
      <c r="J173" s="89" t="s">
        <v>271</v>
      </c>
      <c r="K173" s="89" t="s">
        <v>272</v>
      </c>
      <c r="L173" s="89" t="s">
        <v>273</v>
      </c>
      <c r="M173" s="90">
        <v>36892</v>
      </c>
      <c r="N173" s="90">
        <v>401404</v>
      </c>
      <c r="O173" s="90">
        <v>39307</v>
      </c>
    </row>
    <row r="174" spans="1:15">
      <c r="A174" s="83" t="str">
        <f t="shared" si="2"/>
        <v>21900005750000</v>
      </c>
      <c r="B174" s="84">
        <v>2190000</v>
      </c>
      <c r="C174" s="84">
        <v>575000</v>
      </c>
      <c r="D174" s="84">
        <v>0</v>
      </c>
      <c r="E174" s="84" t="s">
        <v>266</v>
      </c>
      <c r="F174" s="89" t="s">
        <v>267</v>
      </c>
      <c r="G174" s="89" t="s">
        <v>268</v>
      </c>
      <c r="H174" s="89" t="s">
        <v>286</v>
      </c>
      <c r="I174" s="89" t="s">
        <v>270</v>
      </c>
      <c r="J174" s="89" t="s">
        <v>271</v>
      </c>
      <c r="K174" s="89" t="s">
        <v>272</v>
      </c>
      <c r="L174" s="89" t="s">
        <v>21</v>
      </c>
      <c r="M174" s="90">
        <v>36892</v>
      </c>
      <c r="N174" s="90">
        <v>401404</v>
      </c>
      <c r="O174" s="90">
        <v>39307</v>
      </c>
    </row>
    <row r="175" spans="1:15">
      <c r="A175" s="83" t="str">
        <f t="shared" si="2"/>
        <v>21900005760000</v>
      </c>
      <c r="B175" s="84">
        <v>2190000</v>
      </c>
      <c r="C175" s="84">
        <v>576000</v>
      </c>
      <c r="D175" s="84">
        <v>0</v>
      </c>
      <c r="E175" s="84" t="s">
        <v>266</v>
      </c>
      <c r="F175" s="89" t="s">
        <v>267</v>
      </c>
      <c r="G175" s="89" t="s">
        <v>268</v>
      </c>
      <c r="H175" s="89" t="s">
        <v>286</v>
      </c>
      <c r="I175" s="89" t="s">
        <v>270</v>
      </c>
      <c r="J175" s="89" t="s">
        <v>271</v>
      </c>
      <c r="K175" s="89" t="s">
        <v>272</v>
      </c>
      <c r="L175" s="89" t="s">
        <v>273</v>
      </c>
      <c r="M175" s="90">
        <v>36892</v>
      </c>
      <c r="N175" s="90">
        <v>401404</v>
      </c>
      <c r="O175" s="90">
        <v>39307</v>
      </c>
    </row>
    <row r="176" spans="1:15">
      <c r="A176" s="83" t="str">
        <f t="shared" si="2"/>
        <v>21900005765000</v>
      </c>
      <c r="B176" s="84">
        <v>2190000</v>
      </c>
      <c r="C176" s="84">
        <v>576500</v>
      </c>
      <c r="D176" s="84">
        <v>0</v>
      </c>
      <c r="E176" s="84" t="s">
        <v>266</v>
      </c>
      <c r="F176" s="89" t="s">
        <v>267</v>
      </c>
      <c r="G176" s="89" t="s">
        <v>268</v>
      </c>
      <c r="H176" s="89" t="s">
        <v>286</v>
      </c>
      <c r="I176" s="89" t="s">
        <v>270</v>
      </c>
      <c r="J176" s="89" t="s">
        <v>271</v>
      </c>
      <c r="K176" s="89" t="s">
        <v>272</v>
      </c>
      <c r="L176" s="89" t="s">
        <v>21</v>
      </c>
      <c r="M176" s="90">
        <v>36892</v>
      </c>
      <c r="N176" s="90">
        <v>401404</v>
      </c>
      <c r="O176" s="90">
        <v>39307</v>
      </c>
    </row>
    <row r="177" spans="1:15">
      <c r="A177" s="83" t="str">
        <f t="shared" si="2"/>
        <v>21900005780000</v>
      </c>
      <c r="B177" s="84">
        <v>2190000</v>
      </c>
      <c r="C177" s="84">
        <v>578000</v>
      </c>
      <c r="D177" s="84">
        <v>0</v>
      </c>
      <c r="E177" s="84" t="s">
        <v>266</v>
      </c>
      <c r="F177" s="89" t="s">
        <v>267</v>
      </c>
      <c r="G177" s="89" t="s">
        <v>268</v>
      </c>
      <c r="H177" s="89" t="s">
        <v>286</v>
      </c>
      <c r="I177" s="89" t="s">
        <v>270</v>
      </c>
      <c r="J177" s="89" t="s">
        <v>271</v>
      </c>
      <c r="K177" s="89" t="s">
        <v>272</v>
      </c>
      <c r="L177" s="89" t="s">
        <v>273</v>
      </c>
      <c r="M177" s="90">
        <v>36892</v>
      </c>
      <c r="N177" s="90">
        <v>401404</v>
      </c>
      <c r="O177" s="90">
        <v>39307</v>
      </c>
    </row>
    <row r="178" spans="1:15">
      <c r="A178" s="83" t="str">
        <f t="shared" si="2"/>
        <v>21900006510000</v>
      </c>
      <c r="B178" s="84">
        <v>2190000</v>
      </c>
      <c r="C178" s="84">
        <v>651000</v>
      </c>
      <c r="D178" s="84">
        <v>0</v>
      </c>
      <c r="E178" s="84" t="s">
        <v>266</v>
      </c>
      <c r="F178" s="89" t="s">
        <v>267</v>
      </c>
      <c r="G178" s="89" t="s">
        <v>268</v>
      </c>
      <c r="H178" s="89" t="s">
        <v>286</v>
      </c>
      <c r="I178" s="89" t="s">
        <v>270</v>
      </c>
      <c r="J178" s="89" t="s">
        <v>271</v>
      </c>
      <c r="K178" s="89" t="s">
        <v>272</v>
      </c>
      <c r="L178" s="89" t="s">
        <v>21</v>
      </c>
      <c r="M178" s="90">
        <v>36892</v>
      </c>
      <c r="N178" s="90">
        <v>401404</v>
      </c>
      <c r="O178" s="90">
        <v>39307</v>
      </c>
    </row>
    <row r="179" spans="1:15">
      <c r="A179" s="83" t="str">
        <f t="shared" si="2"/>
        <v>21900006510700</v>
      </c>
      <c r="B179" s="84">
        <v>2190000</v>
      </c>
      <c r="C179" s="84">
        <v>651070</v>
      </c>
      <c r="D179" s="84">
        <v>0</v>
      </c>
      <c r="E179" s="84" t="s">
        <v>266</v>
      </c>
      <c r="F179" s="89" t="s">
        <v>267</v>
      </c>
      <c r="G179" s="89" t="s">
        <v>268</v>
      </c>
      <c r="H179" s="89" t="s">
        <v>286</v>
      </c>
      <c r="I179" s="89" t="s">
        <v>270</v>
      </c>
      <c r="J179" s="89" t="s">
        <v>271</v>
      </c>
      <c r="K179" s="89" t="s">
        <v>272</v>
      </c>
      <c r="L179" s="89" t="s">
        <v>21</v>
      </c>
      <c r="M179" s="90">
        <v>36892</v>
      </c>
      <c r="N179" s="90">
        <v>401404</v>
      </c>
      <c r="O179" s="90">
        <v>39307</v>
      </c>
    </row>
    <row r="180" spans="1:15">
      <c r="A180" s="83" t="str">
        <f t="shared" si="2"/>
        <v>21900006540000</v>
      </c>
      <c r="B180" s="84">
        <v>2190000</v>
      </c>
      <c r="C180" s="84">
        <v>654000</v>
      </c>
      <c r="D180" s="84">
        <v>0</v>
      </c>
      <c r="E180" s="84" t="s">
        <v>266</v>
      </c>
      <c r="F180" s="89" t="s">
        <v>267</v>
      </c>
      <c r="G180" s="89" t="s">
        <v>268</v>
      </c>
      <c r="H180" s="89" t="s">
        <v>286</v>
      </c>
      <c r="I180" s="89" t="s">
        <v>270</v>
      </c>
      <c r="J180" s="89" t="s">
        <v>271</v>
      </c>
      <c r="K180" s="89" t="s">
        <v>272</v>
      </c>
      <c r="L180" s="89" t="s">
        <v>21</v>
      </c>
      <c r="M180" s="90">
        <v>36892</v>
      </c>
      <c r="N180" s="90">
        <v>401404</v>
      </c>
      <c r="O180" s="90">
        <v>39307</v>
      </c>
    </row>
    <row r="181" spans="1:15">
      <c r="A181" s="83" t="str">
        <f t="shared" si="2"/>
        <v>21900006550000</v>
      </c>
      <c r="B181" s="84">
        <v>2190000</v>
      </c>
      <c r="C181" s="84">
        <v>655000</v>
      </c>
      <c r="D181" s="84">
        <v>0</v>
      </c>
      <c r="E181" s="84" t="s">
        <v>266</v>
      </c>
      <c r="F181" s="89" t="s">
        <v>267</v>
      </c>
      <c r="G181" s="89" t="s">
        <v>268</v>
      </c>
      <c r="H181" s="89" t="s">
        <v>286</v>
      </c>
      <c r="I181" s="89" t="s">
        <v>270</v>
      </c>
      <c r="J181" s="89" t="s">
        <v>271</v>
      </c>
      <c r="K181" s="89" t="s">
        <v>272</v>
      </c>
      <c r="L181" s="89" t="s">
        <v>21</v>
      </c>
      <c r="M181" s="90">
        <v>36892</v>
      </c>
      <c r="N181" s="90">
        <v>401404</v>
      </c>
      <c r="O181" s="90">
        <v>39307</v>
      </c>
    </row>
    <row r="182" spans="1:15">
      <c r="A182" s="83" t="str">
        <f t="shared" si="2"/>
        <v>21900006561000</v>
      </c>
      <c r="B182" s="84">
        <v>2190000</v>
      </c>
      <c r="C182" s="84">
        <v>656100</v>
      </c>
      <c r="D182" s="84">
        <v>0</v>
      </c>
      <c r="E182" s="84" t="s">
        <v>266</v>
      </c>
      <c r="F182" s="89" t="s">
        <v>267</v>
      </c>
      <c r="G182" s="89" t="s">
        <v>268</v>
      </c>
      <c r="H182" s="89" t="s">
        <v>286</v>
      </c>
      <c r="I182" s="89" t="s">
        <v>270</v>
      </c>
      <c r="J182" s="89" t="s">
        <v>271</v>
      </c>
      <c r="K182" s="89" t="s">
        <v>272</v>
      </c>
      <c r="L182" s="89" t="s">
        <v>21</v>
      </c>
      <c r="M182" s="90">
        <v>36892</v>
      </c>
      <c r="N182" s="90">
        <v>401404</v>
      </c>
      <c r="O182" s="90">
        <v>39307</v>
      </c>
    </row>
    <row r="183" spans="1:15">
      <c r="A183" s="83" t="str">
        <f t="shared" si="2"/>
        <v>22830001187240</v>
      </c>
      <c r="B183" s="84">
        <v>2283000</v>
      </c>
      <c r="C183" s="84">
        <v>1</v>
      </c>
      <c r="D183" s="84">
        <v>187240</v>
      </c>
      <c r="E183" s="84" t="s">
        <v>266</v>
      </c>
      <c r="F183" s="89" t="s">
        <v>267</v>
      </c>
      <c r="G183" s="89" t="s">
        <v>292</v>
      </c>
      <c r="H183" s="89" t="s">
        <v>286</v>
      </c>
      <c r="I183" s="89" t="s">
        <v>270</v>
      </c>
      <c r="J183" s="89" t="s">
        <v>271</v>
      </c>
      <c r="K183" s="89" t="s">
        <v>272</v>
      </c>
      <c r="L183" s="89" t="s">
        <v>21</v>
      </c>
      <c r="M183" s="90">
        <v>36892</v>
      </c>
      <c r="N183" s="90">
        <v>401404</v>
      </c>
      <c r="O183" s="90">
        <v>39307</v>
      </c>
    </row>
    <row r="184" spans="1:15">
      <c r="A184" s="83" t="str">
        <f t="shared" si="2"/>
        <v>22830001280325</v>
      </c>
      <c r="B184" s="84">
        <v>2283000</v>
      </c>
      <c r="C184" s="84">
        <v>1</v>
      </c>
      <c r="D184" s="84">
        <v>280325</v>
      </c>
      <c r="E184" s="84" t="s">
        <v>266</v>
      </c>
      <c r="F184" s="89" t="s">
        <v>267</v>
      </c>
      <c r="G184" s="89" t="s">
        <v>268</v>
      </c>
      <c r="H184" s="89" t="s">
        <v>286</v>
      </c>
      <c r="I184" s="89" t="s">
        <v>270</v>
      </c>
      <c r="J184" s="89" t="s">
        <v>271</v>
      </c>
      <c r="K184" s="89" t="s">
        <v>272</v>
      </c>
      <c r="L184" s="89" t="s">
        <v>21</v>
      </c>
      <c r="M184" s="90">
        <v>36892</v>
      </c>
      <c r="N184" s="90">
        <v>401404</v>
      </c>
      <c r="O184" s="90">
        <v>39307</v>
      </c>
    </row>
    <row r="185" spans="1:15">
      <c r="A185" s="83" t="str">
        <f t="shared" si="2"/>
        <v>22830001280327</v>
      </c>
      <c r="B185" s="84">
        <v>2283000</v>
      </c>
      <c r="C185" s="84">
        <v>1</v>
      </c>
      <c r="D185" s="84">
        <v>280327</v>
      </c>
      <c r="E185" s="84" t="s">
        <v>266</v>
      </c>
      <c r="F185" s="89" t="s">
        <v>267</v>
      </c>
      <c r="G185" s="89" t="s">
        <v>268</v>
      </c>
      <c r="H185" s="89" t="s">
        <v>286</v>
      </c>
      <c r="I185" s="89" t="s">
        <v>270</v>
      </c>
      <c r="J185" s="89" t="s">
        <v>271</v>
      </c>
      <c r="K185" s="89" t="s">
        <v>272</v>
      </c>
      <c r="L185" s="89" t="s">
        <v>21</v>
      </c>
      <c r="M185" s="90">
        <v>36892</v>
      </c>
      <c r="N185" s="90">
        <v>401404</v>
      </c>
      <c r="O185" s="90">
        <v>39307</v>
      </c>
    </row>
    <row r="186" spans="1:15">
      <c r="A186" s="83" t="str">
        <f t="shared" si="2"/>
        <v>22830001280330</v>
      </c>
      <c r="B186" s="84">
        <v>2283000</v>
      </c>
      <c r="C186" s="84">
        <v>1</v>
      </c>
      <c r="D186" s="84">
        <v>280330</v>
      </c>
      <c r="E186" s="84" t="s">
        <v>266</v>
      </c>
      <c r="F186" s="89" t="s">
        <v>267</v>
      </c>
      <c r="G186" s="89" t="s">
        <v>268</v>
      </c>
      <c r="H186" s="89" t="s">
        <v>286</v>
      </c>
      <c r="I186" s="89" t="s">
        <v>270</v>
      </c>
      <c r="J186" s="89" t="s">
        <v>275</v>
      </c>
      <c r="K186" s="89" t="s">
        <v>272</v>
      </c>
      <c r="L186" s="89" t="s">
        <v>273</v>
      </c>
      <c r="M186" s="90">
        <v>36892</v>
      </c>
      <c r="N186" s="90">
        <v>401404</v>
      </c>
      <c r="O186" s="90">
        <v>40968</v>
      </c>
    </row>
    <row r="187" spans="1:15">
      <c r="A187" s="83" t="str">
        <f t="shared" si="2"/>
        <v>22830001280331</v>
      </c>
      <c r="B187" s="84">
        <v>2283000</v>
      </c>
      <c r="C187" s="84">
        <v>1</v>
      </c>
      <c r="D187" s="84">
        <v>280331</v>
      </c>
      <c r="E187" s="84" t="s">
        <v>266</v>
      </c>
      <c r="F187" s="89" t="s">
        <v>267</v>
      </c>
      <c r="G187" s="89" t="s">
        <v>268</v>
      </c>
      <c r="H187" s="89" t="s">
        <v>286</v>
      </c>
      <c r="I187" s="89" t="s">
        <v>270</v>
      </c>
      <c r="J187" s="89" t="s">
        <v>271</v>
      </c>
      <c r="K187" s="89" t="s">
        <v>272</v>
      </c>
      <c r="L187" s="89" t="s">
        <v>21</v>
      </c>
      <c r="M187" s="90">
        <v>36892</v>
      </c>
      <c r="N187" s="90">
        <v>401404</v>
      </c>
      <c r="O187" s="90">
        <v>39307</v>
      </c>
    </row>
    <row r="188" spans="1:15">
      <c r="A188" s="83" t="str">
        <f t="shared" si="2"/>
        <v>22830001280332</v>
      </c>
      <c r="B188" s="84">
        <v>2283000</v>
      </c>
      <c r="C188" s="84">
        <v>1</v>
      </c>
      <c r="D188" s="84">
        <v>280332</v>
      </c>
      <c r="E188" s="84" t="s">
        <v>266</v>
      </c>
      <c r="F188" s="89" t="s">
        <v>267</v>
      </c>
      <c r="G188" s="89" t="s">
        <v>268</v>
      </c>
      <c r="H188" s="89" t="s">
        <v>286</v>
      </c>
      <c r="I188" s="89" t="s">
        <v>270</v>
      </c>
      <c r="J188" s="89" t="s">
        <v>271</v>
      </c>
      <c r="K188" s="89" t="s">
        <v>272</v>
      </c>
      <c r="L188" s="89" t="s">
        <v>21</v>
      </c>
      <c r="M188" s="90">
        <v>36892</v>
      </c>
      <c r="N188" s="90">
        <v>401404</v>
      </c>
      <c r="O188" s="90">
        <v>39307</v>
      </c>
    </row>
    <row r="189" spans="1:15">
      <c r="A189" s="83" t="str">
        <f t="shared" si="2"/>
        <v>22830001280333</v>
      </c>
      <c r="B189" s="84">
        <v>2283000</v>
      </c>
      <c r="C189" s="84">
        <v>1</v>
      </c>
      <c r="D189" s="84">
        <v>280333</v>
      </c>
      <c r="E189" s="84" t="s">
        <v>266</v>
      </c>
      <c r="F189" s="89" t="s">
        <v>267</v>
      </c>
      <c r="G189" s="89" t="s">
        <v>268</v>
      </c>
      <c r="H189" s="89" t="s">
        <v>286</v>
      </c>
      <c r="I189" s="89" t="s">
        <v>270</v>
      </c>
      <c r="J189" s="89" t="s">
        <v>271</v>
      </c>
      <c r="K189" s="89" t="s">
        <v>272</v>
      </c>
      <c r="L189" s="89" t="s">
        <v>21</v>
      </c>
      <c r="M189" s="90">
        <v>36892</v>
      </c>
      <c r="N189" s="90">
        <v>401404</v>
      </c>
      <c r="O189" s="90">
        <v>39307</v>
      </c>
    </row>
    <row r="190" spans="1:15">
      <c r="A190" s="83" t="str">
        <f t="shared" si="2"/>
        <v>22830001280349</v>
      </c>
      <c r="B190" s="84">
        <v>2283000</v>
      </c>
      <c r="C190" s="84">
        <v>1</v>
      </c>
      <c r="D190" s="84">
        <v>280349</v>
      </c>
      <c r="E190" s="84" t="s">
        <v>266</v>
      </c>
      <c r="F190" s="89" t="s">
        <v>267</v>
      </c>
      <c r="G190" s="89" t="s">
        <v>292</v>
      </c>
      <c r="H190" s="89" t="s">
        <v>286</v>
      </c>
      <c r="I190" s="89" t="s">
        <v>270</v>
      </c>
      <c r="J190" s="89" t="s">
        <v>271</v>
      </c>
      <c r="K190" s="89" t="s">
        <v>272</v>
      </c>
      <c r="L190" s="89" t="s">
        <v>273</v>
      </c>
      <c r="M190" s="90">
        <v>36892</v>
      </c>
      <c r="N190" s="90">
        <v>401404</v>
      </c>
      <c r="O190" s="90">
        <v>39307</v>
      </c>
    </row>
    <row r="191" spans="1:15">
      <c r="A191" s="83" t="str">
        <f t="shared" si="2"/>
        <v>22830001280490</v>
      </c>
      <c r="B191" s="84">
        <v>2283000</v>
      </c>
      <c r="C191" s="84">
        <v>1</v>
      </c>
      <c r="D191" s="84">
        <v>280490</v>
      </c>
      <c r="E191" s="84" t="s">
        <v>266</v>
      </c>
      <c r="F191" s="89" t="s">
        <v>267</v>
      </c>
      <c r="G191" s="89" t="s">
        <v>268</v>
      </c>
      <c r="H191" s="89" t="s">
        <v>286</v>
      </c>
      <c r="I191" s="89" t="s">
        <v>270</v>
      </c>
      <c r="J191" s="89" t="s">
        <v>271</v>
      </c>
      <c r="K191" s="89" t="s">
        <v>272</v>
      </c>
      <c r="L191" s="89" t="s">
        <v>273</v>
      </c>
      <c r="M191" s="90">
        <v>36892</v>
      </c>
      <c r="N191" s="90">
        <v>401404</v>
      </c>
      <c r="O191" s="90">
        <v>39307</v>
      </c>
    </row>
    <row r="192" spans="1:15">
      <c r="A192" s="83" t="str">
        <f t="shared" si="2"/>
        <v>22830009280328</v>
      </c>
      <c r="B192" s="84">
        <v>2283000</v>
      </c>
      <c r="C192" s="84">
        <v>9</v>
      </c>
      <c r="D192" s="84">
        <v>280328</v>
      </c>
      <c r="E192" s="84" t="s">
        <v>266</v>
      </c>
      <c r="F192" s="89" t="s">
        <v>267</v>
      </c>
      <c r="G192" s="89" t="s">
        <v>292</v>
      </c>
      <c r="H192" s="89" t="s">
        <v>286</v>
      </c>
      <c r="I192" s="89" t="s">
        <v>270</v>
      </c>
      <c r="J192" s="89" t="s">
        <v>271</v>
      </c>
      <c r="K192" s="89" t="s">
        <v>272</v>
      </c>
      <c r="L192" s="89" t="s">
        <v>21</v>
      </c>
      <c r="M192" s="90">
        <v>36892</v>
      </c>
      <c r="N192" s="90">
        <v>36892</v>
      </c>
      <c r="O192" s="90">
        <v>39307</v>
      </c>
    </row>
    <row r="193" spans="1:15">
      <c r="A193" s="83" t="str">
        <f t="shared" si="2"/>
        <v>2283000906280331</v>
      </c>
      <c r="B193" s="84">
        <v>2283000</v>
      </c>
      <c r="C193" s="84">
        <v>906</v>
      </c>
      <c r="D193" s="84">
        <v>280331</v>
      </c>
      <c r="E193" s="84" t="s">
        <v>266</v>
      </c>
      <c r="F193" s="89" t="s">
        <v>267</v>
      </c>
      <c r="G193" s="89" t="s">
        <v>268</v>
      </c>
      <c r="H193" s="89" t="s">
        <v>286</v>
      </c>
      <c r="I193" s="89" t="s">
        <v>270</v>
      </c>
      <c r="J193" s="89" t="s">
        <v>271</v>
      </c>
      <c r="K193" s="89" t="s">
        <v>272</v>
      </c>
      <c r="L193" s="89" t="s">
        <v>21</v>
      </c>
      <c r="M193" s="90">
        <v>36892</v>
      </c>
      <c r="N193" s="90">
        <v>401404</v>
      </c>
      <c r="O193" s="90">
        <v>39307</v>
      </c>
    </row>
    <row r="194" spans="1:15">
      <c r="A194" s="83" t="str">
        <f t="shared" si="2"/>
        <v>2283000906280332</v>
      </c>
      <c r="B194" s="84">
        <v>2283000</v>
      </c>
      <c r="C194" s="84">
        <v>906</v>
      </c>
      <c r="D194" s="84">
        <v>280332</v>
      </c>
      <c r="E194" s="84" t="s">
        <v>266</v>
      </c>
      <c r="F194" s="89" t="s">
        <v>267</v>
      </c>
      <c r="G194" s="89" t="s">
        <v>268</v>
      </c>
      <c r="H194" s="89" t="s">
        <v>286</v>
      </c>
      <c r="I194" s="89" t="s">
        <v>270</v>
      </c>
      <c r="J194" s="89" t="s">
        <v>271</v>
      </c>
      <c r="K194" s="89" t="s">
        <v>272</v>
      </c>
      <c r="L194" s="89" t="s">
        <v>21</v>
      </c>
      <c r="M194" s="90">
        <v>36892</v>
      </c>
      <c r="N194" s="90">
        <v>401404</v>
      </c>
      <c r="O194" s="90">
        <v>39307</v>
      </c>
    </row>
    <row r="195" spans="1:15">
      <c r="A195" s="83" t="str">
        <f t="shared" ref="A195:A258" si="3">B195&amp;C195&amp;D195</f>
        <v>2283000906280333</v>
      </c>
      <c r="B195" s="84">
        <v>2283000</v>
      </c>
      <c r="C195" s="84">
        <v>906</v>
      </c>
      <c r="D195" s="84">
        <v>280333</v>
      </c>
      <c r="E195" s="84" t="s">
        <v>266</v>
      </c>
      <c r="F195" s="89" t="s">
        <v>267</v>
      </c>
      <c r="G195" s="89" t="s">
        <v>268</v>
      </c>
      <c r="H195" s="89" t="s">
        <v>286</v>
      </c>
      <c r="I195" s="89" t="s">
        <v>270</v>
      </c>
      <c r="J195" s="89" t="s">
        <v>271</v>
      </c>
      <c r="K195" s="89" t="s">
        <v>272</v>
      </c>
      <c r="L195" s="89" t="s">
        <v>21</v>
      </c>
      <c r="M195" s="90">
        <v>36892</v>
      </c>
      <c r="N195" s="90">
        <v>401404</v>
      </c>
      <c r="O195" s="90">
        <v>39307</v>
      </c>
    </row>
    <row r="196" spans="1:15">
      <c r="A196" s="83" t="str">
        <f t="shared" si="3"/>
        <v>22830009031280319</v>
      </c>
      <c r="B196" s="84">
        <v>2283000</v>
      </c>
      <c r="C196" s="84">
        <v>9031</v>
      </c>
      <c r="D196" s="84">
        <v>280319</v>
      </c>
      <c r="E196" s="84" t="s">
        <v>266</v>
      </c>
      <c r="F196" s="89" t="s">
        <v>267</v>
      </c>
      <c r="G196" s="89" t="s">
        <v>292</v>
      </c>
      <c r="H196" s="89" t="s">
        <v>286</v>
      </c>
      <c r="I196" s="89" t="s">
        <v>270</v>
      </c>
      <c r="J196" s="89" t="s">
        <v>271</v>
      </c>
      <c r="K196" s="89" t="s">
        <v>272</v>
      </c>
      <c r="L196" s="89" t="s">
        <v>21</v>
      </c>
      <c r="M196" s="90">
        <v>36892</v>
      </c>
      <c r="N196" s="90">
        <v>401404</v>
      </c>
      <c r="O196" s="90">
        <v>39307</v>
      </c>
    </row>
    <row r="197" spans="1:15">
      <c r="A197" s="83" t="str">
        <f t="shared" si="3"/>
        <v>22830001220920</v>
      </c>
      <c r="B197" s="84">
        <v>2283000</v>
      </c>
      <c r="C197" s="84">
        <v>122092</v>
      </c>
      <c r="D197" s="84">
        <v>0</v>
      </c>
      <c r="E197" s="84" t="s">
        <v>266</v>
      </c>
      <c r="F197" s="89" t="s">
        <v>267</v>
      </c>
      <c r="G197" s="89" t="s">
        <v>292</v>
      </c>
      <c r="H197" s="89" t="s">
        <v>286</v>
      </c>
      <c r="I197" s="89" t="s">
        <v>270</v>
      </c>
      <c r="J197" s="89" t="s">
        <v>271</v>
      </c>
      <c r="K197" s="89" t="s">
        <v>272</v>
      </c>
      <c r="L197" s="89" t="s">
        <v>21</v>
      </c>
      <c r="M197" s="90">
        <v>36892</v>
      </c>
      <c r="N197" s="90">
        <v>401404</v>
      </c>
      <c r="O197" s="90">
        <v>39307</v>
      </c>
    </row>
    <row r="198" spans="1:15">
      <c r="A198" s="83" t="str">
        <f t="shared" si="3"/>
        <v>2283000122092187240</v>
      </c>
      <c r="B198" s="84">
        <v>2283000</v>
      </c>
      <c r="C198" s="84">
        <v>122092</v>
      </c>
      <c r="D198" s="84">
        <v>187240</v>
      </c>
      <c r="E198" s="84" t="s">
        <v>266</v>
      </c>
      <c r="F198" s="89" t="s">
        <v>267</v>
      </c>
      <c r="G198" s="89" t="s">
        <v>292</v>
      </c>
      <c r="H198" s="89" t="s">
        <v>286</v>
      </c>
      <c r="I198" s="89" t="s">
        <v>270</v>
      </c>
      <c r="J198" s="89" t="s">
        <v>271</v>
      </c>
      <c r="K198" s="89" t="s">
        <v>272</v>
      </c>
      <c r="L198" s="89" t="s">
        <v>21</v>
      </c>
      <c r="M198" s="90">
        <v>36892</v>
      </c>
      <c r="N198" s="90">
        <v>401404</v>
      </c>
      <c r="O198" s="90">
        <v>39307</v>
      </c>
    </row>
    <row r="199" spans="1:15">
      <c r="A199" s="83" t="str">
        <f t="shared" si="3"/>
        <v>2283000122092280319</v>
      </c>
      <c r="B199" s="84">
        <v>2283000</v>
      </c>
      <c r="C199" s="84">
        <v>122092</v>
      </c>
      <c r="D199" s="84">
        <v>280319</v>
      </c>
      <c r="E199" s="84" t="s">
        <v>266</v>
      </c>
      <c r="F199" s="89" t="s">
        <v>267</v>
      </c>
      <c r="G199" s="89" t="s">
        <v>292</v>
      </c>
      <c r="H199" s="89" t="s">
        <v>286</v>
      </c>
      <c r="I199" s="89" t="s">
        <v>270</v>
      </c>
      <c r="J199" s="89" t="s">
        <v>271</v>
      </c>
      <c r="K199" s="89" t="s">
        <v>272</v>
      </c>
      <c r="L199" s="89" t="s">
        <v>21</v>
      </c>
      <c r="M199" s="90">
        <v>36892</v>
      </c>
      <c r="N199" s="90">
        <v>401404</v>
      </c>
      <c r="O199" s="90">
        <v>39307</v>
      </c>
    </row>
    <row r="200" spans="1:15">
      <c r="A200" s="83" t="str">
        <f t="shared" si="3"/>
        <v>2283000122092280325</v>
      </c>
      <c r="B200" s="84">
        <v>2283000</v>
      </c>
      <c r="C200" s="84">
        <v>122092</v>
      </c>
      <c r="D200" s="84">
        <v>280325</v>
      </c>
      <c r="E200" s="84" t="s">
        <v>266</v>
      </c>
      <c r="F200" s="89" t="s">
        <v>267</v>
      </c>
      <c r="G200" s="89" t="s">
        <v>268</v>
      </c>
      <c r="H200" s="89" t="s">
        <v>286</v>
      </c>
      <c r="I200" s="89" t="s">
        <v>270</v>
      </c>
      <c r="J200" s="89" t="s">
        <v>271</v>
      </c>
      <c r="K200" s="89" t="s">
        <v>272</v>
      </c>
      <c r="L200" s="89" t="s">
        <v>21</v>
      </c>
      <c r="M200" s="90">
        <v>36892</v>
      </c>
      <c r="N200" s="90">
        <v>401404</v>
      </c>
      <c r="O200" s="90">
        <v>39307</v>
      </c>
    </row>
    <row r="201" spans="1:15">
      <c r="A201" s="83" t="str">
        <f t="shared" si="3"/>
        <v>2283000122092280327</v>
      </c>
      <c r="B201" s="84">
        <v>2283000</v>
      </c>
      <c r="C201" s="84">
        <v>122092</v>
      </c>
      <c r="D201" s="84">
        <v>280327</v>
      </c>
      <c r="E201" s="84" t="s">
        <v>266</v>
      </c>
      <c r="F201" s="89" t="s">
        <v>267</v>
      </c>
      <c r="G201" s="89" t="s">
        <v>268</v>
      </c>
      <c r="H201" s="89" t="s">
        <v>286</v>
      </c>
      <c r="I201" s="89" t="s">
        <v>270</v>
      </c>
      <c r="J201" s="89" t="s">
        <v>271</v>
      </c>
      <c r="K201" s="89" t="s">
        <v>272</v>
      </c>
      <c r="L201" s="89" t="s">
        <v>21</v>
      </c>
      <c r="M201" s="90">
        <v>36892</v>
      </c>
      <c r="N201" s="90">
        <v>401404</v>
      </c>
      <c r="O201" s="90">
        <v>39307</v>
      </c>
    </row>
    <row r="202" spans="1:15">
      <c r="A202" s="83" t="str">
        <f t="shared" si="3"/>
        <v>2283000122092280328</v>
      </c>
      <c r="B202" s="84">
        <v>2283000</v>
      </c>
      <c r="C202" s="84">
        <v>122092</v>
      </c>
      <c r="D202" s="84">
        <v>280328</v>
      </c>
      <c r="E202" s="84" t="s">
        <v>266</v>
      </c>
      <c r="F202" s="89" t="s">
        <v>267</v>
      </c>
      <c r="G202" s="89" t="s">
        <v>268</v>
      </c>
      <c r="H202" s="89" t="s">
        <v>286</v>
      </c>
      <c r="I202" s="89" t="s">
        <v>270</v>
      </c>
      <c r="J202" s="89" t="s">
        <v>271</v>
      </c>
      <c r="K202" s="89" t="s">
        <v>272</v>
      </c>
      <c r="L202" s="89" t="s">
        <v>21</v>
      </c>
      <c r="M202" s="90">
        <v>36892</v>
      </c>
      <c r="N202" s="90">
        <v>401404</v>
      </c>
      <c r="O202" s="90">
        <v>39307</v>
      </c>
    </row>
    <row r="203" spans="1:15">
      <c r="A203" s="83" t="str">
        <f t="shared" si="3"/>
        <v>2283000122092280330</v>
      </c>
      <c r="B203" s="84">
        <v>2283000</v>
      </c>
      <c r="C203" s="84">
        <v>122092</v>
      </c>
      <c r="D203" s="84">
        <v>280330</v>
      </c>
      <c r="E203" s="84" t="s">
        <v>266</v>
      </c>
      <c r="F203" s="89" t="s">
        <v>267</v>
      </c>
      <c r="G203" s="89" t="s">
        <v>268</v>
      </c>
      <c r="H203" s="89" t="s">
        <v>286</v>
      </c>
      <c r="I203" s="89" t="s">
        <v>270</v>
      </c>
      <c r="J203" s="89" t="s">
        <v>275</v>
      </c>
      <c r="K203" s="89" t="s">
        <v>272</v>
      </c>
      <c r="L203" s="89" t="s">
        <v>21</v>
      </c>
      <c r="M203" s="90">
        <v>36892</v>
      </c>
      <c r="N203" s="90">
        <v>401404</v>
      </c>
      <c r="O203" s="90">
        <v>40968</v>
      </c>
    </row>
    <row r="204" spans="1:15">
      <c r="A204" s="83" t="str">
        <f t="shared" si="3"/>
        <v>2283000122092280331</v>
      </c>
      <c r="B204" s="84">
        <v>2283000</v>
      </c>
      <c r="C204" s="84">
        <v>122092</v>
      </c>
      <c r="D204" s="84">
        <v>280331</v>
      </c>
      <c r="E204" s="84" t="s">
        <v>266</v>
      </c>
      <c r="F204" s="89" t="s">
        <v>267</v>
      </c>
      <c r="G204" s="89" t="s">
        <v>268</v>
      </c>
      <c r="H204" s="89" t="s">
        <v>286</v>
      </c>
      <c r="I204" s="89" t="s">
        <v>270</v>
      </c>
      <c r="J204" s="89" t="s">
        <v>271</v>
      </c>
      <c r="K204" s="89" t="s">
        <v>272</v>
      </c>
      <c r="L204" s="89" t="s">
        <v>21</v>
      </c>
      <c r="M204" s="90">
        <v>36892</v>
      </c>
      <c r="N204" s="90">
        <v>401404</v>
      </c>
      <c r="O204" s="90">
        <v>39307</v>
      </c>
    </row>
    <row r="205" spans="1:15">
      <c r="A205" s="83" t="str">
        <f t="shared" si="3"/>
        <v>2283000122092280332</v>
      </c>
      <c r="B205" s="84">
        <v>2283000</v>
      </c>
      <c r="C205" s="84">
        <v>122092</v>
      </c>
      <c r="D205" s="84">
        <v>280332</v>
      </c>
      <c r="E205" s="84" t="s">
        <v>266</v>
      </c>
      <c r="F205" s="89" t="s">
        <v>267</v>
      </c>
      <c r="G205" s="89" t="s">
        <v>268</v>
      </c>
      <c r="H205" s="89" t="s">
        <v>286</v>
      </c>
      <c r="I205" s="89" t="s">
        <v>270</v>
      </c>
      <c r="J205" s="89" t="s">
        <v>271</v>
      </c>
      <c r="K205" s="89" t="s">
        <v>272</v>
      </c>
      <c r="L205" s="89" t="s">
        <v>21</v>
      </c>
      <c r="M205" s="90">
        <v>36892</v>
      </c>
      <c r="N205" s="90">
        <v>401404</v>
      </c>
      <c r="O205" s="90">
        <v>39307</v>
      </c>
    </row>
    <row r="206" spans="1:15">
      <c r="A206" s="83" t="str">
        <f t="shared" si="3"/>
        <v>2283000122092280333</v>
      </c>
      <c r="B206" s="84">
        <v>2283000</v>
      </c>
      <c r="C206" s="84">
        <v>122092</v>
      </c>
      <c r="D206" s="84">
        <v>280333</v>
      </c>
      <c r="E206" s="84" t="s">
        <v>266</v>
      </c>
      <c r="F206" s="89" t="s">
        <v>267</v>
      </c>
      <c r="G206" s="89" t="s">
        <v>268</v>
      </c>
      <c r="H206" s="89" t="s">
        <v>286</v>
      </c>
      <c r="I206" s="89" t="s">
        <v>270</v>
      </c>
      <c r="J206" s="89" t="s">
        <v>271</v>
      </c>
      <c r="K206" s="89" t="s">
        <v>272</v>
      </c>
      <c r="L206" s="89" t="s">
        <v>21</v>
      </c>
      <c r="M206" s="90">
        <v>36892</v>
      </c>
      <c r="N206" s="90">
        <v>401404</v>
      </c>
      <c r="O206" s="90">
        <v>39307</v>
      </c>
    </row>
    <row r="207" spans="1:15">
      <c r="A207" s="83" t="str">
        <f t="shared" si="3"/>
        <v>2283000122092280349</v>
      </c>
      <c r="B207" s="84">
        <v>2283000</v>
      </c>
      <c r="C207" s="84">
        <v>122092</v>
      </c>
      <c r="D207" s="84">
        <v>280349</v>
      </c>
      <c r="E207" s="84" t="s">
        <v>266</v>
      </c>
      <c r="F207" s="89" t="s">
        <v>267</v>
      </c>
      <c r="G207" s="89" t="s">
        <v>292</v>
      </c>
      <c r="H207" s="89" t="s">
        <v>286</v>
      </c>
      <c r="I207" s="89" t="s">
        <v>270</v>
      </c>
      <c r="J207" s="89" t="s">
        <v>271</v>
      </c>
      <c r="K207" s="89" t="s">
        <v>272</v>
      </c>
      <c r="L207" s="89" t="s">
        <v>21</v>
      </c>
      <c r="M207" s="90">
        <v>36892</v>
      </c>
      <c r="N207" s="90">
        <v>401404</v>
      </c>
      <c r="O207" s="90">
        <v>39307</v>
      </c>
    </row>
    <row r="208" spans="1:15">
      <c r="A208" s="83" t="str">
        <f t="shared" si="3"/>
        <v>2283000122092280490</v>
      </c>
      <c r="B208" s="84">
        <v>2283000</v>
      </c>
      <c r="C208" s="84">
        <v>122092</v>
      </c>
      <c r="D208" s="84">
        <v>280490</v>
      </c>
      <c r="E208" s="84" t="s">
        <v>266</v>
      </c>
      <c r="F208" s="89" t="s">
        <v>267</v>
      </c>
      <c r="G208" s="89" t="s">
        <v>268</v>
      </c>
      <c r="H208" s="89" t="s">
        <v>286</v>
      </c>
      <c r="I208" s="89" t="s">
        <v>270</v>
      </c>
      <c r="J208" s="89" t="s">
        <v>271</v>
      </c>
      <c r="K208" s="89" t="s">
        <v>272</v>
      </c>
      <c r="L208" s="89" t="s">
        <v>21</v>
      </c>
      <c r="M208" s="90">
        <v>36892</v>
      </c>
      <c r="N208" s="90">
        <v>401404</v>
      </c>
      <c r="O208" s="90">
        <v>39307</v>
      </c>
    </row>
    <row r="209" spans="1:15">
      <c r="A209" s="83" t="str">
        <f t="shared" si="3"/>
        <v>2283000202000280330</v>
      </c>
      <c r="B209" s="84">
        <v>2283000</v>
      </c>
      <c r="C209" s="84">
        <v>202000</v>
      </c>
      <c r="D209" s="84">
        <v>280330</v>
      </c>
      <c r="E209" s="84" t="s">
        <v>266</v>
      </c>
      <c r="F209" s="89" t="s">
        <v>267</v>
      </c>
      <c r="G209" s="89" t="s">
        <v>268</v>
      </c>
      <c r="H209" s="89" t="s">
        <v>286</v>
      </c>
      <c r="I209" s="89" t="s">
        <v>270</v>
      </c>
      <c r="J209" s="89" t="s">
        <v>275</v>
      </c>
      <c r="K209" s="89" t="s">
        <v>272</v>
      </c>
      <c r="L209" s="89" t="s">
        <v>21</v>
      </c>
      <c r="M209" s="90">
        <v>36892</v>
      </c>
      <c r="N209" s="90">
        <v>401404</v>
      </c>
      <c r="O209" s="90">
        <v>40968</v>
      </c>
    </row>
    <row r="210" spans="1:15">
      <c r="A210" s="83" t="str">
        <f t="shared" si="3"/>
        <v>228340010</v>
      </c>
      <c r="B210" s="84">
        <v>2283400</v>
      </c>
      <c r="C210" s="84">
        <v>1</v>
      </c>
      <c r="D210" s="84">
        <v>0</v>
      </c>
      <c r="E210" s="84" t="s">
        <v>266</v>
      </c>
      <c r="F210" s="89" t="s">
        <v>267</v>
      </c>
      <c r="G210" s="89" t="s">
        <v>268</v>
      </c>
      <c r="H210" s="89" t="s">
        <v>286</v>
      </c>
      <c r="I210" s="89" t="s">
        <v>270</v>
      </c>
      <c r="J210" s="89" t="s">
        <v>271</v>
      </c>
      <c r="K210" s="89" t="s">
        <v>272</v>
      </c>
      <c r="L210" s="89" t="s">
        <v>21</v>
      </c>
      <c r="M210" s="90">
        <v>36892</v>
      </c>
      <c r="N210" s="90">
        <v>401404</v>
      </c>
      <c r="O210" s="90">
        <v>39307</v>
      </c>
    </row>
    <row r="211" spans="1:15">
      <c r="A211" s="83" t="str">
        <f t="shared" si="3"/>
        <v>22834001280321</v>
      </c>
      <c r="B211" s="84">
        <v>2283400</v>
      </c>
      <c r="C211" s="84">
        <v>1</v>
      </c>
      <c r="D211" s="84">
        <v>280321</v>
      </c>
      <c r="E211" s="84" t="s">
        <v>266</v>
      </c>
      <c r="F211" s="89" t="s">
        <v>267</v>
      </c>
      <c r="G211" s="89" t="s">
        <v>292</v>
      </c>
      <c r="H211" s="89" t="s">
        <v>286</v>
      </c>
      <c r="I211" s="89" t="s">
        <v>270</v>
      </c>
      <c r="J211" s="89" t="s">
        <v>271</v>
      </c>
      <c r="K211" s="89" t="s">
        <v>272</v>
      </c>
      <c r="L211" s="89" t="s">
        <v>21</v>
      </c>
      <c r="M211" s="90">
        <v>36892</v>
      </c>
      <c r="N211" s="90">
        <v>401404</v>
      </c>
      <c r="O211" s="90">
        <v>39307</v>
      </c>
    </row>
    <row r="212" spans="1:15">
      <c r="A212" s="83" t="str">
        <f t="shared" si="3"/>
        <v>22834001280322</v>
      </c>
      <c r="B212" s="84">
        <v>2283400</v>
      </c>
      <c r="C212" s="84">
        <v>1</v>
      </c>
      <c r="D212" s="84">
        <v>280322</v>
      </c>
      <c r="E212" s="84" t="s">
        <v>266</v>
      </c>
      <c r="F212" s="89" t="s">
        <v>267</v>
      </c>
      <c r="G212" s="89" t="s">
        <v>268</v>
      </c>
      <c r="H212" s="89" t="s">
        <v>286</v>
      </c>
      <c r="I212" s="89" t="s">
        <v>270</v>
      </c>
      <c r="J212" s="89" t="s">
        <v>271</v>
      </c>
      <c r="K212" s="89" t="s">
        <v>272</v>
      </c>
      <c r="L212" s="89" t="s">
        <v>21</v>
      </c>
      <c r="M212" s="90">
        <v>36892</v>
      </c>
      <c r="N212" s="90">
        <v>401404</v>
      </c>
      <c r="O212" s="90">
        <v>39307</v>
      </c>
    </row>
    <row r="213" spans="1:15">
      <c r="A213" s="83" t="str">
        <f t="shared" si="3"/>
        <v>22834001280323</v>
      </c>
      <c r="B213" s="84">
        <v>2283400</v>
      </c>
      <c r="C213" s="84">
        <v>1</v>
      </c>
      <c r="D213" s="84">
        <v>280323</v>
      </c>
      <c r="E213" s="84" t="s">
        <v>266</v>
      </c>
      <c r="F213" s="89" t="s">
        <v>267</v>
      </c>
      <c r="G213" s="89" t="s">
        <v>268</v>
      </c>
      <c r="H213" s="89" t="s">
        <v>286</v>
      </c>
      <c r="I213" s="89" t="s">
        <v>270</v>
      </c>
      <c r="J213" s="89" t="s">
        <v>271</v>
      </c>
      <c r="K213" s="89" t="s">
        <v>272</v>
      </c>
      <c r="L213" s="89" t="s">
        <v>21</v>
      </c>
      <c r="M213" s="90">
        <v>36892</v>
      </c>
      <c r="N213" s="90">
        <v>401404</v>
      </c>
      <c r="O213" s="90">
        <v>39307</v>
      </c>
    </row>
    <row r="214" spans="1:15">
      <c r="A214" s="83" t="str">
        <f t="shared" si="3"/>
        <v>22834001280324</v>
      </c>
      <c r="B214" s="84">
        <v>2283400</v>
      </c>
      <c r="C214" s="84">
        <v>1</v>
      </c>
      <c r="D214" s="84">
        <v>280324</v>
      </c>
      <c r="E214" s="84" t="s">
        <v>266</v>
      </c>
      <c r="F214" s="89" t="s">
        <v>267</v>
      </c>
      <c r="G214" s="89" t="s">
        <v>268</v>
      </c>
      <c r="H214" s="89" t="s">
        <v>286</v>
      </c>
      <c r="I214" s="89" t="s">
        <v>270</v>
      </c>
      <c r="J214" s="89" t="s">
        <v>271</v>
      </c>
      <c r="K214" s="89" t="s">
        <v>272</v>
      </c>
      <c r="L214" s="89" t="s">
        <v>21</v>
      </c>
      <c r="M214" s="90">
        <v>36892</v>
      </c>
      <c r="N214" s="90">
        <v>401404</v>
      </c>
      <c r="O214" s="90">
        <v>39307</v>
      </c>
    </row>
    <row r="215" spans="1:15">
      <c r="A215" s="83" t="str">
        <f t="shared" si="3"/>
        <v>22834001280326</v>
      </c>
      <c r="B215" s="84">
        <v>2283400</v>
      </c>
      <c r="C215" s="84">
        <v>1</v>
      </c>
      <c r="D215" s="84">
        <v>280326</v>
      </c>
      <c r="E215" s="84" t="s">
        <v>266</v>
      </c>
      <c r="F215" s="89" t="s">
        <v>267</v>
      </c>
      <c r="G215" s="89" t="s">
        <v>268</v>
      </c>
      <c r="H215" s="89" t="s">
        <v>286</v>
      </c>
      <c r="I215" s="89" t="s">
        <v>270</v>
      </c>
      <c r="J215" s="89" t="s">
        <v>271</v>
      </c>
      <c r="K215" s="89" t="s">
        <v>272</v>
      </c>
      <c r="L215" s="89" t="s">
        <v>21</v>
      </c>
      <c r="M215" s="90">
        <v>36892</v>
      </c>
      <c r="N215" s="90">
        <v>401404</v>
      </c>
      <c r="O215" s="90">
        <v>39307</v>
      </c>
    </row>
    <row r="216" spans="1:15">
      <c r="A216" s="83" t="str">
        <f t="shared" si="3"/>
        <v>22834001280328</v>
      </c>
      <c r="B216" s="84">
        <v>2283400</v>
      </c>
      <c r="C216" s="84">
        <v>1</v>
      </c>
      <c r="D216" s="84">
        <v>280328</v>
      </c>
      <c r="E216" s="84" t="s">
        <v>266</v>
      </c>
      <c r="F216" s="89" t="s">
        <v>267</v>
      </c>
      <c r="G216" s="89" t="s">
        <v>268</v>
      </c>
      <c r="H216" s="89" t="s">
        <v>286</v>
      </c>
      <c r="I216" s="89" t="s">
        <v>270</v>
      </c>
      <c r="J216" s="89" t="s">
        <v>271</v>
      </c>
      <c r="K216" s="89" t="s">
        <v>272</v>
      </c>
      <c r="L216" s="89" t="s">
        <v>273</v>
      </c>
      <c r="M216" s="90">
        <v>36892</v>
      </c>
      <c r="N216" s="90">
        <v>401404</v>
      </c>
      <c r="O216" s="90">
        <v>39307</v>
      </c>
    </row>
    <row r="217" spans="1:15">
      <c r="A217" s="83" t="str">
        <f t="shared" si="3"/>
        <v>22834001280329</v>
      </c>
      <c r="B217" s="84">
        <v>2283400</v>
      </c>
      <c r="C217" s="84">
        <v>1</v>
      </c>
      <c r="D217" s="84">
        <v>280329</v>
      </c>
      <c r="E217" s="84" t="s">
        <v>266</v>
      </c>
      <c r="F217" s="89" t="s">
        <v>267</v>
      </c>
      <c r="G217" s="89" t="s">
        <v>268</v>
      </c>
      <c r="H217" s="89" t="s">
        <v>286</v>
      </c>
      <c r="I217" s="89" t="s">
        <v>270</v>
      </c>
      <c r="J217" s="89" t="s">
        <v>271</v>
      </c>
      <c r="K217" s="89" t="s">
        <v>272</v>
      </c>
      <c r="L217" s="89" t="s">
        <v>273</v>
      </c>
      <c r="M217" s="90">
        <v>36892</v>
      </c>
      <c r="N217" s="90">
        <v>401404</v>
      </c>
      <c r="O217" s="90">
        <v>39307</v>
      </c>
    </row>
    <row r="218" spans="1:15">
      <c r="A218" s="83" t="str">
        <f t="shared" si="3"/>
        <v>22834001280440</v>
      </c>
      <c r="B218" s="84">
        <v>2283400</v>
      </c>
      <c r="C218" s="84">
        <v>1</v>
      </c>
      <c r="D218" s="84">
        <v>280440</v>
      </c>
      <c r="E218" s="84" t="s">
        <v>266</v>
      </c>
      <c r="F218" s="89" t="s">
        <v>267</v>
      </c>
      <c r="G218" s="89" t="s">
        <v>268</v>
      </c>
      <c r="H218" s="89" t="s">
        <v>286</v>
      </c>
      <c r="I218" s="89" t="s">
        <v>274</v>
      </c>
      <c r="J218" s="89" t="s">
        <v>271</v>
      </c>
      <c r="K218" s="89" t="s">
        <v>293</v>
      </c>
      <c r="L218" s="89" t="s">
        <v>273</v>
      </c>
      <c r="M218" s="90">
        <v>36161</v>
      </c>
      <c r="N218" s="90">
        <v>2958465</v>
      </c>
      <c r="O218" s="90">
        <v>40812</v>
      </c>
    </row>
    <row r="219" spans="1:15">
      <c r="A219" s="83" t="str">
        <f t="shared" si="3"/>
        <v>22834001280449</v>
      </c>
      <c r="B219" s="84">
        <v>2283400</v>
      </c>
      <c r="C219" s="84">
        <v>1</v>
      </c>
      <c r="D219" s="84">
        <v>280449</v>
      </c>
      <c r="E219" s="84" t="s">
        <v>266</v>
      </c>
      <c r="F219" s="89" t="s">
        <v>267</v>
      </c>
      <c r="G219" s="89" t="s">
        <v>268</v>
      </c>
      <c r="H219" s="89" t="s">
        <v>286</v>
      </c>
      <c r="I219" s="89" t="s">
        <v>274</v>
      </c>
      <c r="J219" s="89" t="s">
        <v>275</v>
      </c>
      <c r="K219" s="89" t="s">
        <v>294</v>
      </c>
      <c r="L219" s="89" t="s">
        <v>273</v>
      </c>
      <c r="M219" s="90">
        <v>36161</v>
      </c>
      <c r="N219" s="90">
        <v>2958465</v>
      </c>
      <c r="O219" s="90">
        <v>40949</v>
      </c>
    </row>
    <row r="220" spans="1:15">
      <c r="A220" s="83" t="str">
        <f t="shared" si="3"/>
        <v>22834001280454</v>
      </c>
      <c r="B220" s="84">
        <v>2283400</v>
      </c>
      <c r="C220" s="84">
        <v>1</v>
      </c>
      <c r="D220" s="84">
        <v>280454</v>
      </c>
      <c r="E220" s="84" t="s">
        <v>266</v>
      </c>
      <c r="F220" s="89" t="s">
        <v>267</v>
      </c>
      <c r="G220" s="89" t="s">
        <v>268</v>
      </c>
      <c r="H220" s="89" t="s">
        <v>286</v>
      </c>
      <c r="I220" s="89" t="s">
        <v>274</v>
      </c>
      <c r="J220" s="89" t="s">
        <v>271</v>
      </c>
      <c r="K220" s="89" t="s">
        <v>293</v>
      </c>
      <c r="L220" s="89" t="s">
        <v>273</v>
      </c>
      <c r="M220" s="90">
        <v>36161</v>
      </c>
      <c r="N220" s="90">
        <v>2958465</v>
      </c>
      <c r="O220" s="90">
        <v>40812</v>
      </c>
    </row>
    <row r="221" spans="1:15">
      <c r="A221" s="83" t="str">
        <f t="shared" si="3"/>
        <v>22834001280455</v>
      </c>
      <c r="B221" s="84">
        <v>2283400</v>
      </c>
      <c r="C221" s="84">
        <v>1</v>
      </c>
      <c r="D221" s="84">
        <v>280455</v>
      </c>
      <c r="E221" s="84" t="s">
        <v>266</v>
      </c>
      <c r="F221" s="89" t="s">
        <v>267</v>
      </c>
      <c r="G221" s="89" t="s">
        <v>268</v>
      </c>
      <c r="H221" s="89" t="s">
        <v>286</v>
      </c>
      <c r="I221" s="89" t="s">
        <v>270</v>
      </c>
      <c r="J221" s="89" t="s">
        <v>271</v>
      </c>
      <c r="K221" s="89" t="s">
        <v>272</v>
      </c>
      <c r="L221" s="89" t="s">
        <v>273</v>
      </c>
      <c r="M221" s="90">
        <v>36892</v>
      </c>
      <c r="N221" s="90">
        <v>401404</v>
      </c>
      <c r="O221" s="90">
        <v>39307</v>
      </c>
    </row>
    <row r="222" spans="1:15">
      <c r="A222" s="83" t="str">
        <f t="shared" si="3"/>
        <v>22834001280456</v>
      </c>
      <c r="B222" s="84">
        <v>2283400</v>
      </c>
      <c r="C222" s="84">
        <v>1</v>
      </c>
      <c r="D222" s="84">
        <v>280456</v>
      </c>
      <c r="E222" s="84" t="s">
        <v>266</v>
      </c>
      <c r="F222" s="89" t="s">
        <v>267</v>
      </c>
      <c r="G222" s="89" t="s">
        <v>268</v>
      </c>
      <c r="H222" s="89" t="s">
        <v>286</v>
      </c>
      <c r="I222" s="89" t="s">
        <v>274</v>
      </c>
      <c r="J222" s="89" t="s">
        <v>279</v>
      </c>
      <c r="K222" s="89" t="s">
        <v>295</v>
      </c>
      <c r="L222" s="89" t="s">
        <v>273</v>
      </c>
      <c r="M222" s="90">
        <v>36161</v>
      </c>
      <c r="N222" s="90">
        <v>2958465</v>
      </c>
      <c r="O222" s="90">
        <v>40185</v>
      </c>
    </row>
    <row r="223" spans="1:15">
      <c r="A223" s="83" t="str">
        <f t="shared" si="3"/>
        <v>22834001280457</v>
      </c>
      <c r="B223" s="84">
        <v>2283400</v>
      </c>
      <c r="C223" s="84">
        <v>1</v>
      </c>
      <c r="D223" s="84">
        <v>280457</v>
      </c>
      <c r="E223" s="84" t="s">
        <v>266</v>
      </c>
      <c r="F223" s="89" t="s">
        <v>267</v>
      </c>
      <c r="G223" s="89" t="s">
        <v>268</v>
      </c>
      <c r="H223" s="89" t="s">
        <v>286</v>
      </c>
      <c r="I223" s="89" t="s">
        <v>270</v>
      </c>
      <c r="J223" s="89" t="s">
        <v>271</v>
      </c>
      <c r="K223" s="89" t="s">
        <v>272</v>
      </c>
      <c r="L223" s="89" t="s">
        <v>273</v>
      </c>
      <c r="M223" s="90">
        <v>36892</v>
      </c>
      <c r="N223" s="90">
        <v>401404</v>
      </c>
      <c r="O223" s="90">
        <v>39307</v>
      </c>
    </row>
    <row r="224" spans="1:15">
      <c r="A224" s="83" t="str">
        <f t="shared" si="3"/>
        <v>22834001280458</v>
      </c>
      <c r="B224" s="84">
        <v>2283400</v>
      </c>
      <c r="C224" s="84">
        <v>1</v>
      </c>
      <c r="D224" s="84">
        <v>280458</v>
      </c>
      <c r="E224" s="84" t="s">
        <v>266</v>
      </c>
      <c r="F224" s="89" t="s">
        <v>267</v>
      </c>
      <c r="G224" s="89" t="s">
        <v>268</v>
      </c>
      <c r="H224" s="89" t="s">
        <v>286</v>
      </c>
      <c r="I224" s="89" t="s">
        <v>270</v>
      </c>
      <c r="J224" s="89" t="s">
        <v>271</v>
      </c>
      <c r="K224" s="89" t="s">
        <v>272</v>
      </c>
      <c r="L224" s="89" t="s">
        <v>273</v>
      </c>
      <c r="M224" s="90">
        <v>36892</v>
      </c>
      <c r="N224" s="90">
        <v>401404</v>
      </c>
      <c r="O224" s="90">
        <v>39307</v>
      </c>
    </row>
    <row r="225" spans="1:15">
      <c r="A225" s="83" t="str">
        <f t="shared" si="3"/>
        <v>22834001280459</v>
      </c>
      <c r="B225" s="84">
        <v>2283400</v>
      </c>
      <c r="C225" s="84">
        <v>1</v>
      </c>
      <c r="D225" s="84">
        <v>280459</v>
      </c>
      <c r="E225" s="84" t="s">
        <v>266</v>
      </c>
      <c r="F225" s="89" t="s">
        <v>267</v>
      </c>
      <c r="G225" s="89" t="s">
        <v>268</v>
      </c>
      <c r="H225" s="89" t="s">
        <v>286</v>
      </c>
      <c r="I225" s="89" t="s">
        <v>274</v>
      </c>
      <c r="J225" s="89" t="s">
        <v>275</v>
      </c>
      <c r="K225" s="89" t="s">
        <v>296</v>
      </c>
      <c r="L225" s="89" t="s">
        <v>273</v>
      </c>
      <c r="M225" s="90">
        <v>36161</v>
      </c>
      <c r="N225" s="90">
        <v>2958465</v>
      </c>
      <c r="O225" s="90">
        <v>40925</v>
      </c>
    </row>
    <row r="226" spans="1:15">
      <c r="A226" s="83" t="str">
        <f t="shared" si="3"/>
        <v>22834009280328</v>
      </c>
      <c r="B226" s="84">
        <v>2283400</v>
      </c>
      <c r="C226" s="84">
        <v>9</v>
      </c>
      <c r="D226" s="84">
        <v>280328</v>
      </c>
      <c r="E226" s="84" t="s">
        <v>266</v>
      </c>
      <c r="F226" s="89" t="s">
        <v>267</v>
      </c>
      <c r="G226" s="89" t="s">
        <v>268</v>
      </c>
      <c r="H226" s="89" t="s">
        <v>286</v>
      </c>
      <c r="I226" s="89" t="s">
        <v>270</v>
      </c>
      <c r="J226" s="89" t="s">
        <v>271</v>
      </c>
      <c r="K226" s="89" t="s">
        <v>272</v>
      </c>
      <c r="L226" s="89" t="s">
        <v>21</v>
      </c>
      <c r="M226" s="90">
        <v>36892</v>
      </c>
      <c r="N226" s="90">
        <v>36892</v>
      </c>
      <c r="O226" s="90">
        <v>39307</v>
      </c>
    </row>
    <row r="227" spans="1:15">
      <c r="A227" s="83" t="str">
        <f t="shared" si="3"/>
        <v>2283400906280321</v>
      </c>
      <c r="B227" s="84">
        <v>2283400</v>
      </c>
      <c r="C227" s="84">
        <v>906</v>
      </c>
      <c r="D227" s="84">
        <v>280321</v>
      </c>
      <c r="E227" s="84" t="s">
        <v>266</v>
      </c>
      <c r="F227" s="89" t="s">
        <v>267</v>
      </c>
      <c r="G227" s="89" t="s">
        <v>292</v>
      </c>
      <c r="H227" s="89" t="s">
        <v>286</v>
      </c>
      <c r="I227" s="89" t="s">
        <v>270</v>
      </c>
      <c r="J227" s="89" t="s">
        <v>271</v>
      </c>
      <c r="K227" s="89" t="s">
        <v>272</v>
      </c>
      <c r="L227" s="89" t="s">
        <v>21</v>
      </c>
      <c r="M227" s="90">
        <v>36892</v>
      </c>
      <c r="N227" s="90">
        <v>401404</v>
      </c>
      <c r="O227" s="90">
        <v>39307</v>
      </c>
    </row>
    <row r="228" spans="1:15">
      <c r="A228" s="83" t="str">
        <f t="shared" si="3"/>
        <v>2283400906280322</v>
      </c>
      <c r="B228" s="84">
        <v>2283400</v>
      </c>
      <c r="C228" s="84">
        <v>906</v>
      </c>
      <c r="D228" s="84">
        <v>280322</v>
      </c>
      <c r="E228" s="84" t="s">
        <v>266</v>
      </c>
      <c r="F228" s="89" t="s">
        <v>267</v>
      </c>
      <c r="G228" s="89" t="s">
        <v>268</v>
      </c>
      <c r="H228" s="89" t="s">
        <v>286</v>
      </c>
      <c r="I228" s="89" t="s">
        <v>270</v>
      </c>
      <c r="J228" s="89" t="s">
        <v>271</v>
      </c>
      <c r="K228" s="89" t="s">
        <v>272</v>
      </c>
      <c r="L228" s="89" t="s">
        <v>21</v>
      </c>
      <c r="M228" s="90">
        <v>36892</v>
      </c>
      <c r="N228" s="90">
        <v>401404</v>
      </c>
      <c r="O228" s="90">
        <v>39307</v>
      </c>
    </row>
    <row r="229" spans="1:15">
      <c r="A229" s="83" t="str">
        <f t="shared" si="3"/>
        <v>2283400906280323</v>
      </c>
      <c r="B229" s="84">
        <v>2283400</v>
      </c>
      <c r="C229" s="84">
        <v>906</v>
      </c>
      <c r="D229" s="84">
        <v>280323</v>
      </c>
      <c r="E229" s="84" t="s">
        <v>266</v>
      </c>
      <c r="F229" s="89" t="s">
        <v>267</v>
      </c>
      <c r="G229" s="89" t="s">
        <v>268</v>
      </c>
      <c r="H229" s="89" t="s">
        <v>286</v>
      </c>
      <c r="I229" s="89" t="s">
        <v>270</v>
      </c>
      <c r="J229" s="89" t="s">
        <v>271</v>
      </c>
      <c r="K229" s="89" t="s">
        <v>272</v>
      </c>
      <c r="L229" s="89" t="s">
        <v>21</v>
      </c>
      <c r="M229" s="90">
        <v>36892</v>
      </c>
      <c r="N229" s="90">
        <v>401404</v>
      </c>
      <c r="O229" s="90">
        <v>39307</v>
      </c>
    </row>
    <row r="230" spans="1:15">
      <c r="A230" s="83" t="str">
        <f t="shared" si="3"/>
        <v>2283400906280324</v>
      </c>
      <c r="B230" s="84">
        <v>2283400</v>
      </c>
      <c r="C230" s="84">
        <v>906</v>
      </c>
      <c r="D230" s="84">
        <v>280324</v>
      </c>
      <c r="E230" s="84" t="s">
        <v>266</v>
      </c>
      <c r="F230" s="89" t="s">
        <v>267</v>
      </c>
      <c r="G230" s="89" t="s">
        <v>268</v>
      </c>
      <c r="H230" s="89" t="s">
        <v>286</v>
      </c>
      <c r="I230" s="89" t="s">
        <v>270</v>
      </c>
      <c r="J230" s="89" t="s">
        <v>271</v>
      </c>
      <c r="K230" s="89" t="s">
        <v>272</v>
      </c>
      <c r="L230" s="89" t="s">
        <v>21</v>
      </c>
      <c r="M230" s="90">
        <v>36892</v>
      </c>
      <c r="N230" s="90">
        <v>401404</v>
      </c>
      <c r="O230" s="90">
        <v>39307</v>
      </c>
    </row>
    <row r="231" spans="1:15">
      <c r="A231" s="83" t="str">
        <f t="shared" si="3"/>
        <v>22834009031280322</v>
      </c>
      <c r="B231" s="84">
        <v>2283400</v>
      </c>
      <c r="C231" s="84">
        <v>9031</v>
      </c>
      <c r="D231" s="84">
        <v>280322</v>
      </c>
      <c r="E231" s="84" t="s">
        <v>266</v>
      </c>
      <c r="F231" s="89" t="s">
        <v>267</v>
      </c>
      <c r="G231" s="89" t="s">
        <v>268</v>
      </c>
      <c r="H231" s="89" t="s">
        <v>286</v>
      </c>
      <c r="I231" s="89" t="s">
        <v>270</v>
      </c>
      <c r="J231" s="89" t="s">
        <v>271</v>
      </c>
      <c r="K231" s="89" t="s">
        <v>272</v>
      </c>
      <c r="L231" s="89" t="s">
        <v>21</v>
      </c>
      <c r="M231" s="90">
        <v>36892</v>
      </c>
      <c r="N231" s="90">
        <v>401404</v>
      </c>
      <c r="O231" s="90">
        <v>39307</v>
      </c>
    </row>
    <row r="232" spans="1:15">
      <c r="A232" s="83" t="str">
        <f t="shared" si="3"/>
        <v>2283400122092280314</v>
      </c>
      <c r="B232" s="84">
        <v>2283400</v>
      </c>
      <c r="C232" s="84">
        <v>122092</v>
      </c>
      <c r="D232" s="84">
        <v>280314</v>
      </c>
      <c r="E232" s="84" t="s">
        <v>266</v>
      </c>
      <c r="F232" s="89" t="s">
        <v>267</v>
      </c>
      <c r="G232" s="89" t="s">
        <v>268</v>
      </c>
      <c r="H232" s="89" t="s">
        <v>286</v>
      </c>
      <c r="I232" s="89" t="s">
        <v>270</v>
      </c>
      <c r="J232" s="89" t="s">
        <v>271</v>
      </c>
      <c r="K232" s="89" t="s">
        <v>272</v>
      </c>
      <c r="L232" s="89" t="s">
        <v>21</v>
      </c>
      <c r="M232" s="90">
        <v>36892</v>
      </c>
      <c r="N232" s="90">
        <v>401404</v>
      </c>
      <c r="O232" s="90">
        <v>39307</v>
      </c>
    </row>
    <row r="233" spans="1:15">
      <c r="A233" s="83" t="str">
        <f t="shared" si="3"/>
        <v>2283400122092280321</v>
      </c>
      <c r="B233" s="84">
        <v>2283400</v>
      </c>
      <c r="C233" s="84">
        <v>122092</v>
      </c>
      <c r="D233" s="84">
        <v>280321</v>
      </c>
      <c r="E233" s="84" t="s">
        <v>266</v>
      </c>
      <c r="F233" s="89" t="s">
        <v>267</v>
      </c>
      <c r="G233" s="89" t="s">
        <v>292</v>
      </c>
      <c r="H233" s="89" t="s">
        <v>286</v>
      </c>
      <c r="I233" s="89" t="s">
        <v>270</v>
      </c>
      <c r="J233" s="89" t="s">
        <v>271</v>
      </c>
      <c r="K233" s="89" t="s">
        <v>272</v>
      </c>
      <c r="L233" s="89" t="s">
        <v>21</v>
      </c>
      <c r="M233" s="90">
        <v>36892</v>
      </c>
      <c r="N233" s="90">
        <v>401404</v>
      </c>
      <c r="O233" s="90">
        <v>39307</v>
      </c>
    </row>
    <row r="234" spans="1:15">
      <c r="A234" s="83" t="str">
        <f t="shared" si="3"/>
        <v>2283400122092280322</v>
      </c>
      <c r="B234" s="84">
        <v>2283400</v>
      </c>
      <c r="C234" s="84">
        <v>122092</v>
      </c>
      <c r="D234" s="84">
        <v>280322</v>
      </c>
      <c r="E234" s="84" t="s">
        <v>266</v>
      </c>
      <c r="F234" s="89" t="s">
        <v>267</v>
      </c>
      <c r="G234" s="89" t="s">
        <v>268</v>
      </c>
      <c r="H234" s="89" t="s">
        <v>286</v>
      </c>
      <c r="I234" s="89" t="s">
        <v>270</v>
      </c>
      <c r="J234" s="89" t="s">
        <v>271</v>
      </c>
      <c r="K234" s="89" t="s">
        <v>272</v>
      </c>
      <c r="L234" s="89" t="s">
        <v>21</v>
      </c>
      <c r="M234" s="90">
        <v>36892</v>
      </c>
      <c r="N234" s="90">
        <v>401404</v>
      </c>
      <c r="O234" s="90">
        <v>39307</v>
      </c>
    </row>
    <row r="235" spans="1:15">
      <c r="A235" s="83" t="str">
        <f t="shared" si="3"/>
        <v>2283400122092280323</v>
      </c>
      <c r="B235" s="84">
        <v>2283400</v>
      </c>
      <c r="C235" s="84">
        <v>122092</v>
      </c>
      <c r="D235" s="84">
        <v>280323</v>
      </c>
      <c r="E235" s="84" t="s">
        <v>266</v>
      </c>
      <c r="F235" s="89" t="s">
        <v>267</v>
      </c>
      <c r="G235" s="89" t="s">
        <v>268</v>
      </c>
      <c r="H235" s="89" t="s">
        <v>286</v>
      </c>
      <c r="I235" s="89" t="s">
        <v>270</v>
      </c>
      <c r="J235" s="89" t="s">
        <v>271</v>
      </c>
      <c r="K235" s="89" t="s">
        <v>272</v>
      </c>
      <c r="L235" s="89" t="s">
        <v>21</v>
      </c>
      <c r="M235" s="90">
        <v>36892</v>
      </c>
      <c r="N235" s="90">
        <v>401404</v>
      </c>
      <c r="O235" s="90">
        <v>39307</v>
      </c>
    </row>
    <row r="236" spans="1:15">
      <c r="A236" s="83" t="str">
        <f t="shared" si="3"/>
        <v>2283400122092280324</v>
      </c>
      <c r="B236" s="84">
        <v>2283400</v>
      </c>
      <c r="C236" s="84">
        <v>122092</v>
      </c>
      <c r="D236" s="84">
        <v>280324</v>
      </c>
      <c r="E236" s="84" t="s">
        <v>266</v>
      </c>
      <c r="F236" s="89" t="s">
        <v>267</v>
      </c>
      <c r="G236" s="89" t="s">
        <v>268</v>
      </c>
      <c r="H236" s="89" t="s">
        <v>286</v>
      </c>
      <c r="I236" s="89" t="s">
        <v>270</v>
      </c>
      <c r="J236" s="89" t="s">
        <v>271</v>
      </c>
      <c r="K236" s="89" t="s">
        <v>272</v>
      </c>
      <c r="L236" s="89" t="s">
        <v>21</v>
      </c>
      <c r="M236" s="90">
        <v>36892</v>
      </c>
      <c r="N236" s="90">
        <v>401404</v>
      </c>
      <c r="O236" s="90">
        <v>39307</v>
      </c>
    </row>
    <row r="237" spans="1:15">
      <c r="A237" s="83" t="str">
        <f t="shared" si="3"/>
        <v>2283400122092280326</v>
      </c>
      <c r="B237" s="84">
        <v>2283400</v>
      </c>
      <c r="C237" s="84">
        <v>122092</v>
      </c>
      <c r="D237" s="84">
        <v>280326</v>
      </c>
      <c r="E237" s="84" t="s">
        <v>266</v>
      </c>
      <c r="F237" s="89" t="s">
        <v>267</v>
      </c>
      <c r="G237" s="89" t="s">
        <v>268</v>
      </c>
      <c r="H237" s="89" t="s">
        <v>286</v>
      </c>
      <c r="I237" s="89" t="s">
        <v>270</v>
      </c>
      <c r="J237" s="89" t="s">
        <v>271</v>
      </c>
      <c r="K237" s="89" t="s">
        <v>272</v>
      </c>
      <c r="L237" s="89" t="s">
        <v>21</v>
      </c>
      <c r="M237" s="90">
        <v>36892</v>
      </c>
      <c r="N237" s="90">
        <v>401404</v>
      </c>
      <c r="O237" s="90">
        <v>39307</v>
      </c>
    </row>
    <row r="238" spans="1:15">
      <c r="A238" s="83" t="str">
        <f t="shared" si="3"/>
        <v>2283400122092280328</v>
      </c>
      <c r="B238" s="84">
        <v>2283400</v>
      </c>
      <c r="C238" s="84">
        <v>122092</v>
      </c>
      <c r="D238" s="84">
        <v>280328</v>
      </c>
      <c r="E238" s="84" t="s">
        <v>266</v>
      </c>
      <c r="F238" s="89" t="s">
        <v>267</v>
      </c>
      <c r="G238" s="89" t="s">
        <v>268</v>
      </c>
      <c r="H238" s="89" t="s">
        <v>286</v>
      </c>
      <c r="I238" s="89" t="s">
        <v>270</v>
      </c>
      <c r="J238" s="89" t="s">
        <v>271</v>
      </c>
      <c r="K238" s="89" t="s">
        <v>272</v>
      </c>
      <c r="L238" s="89" t="s">
        <v>21</v>
      </c>
      <c r="M238" s="90">
        <v>36892</v>
      </c>
      <c r="N238" s="90">
        <v>401404</v>
      </c>
      <c r="O238" s="90">
        <v>39307</v>
      </c>
    </row>
    <row r="239" spans="1:15">
      <c r="A239" s="83" t="str">
        <f t="shared" si="3"/>
        <v>22834002020000</v>
      </c>
      <c r="B239" s="84">
        <v>2283400</v>
      </c>
      <c r="C239" s="84">
        <v>202000</v>
      </c>
      <c r="D239" s="84">
        <v>0</v>
      </c>
      <c r="E239" s="84" t="s">
        <v>266</v>
      </c>
      <c r="F239" s="89" t="s">
        <v>267</v>
      </c>
      <c r="G239" s="89" t="s">
        <v>268</v>
      </c>
      <c r="H239" s="89" t="s">
        <v>286</v>
      </c>
      <c r="I239" s="89" t="s">
        <v>270</v>
      </c>
      <c r="J239" s="89" t="s">
        <v>271</v>
      </c>
      <c r="K239" s="89" t="s">
        <v>272</v>
      </c>
      <c r="L239" s="89" t="s">
        <v>21</v>
      </c>
      <c r="M239" s="90">
        <v>36892</v>
      </c>
      <c r="N239" s="90">
        <v>401404</v>
      </c>
      <c r="O239" s="90">
        <v>39307</v>
      </c>
    </row>
    <row r="240" spans="1:15">
      <c r="A240" s="83" t="str">
        <f t="shared" si="3"/>
        <v>2283400202000280326</v>
      </c>
      <c r="B240" s="84">
        <v>2283400</v>
      </c>
      <c r="C240" s="84">
        <v>202000</v>
      </c>
      <c r="D240" s="84">
        <v>280326</v>
      </c>
      <c r="E240" s="84" t="s">
        <v>266</v>
      </c>
      <c r="F240" s="89" t="s">
        <v>267</v>
      </c>
      <c r="G240" s="89" t="s">
        <v>268</v>
      </c>
      <c r="H240" s="89" t="s">
        <v>286</v>
      </c>
      <c r="I240" s="89" t="s">
        <v>270</v>
      </c>
      <c r="J240" s="89" t="s">
        <v>271</v>
      </c>
      <c r="K240" s="89" t="s">
        <v>272</v>
      </c>
      <c r="L240" s="89" t="s">
        <v>21</v>
      </c>
      <c r="M240" s="90">
        <v>36892</v>
      </c>
      <c r="N240" s="90">
        <v>401404</v>
      </c>
      <c r="O240" s="90">
        <v>39307</v>
      </c>
    </row>
    <row r="241" spans="1:15">
      <c r="A241" s="83" t="str">
        <f t="shared" si="3"/>
        <v>228350010</v>
      </c>
      <c r="B241" s="84">
        <v>2283500</v>
      </c>
      <c r="C241" s="84">
        <v>1</v>
      </c>
      <c r="D241" s="84">
        <v>0</v>
      </c>
      <c r="E241" s="84" t="s">
        <v>266</v>
      </c>
      <c r="F241" s="89" t="s">
        <v>267</v>
      </c>
      <c r="G241" s="89" t="s">
        <v>268</v>
      </c>
      <c r="H241" s="89" t="s">
        <v>286</v>
      </c>
      <c r="I241" s="89" t="s">
        <v>270</v>
      </c>
      <c r="J241" s="89" t="s">
        <v>271</v>
      </c>
      <c r="K241" s="89" t="s">
        <v>272</v>
      </c>
      <c r="L241" s="89" t="s">
        <v>21</v>
      </c>
      <c r="M241" s="90">
        <v>36892</v>
      </c>
      <c r="N241" s="90">
        <v>401404</v>
      </c>
      <c r="O241" s="90">
        <v>39307</v>
      </c>
    </row>
    <row r="242" spans="1:15">
      <c r="A242" s="83" t="str">
        <f t="shared" si="3"/>
        <v>22835001280340</v>
      </c>
      <c r="B242" s="84">
        <v>2283500</v>
      </c>
      <c r="C242" s="84">
        <v>1</v>
      </c>
      <c r="D242" s="84">
        <v>280340</v>
      </c>
      <c r="E242" s="84" t="s">
        <v>266</v>
      </c>
      <c r="F242" s="89" t="s">
        <v>267</v>
      </c>
      <c r="G242" s="89" t="s">
        <v>292</v>
      </c>
      <c r="H242" s="89" t="s">
        <v>286</v>
      </c>
      <c r="I242" s="89" t="s">
        <v>270</v>
      </c>
      <c r="J242" s="89" t="s">
        <v>271</v>
      </c>
      <c r="K242" s="89" t="s">
        <v>272</v>
      </c>
      <c r="L242" s="89" t="s">
        <v>21</v>
      </c>
      <c r="M242" s="90">
        <v>36892</v>
      </c>
      <c r="N242" s="90">
        <v>401404</v>
      </c>
      <c r="O242" s="90">
        <v>39307</v>
      </c>
    </row>
    <row r="243" spans="1:15">
      <c r="A243" s="83" t="str">
        <f t="shared" si="3"/>
        <v>22835001280341</v>
      </c>
      <c r="B243" s="84">
        <v>2283500</v>
      </c>
      <c r="C243" s="84">
        <v>1</v>
      </c>
      <c r="D243" s="84">
        <v>280341</v>
      </c>
      <c r="E243" s="84" t="s">
        <v>266</v>
      </c>
      <c r="F243" s="89" t="s">
        <v>267</v>
      </c>
      <c r="G243" s="89" t="s">
        <v>268</v>
      </c>
      <c r="H243" s="89" t="s">
        <v>286</v>
      </c>
      <c r="I243" s="89" t="s">
        <v>270</v>
      </c>
      <c r="J243" s="89" t="s">
        <v>271</v>
      </c>
      <c r="K243" s="89" t="s">
        <v>272</v>
      </c>
      <c r="L243" s="89" t="s">
        <v>21</v>
      </c>
      <c r="M243" s="90">
        <v>36892</v>
      </c>
      <c r="N243" s="90">
        <v>401404</v>
      </c>
      <c r="O243" s="90">
        <v>39307</v>
      </c>
    </row>
    <row r="244" spans="1:15">
      <c r="A244" s="83" t="str">
        <f t="shared" si="3"/>
        <v>22835001280342</v>
      </c>
      <c r="B244" s="84">
        <v>2283500</v>
      </c>
      <c r="C244" s="84">
        <v>1</v>
      </c>
      <c r="D244" s="84">
        <v>280342</v>
      </c>
      <c r="E244" s="84" t="s">
        <v>266</v>
      </c>
      <c r="F244" s="89" t="s">
        <v>267</v>
      </c>
      <c r="G244" s="89" t="s">
        <v>268</v>
      </c>
      <c r="H244" s="89" t="s">
        <v>286</v>
      </c>
      <c r="I244" s="89" t="s">
        <v>270</v>
      </c>
      <c r="J244" s="89" t="s">
        <v>271</v>
      </c>
      <c r="K244" s="89" t="s">
        <v>272</v>
      </c>
      <c r="L244" s="89" t="s">
        <v>21</v>
      </c>
      <c r="M244" s="90">
        <v>36892</v>
      </c>
      <c r="N244" s="90">
        <v>401404</v>
      </c>
      <c r="O244" s="90">
        <v>39307</v>
      </c>
    </row>
    <row r="245" spans="1:15">
      <c r="A245" s="83" t="str">
        <f t="shared" si="3"/>
        <v>22835001280343</v>
      </c>
      <c r="B245" s="84">
        <v>2283500</v>
      </c>
      <c r="C245" s="84">
        <v>1</v>
      </c>
      <c r="D245" s="84">
        <v>280343</v>
      </c>
      <c r="E245" s="84" t="s">
        <v>266</v>
      </c>
      <c r="F245" s="89" t="s">
        <v>267</v>
      </c>
      <c r="G245" s="89" t="s">
        <v>268</v>
      </c>
      <c r="H245" s="89" t="s">
        <v>286</v>
      </c>
      <c r="I245" s="89" t="s">
        <v>270</v>
      </c>
      <c r="J245" s="89" t="s">
        <v>271</v>
      </c>
      <c r="K245" s="89" t="s">
        <v>272</v>
      </c>
      <c r="L245" s="89" t="s">
        <v>21</v>
      </c>
      <c r="M245" s="90">
        <v>36892</v>
      </c>
      <c r="N245" s="90">
        <v>401404</v>
      </c>
      <c r="O245" s="90">
        <v>39307</v>
      </c>
    </row>
    <row r="246" spans="1:15">
      <c r="A246" s="83" t="str">
        <f t="shared" si="3"/>
        <v>22835001280345</v>
      </c>
      <c r="B246" s="84">
        <v>2283500</v>
      </c>
      <c r="C246" s="84">
        <v>1</v>
      </c>
      <c r="D246" s="84">
        <v>280345</v>
      </c>
      <c r="E246" s="84" t="s">
        <v>266</v>
      </c>
      <c r="F246" s="89" t="s">
        <v>267</v>
      </c>
      <c r="G246" s="89" t="s">
        <v>268</v>
      </c>
      <c r="H246" s="89" t="s">
        <v>286</v>
      </c>
      <c r="I246" s="89" t="s">
        <v>270</v>
      </c>
      <c r="J246" s="89" t="s">
        <v>271</v>
      </c>
      <c r="K246" s="89" t="s">
        <v>272</v>
      </c>
      <c r="L246" s="89" t="s">
        <v>21</v>
      </c>
      <c r="M246" s="90">
        <v>36892</v>
      </c>
      <c r="N246" s="90">
        <v>401404</v>
      </c>
      <c r="O246" s="90">
        <v>39307</v>
      </c>
    </row>
    <row r="247" spans="1:15">
      <c r="A247" s="83" t="str">
        <f t="shared" si="3"/>
        <v>22835001280347</v>
      </c>
      <c r="B247" s="84">
        <v>2283500</v>
      </c>
      <c r="C247" s="84">
        <v>1</v>
      </c>
      <c r="D247" s="84">
        <v>280347</v>
      </c>
      <c r="E247" s="84" t="s">
        <v>266</v>
      </c>
      <c r="F247" s="89" t="s">
        <v>267</v>
      </c>
      <c r="G247" s="89" t="s">
        <v>268</v>
      </c>
      <c r="H247" s="89" t="s">
        <v>286</v>
      </c>
      <c r="I247" s="89" t="s">
        <v>270</v>
      </c>
      <c r="J247" s="89" t="s">
        <v>271</v>
      </c>
      <c r="K247" s="89" t="s">
        <v>272</v>
      </c>
      <c r="L247" s="89" t="s">
        <v>273</v>
      </c>
      <c r="M247" s="90">
        <v>36892</v>
      </c>
      <c r="N247" s="90">
        <v>401404</v>
      </c>
      <c r="O247" s="90">
        <v>39307</v>
      </c>
    </row>
    <row r="248" spans="1:15">
      <c r="A248" s="83" t="str">
        <f t="shared" si="3"/>
        <v>22835001280350</v>
      </c>
      <c r="B248" s="84">
        <v>2283500</v>
      </c>
      <c r="C248" s="84">
        <v>1</v>
      </c>
      <c r="D248" s="84">
        <v>280350</v>
      </c>
      <c r="E248" s="84" t="s">
        <v>266</v>
      </c>
      <c r="F248" s="89" t="s">
        <v>267</v>
      </c>
      <c r="G248" s="89" t="s">
        <v>292</v>
      </c>
      <c r="H248" s="89" t="s">
        <v>286</v>
      </c>
      <c r="I248" s="89" t="s">
        <v>270</v>
      </c>
      <c r="J248" s="89" t="s">
        <v>271</v>
      </c>
      <c r="K248" s="89" t="s">
        <v>272</v>
      </c>
      <c r="L248" s="89" t="s">
        <v>273</v>
      </c>
      <c r="M248" s="90">
        <v>36892</v>
      </c>
      <c r="N248" s="90">
        <v>401404</v>
      </c>
      <c r="O248" s="90">
        <v>39307</v>
      </c>
    </row>
    <row r="249" spans="1:15">
      <c r="A249" s="83" t="str">
        <f t="shared" si="3"/>
        <v>22835001280355</v>
      </c>
      <c r="B249" s="84">
        <v>2283500</v>
      </c>
      <c r="C249" s="84">
        <v>1</v>
      </c>
      <c r="D249" s="84">
        <v>280355</v>
      </c>
      <c r="E249" s="84" t="s">
        <v>266</v>
      </c>
      <c r="F249" s="89" t="s">
        <v>267</v>
      </c>
      <c r="G249" s="89" t="s">
        <v>268</v>
      </c>
      <c r="H249" s="89" t="s">
        <v>286</v>
      </c>
      <c r="I249" s="89" t="s">
        <v>270</v>
      </c>
      <c r="J249" s="89" t="s">
        <v>271</v>
      </c>
      <c r="K249" s="89" t="s">
        <v>272</v>
      </c>
      <c r="L249" s="89" t="s">
        <v>273</v>
      </c>
      <c r="M249" s="90">
        <v>36892</v>
      </c>
      <c r="N249" s="90">
        <v>401404</v>
      </c>
      <c r="O249" s="90">
        <v>39307</v>
      </c>
    </row>
    <row r="250" spans="1:15">
      <c r="A250" s="83" t="str">
        <f t="shared" si="3"/>
        <v>22835001280465</v>
      </c>
      <c r="B250" s="84">
        <v>2283500</v>
      </c>
      <c r="C250" s="84">
        <v>1</v>
      </c>
      <c r="D250" s="84">
        <v>280465</v>
      </c>
      <c r="E250" s="84" t="s">
        <v>266</v>
      </c>
      <c r="F250" s="89" t="s">
        <v>267</v>
      </c>
      <c r="G250" s="89" t="s">
        <v>268</v>
      </c>
      <c r="H250" s="89" t="s">
        <v>286</v>
      </c>
      <c r="I250" s="89" t="s">
        <v>270</v>
      </c>
      <c r="J250" s="89" t="s">
        <v>271</v>
      </c>
      <c r="K250" s="89" t="s">
        <v>272</v>
      </c>
      <c r="L250" s="89" t="s">
        <v>273</v>
      </c>
      <c r="M250" s="90">
        <v>36892</v>
      </c>
      <c r="N250" s="90">
        <v>401404</v>
      </c>
      <c r="O250" s="90">
        <v>39307</v>
      </c>
    </row>
    <row r="251" spans="1:15">
      <c r="A251" s="83" t="str">
        <f t="shared" si="3"/>
        <v>22835001280479</v>
      </c>
      <c r="B251" s="84">
        <v>2283500</v>
      </c>
      <c r="C251" s="84">
        <v>1</v>
      </c>
      <c r="D251" s="84">
        <v>280479</v>
      </c>
      <c r="E251" s="84" t="s">
        <v>266</v>
      </c>
      <c r="F251" s="89" t="s">
        <v>267</v>
      </c>
      <c r="G251" s="89" t="s">
        <v>268</v>
      </c>
      <c r="H251" s="89" t="s">
        <v>286</v>
      </c>
      <c r="I251" s="89" t="s">
        <v>274</v>
      </c>
      <c r="J251" s="89" t="s">
        <v>277</v>
      </c>
      <c r="K251" s="89" t="s">
        <v>297</v>
      </c>
      <c r="L251" s="89" t="s">
        <v>273</v>
      </c>
      <c r="M251" s="90">
        <v>36161</v>
      </c>
      <c r="N251" s="90">
        <v>2958465</v>
      </c>
      <c r="O251" s="90">
        <v>39451</v>
      </c>
    </row>
    <row r="252" spans="1:15">
      <c r="A252" s="83" t="str">
        <f t="shared" si="3"/>
        <v>2283500906280340</v>
      </c>
      <c r="B252" s="84">
        <v>2283500</v>
      </c>
      <c r="C252" s="84">
        <v>906</v>
      </c>
      <c r="D252" s="84">
        <v>280340</v>
      </c>
      <c r="E252" s="84" t="s">
        <v>266</v>
      </c>
      <c r="F252" s="89" t="s">
        <v>267</v>
      </c>
      <c r="G252" s="89" t="s">
        <v>292</v>
      </c>
      <c r="H252" s="89" t="s">
        <v>286</v>
      </c>
      <c r="I252" s="89" t="s">
        <v>270</v>
      </c>
      <c r="J252" s="89" t="s">
        <v>271</v>
      </c>
      <c r="K252" s="89" t="s">
        <v>272</v>
      </c>
      <c r="L252" s="89" t="s">
        <v>21</v>
      </c>
      <c r="M252" s="90">
        <v>36892</v>
      </c>
      <c r="N252" s="90">
        <v>401404</v>
      </c>
      <c r="O252" s="90">
        <v>39307</v>
      </c>
    </row>
    <row r="253" spans="1:15">
      <c r="A253" s="83" t="str">
        <f t="shared" si="3"/>
        <v>2283500906280345</v>
      </c>
      <c r="B253" s="84">
        <v>2283500</v>
      </c>
      <c r="C253" s="84">
        <v>906</v>
      </c>
      <c r="D253" s="84">
        <v>280345</v>
      </c>
      <c r="E253" s="84" t="s">
        <v>266</v>
      </c>
      <c r="F253" s="89" t="s">
        <v>267</v>
      </c>
      <c r="G253" s="89" t="s">
        <v>268</v>
      </c>
      <c r="H253" s="89" t="s">
        <v>286</v>
      </c>
      <c r="I253" s="89" t="s">
        <v>270</v>
      </c>
      <c r="J253" s="89" t="s">
        <v>271</v>
      </c>
      <c r="K253" s="89" t="s">
        <v>272</v>
      </c>
      <c r="L253" s="89" t="s">
        <v>21</v>
      </c>
      <c r="M253" s="90">
        <v>36892</v>
      </c>
      <c r="N253" s="90">
        <v>401404</v>
      </c>
      <c r="O253" s="90">
        <v>39307</v>
      </c>
    </row>
    <row r="254" spans="1:15">
      <c r="A254" s="83" t="str">
        <f t="shared" si="3"/>
        <v>2283500906280347</v>
      </c>
      <c r="B254" s="84">
        <v>2283500</v>
      </c>
      <c r="C254" s="84">
        <v>906</v>
      </c>
      <c r="D254" s="84">
        <v>280347</v>
      </c>
      <c r="E254" s="84" t="s">
        <v>266</v>
      </c>
      <c r="F254" s="89" t="s">
        <v>267</v>
      </c>
      <c r="G254" s="89" t="s">
        <v>268</v>
      </c>
      <c r="H254" s="89" t="s">
        <v>286</v>
      </c>
      <c r="I254" s="89" t="s">
        <v>270</v>
      </c>
      <c r="J254" s="89" t="s">
        <v>271</v>
      </c>
      <c r="K254" s="89" t="s">
        <v>272</v>
      </c>
      <c r="L254" s="89" t="s">
        <v>273</v>
      </c>
      <c r="M254" s="90">
        <v>36892</v>
      </c>
      <c r="N254" s="90">
        <v>401404</v>
      </c>
      <c r="O254" s="90">
        <v>39307</v>
      </c>
    </row>
    <row r="255" spans="1:15">
      <c r="A255" s="83" t="str">
        <f t="shared" si="3"/>
        <v>22835001034280479</v>
      </c>
      <c r="B255" s="84">
        <v>2283500</v>
      </c>
      <c r="C255" s="84">
        <v>1034</v>
      </c>
      <c r="D255" s="84">
        <v>280479</v>
      </c>
      <c r="E255" s="84" t="s">
        <v>266</v>
      </c>
      <c r="F255" s="89" t="s">
        <v>267</v>
      </c>
      <c r="G255" s="89" t="s">
        <v>268</v>
      </c>
      <c r="H255" s="89" t="s">
        <v>286</v>
      </c>
      <c r="I255" s="89" t="s">
        <v>270</v>
      </c>
      <c r="J255" s="89" t="s">
        <v>271</v>
      </c>
      <c r="K255" s="89" t="s">
        <v>272</v>
      </c>
      <c r="L255" s="89" t="s">
        <v>273</v>
      </c>
      <c r="M255" s="90">
        <v>36892</v>
      </c>
      <c r="N255" s="90">
        <v>401404</v>
      </c>
      <c r="O255" s="90">
        <v>39307</v>
      </c>
    </row>
    <row r="256" spans="1:15">
      <c r="A256" s="83" t="str">
        <f t="shared" si="3"/>
        <v>22835009031280345</v>
      </c>
      <c r="B256" s="84">
        <v>2283500</v>
      </c>
      <c r="C256" s="84">
        <v>9031</v>
      </c>
      <c r="D256" s="84">
        <v>280345</v>
      </c>
      <c r="E256" s="84" t="s">
        <v>266</v>
      </c>
      <c r="F256" s="89" t="s">
        <v>267</v>
      </c>
      <c r="G256" s="89" t="s">
        <v>268</v>
      </c>
      <c r="H256" s="89" t="s">
        <v>286</v>
      </c>
      <c r="I256" s="89" t="s">
        <v>270</v>
      </c>
      <c r="J256" s="89" t="s">
        <v>271</v>
      </c>
      <c r="K256" s="89" t="s">
        <v>272</v>
      </c>
      <c r="L256" s="89" t="s">
        <v>21</v>
      </c>
      <c r="M256" s="90">
        <v>36892</v>
      </c>
      <c r="N256" s="90">
        <v>401404</v>
      </c>
      <c r="O256" s="90">
        <v>39307</v>
      </c>
    </row>
    <row r="257" spans="1:15">
      <c r="A257" s="83" t="str">
        <f t="shared" si="3"/>
        <v>2283500122092280340</v>
      </c>
      <c r="B257" s="84">
        <v>2283500</v>
      </c>
      <c r="C257" s="84">
        <v>122092</v>
      </c>
      <c r="D257" s="84">
        <v>280340</v>
      </c>
      <c r="E257" s="84" t="s">
        <v>266</v>
      </c>
      <c r="F257" s="89" t="s">
        <v>267</v>
      </c>
      <c r="G257" s="89" t="s">
        <v>292</v>
      </c>
      <c r="H257" s="89" t="s">
        <v>286</v>
      </c>
      <c r="I257" s="89" t="s">
        <v>270</v>
      </c>
      <c r="J257" s="89" t="s">
        <v>271</v>
      </c>
      <c r="K257" s="89" t="s">
        <v>272</v>
      </c>
      <c r="L257" s="89" t="s">
        <v>21</v>
      </c>
      <c r="M257" s="90">
        <v>36892</v>
      </c>
      <c r="N257" s="90">
        <v>401404</v>
      </c>
      <c r="O257" s="90">
        <v>39307</v>
      </c>
    </row>
    <row r="258" spans="1:15">
      <c r="A258" s="83" t="str">
        <f t="shared" si="3"/>
        <v>2283500122092280341</v>
      </c>
      <c r="B258" s="84">
        <v>2283500</v>
      </c>
      <c r="C258" s="84">
        <v>122092</v>
      </c>
      <c r="D258" s="84">
        <v>280341</v>
      </c>
      <c r="E258" s="84" t="s">
        <v>266</v>
      </c>
      <c r="F258" s="89" t="s">
        <v>267</v>
      </c>
      <c r="G258" s="89" t="s">
        <v>268</v>
      </c>
      <c r="H258" s="89" t="s">
        <v>286</v>
      </c>
      <c r="I258" s="89" t="s">
        <v>270</v>
      </c>
      <c r="J258" s="89" t="s">
        <v>271</v>
      </c>
      <c r="K258" s="89" t="s">
        <v>272</v>
      </c>
      <c r="L258" s="89" t="s">
        <v>21</v>
      </c>
      <c r="M258" s="90">
        <v>36892</v>
      </c>
      <c r="N258" s="90">
        <v>401404</v>
      </c>
      <c r="O258" s="90">
        <v>39307</v>
      </c>
    </row>
    <row r="259" spans="1:15">
      <c r="A259" s="83" t="str">
        <f t="shared" ref="A259:A322" si="4">B259&amp;C259&amp;D259</f>
        <v>2283500122092280342</v>
      </c>
      <c r="B259" s="84">
        <v>2283500</v>
      </c>
      <c r="C259" s="84">
        <v>122092</v>
      </c>
      <c r="D259" s="84">
        <v>280342</v>
      </c>
      <c r="E259" s="84" t="s">
        <v>266</v>
      </c>
      <c r="F259" s="89" t="s">
        <v>267</v>
      </c>
      <c r="G259" s="89" t="s">
        <v>268</v>
      </c>
      <c r="H259" s="89" t="s">
        <v>286</v>
      </c>
      <c r="I259" s="89" t="s">
        <v>270</v>
      </c>
      <c r="J259" s="89" t="s">
        <v>271</v>
      </c>
      <c r="K259" s="89" t="s">
        <v>272</v>
      </c>
      <c r="L259" s="89" t="s">
        <v>21</v>
      </c>
      <c r="M259" s="90">
        <v>36892</v>
      </c>
      <c r="N259" s="90">
        <v>401404</v>
      </c>
      <c r="O259" s="90">
        <v>39307</v>
      </c>
    </row>
    <row r="260" spans="1:15">
      <c r="A260" s="83" t="str">
        <f t="shared" si="4"/>
        <v>2283500122092280343</v>
      </c>
      <c r="B260" s="84">
        <v>2283500</v>
      </c>
      <c r="C260" s="84">
        <v>122092</v>
      </c>
      <c r="D260" s="84">
        <v>280343</v>
      </c>
      <c r="E260" s="84" t="s">
        <v>266</v>
      </c>
      <c r="F260" s="89" t="s">
        <v>267</v>
      </c>
      <c r="G260" s="89" t="s">
        <v>268</v>
      </c>
      <c r="H260" s="89" t="s">
        <v>286</v>
      </c>
      <c r="I260" s="89" t="s">
        <v>270</v>
      </c>
      <c r="J260" s="89" t="s">
        <v>271</v>
      </c>
      <c r="K260" s="89" t="s">
        <v>272</v>
      </c>
      <c r="L260" s="89" t="s">
        <v>21</v>
      </c>
      <c r="M260" s="90">
        <v>36892</v>
      </c>
      <c r="N260" s="90">
        <v>401404</v>
      </c>
      <c r="O260" s="90">
        <v>39307</v>
      </c>
    </row>
    <row r="261" spans="1:15">
      <c r="A261" s="83" t="str">
        <f t="shared" si="4"/>
        <v>2283500122092280344</v>
      </c>
      <c r="B261" s="84">
        <v>2283500</v>
      </c>
      <c r="C261" s="84">
        <v>122092</v>
      </c>
      <c r="D261" s="84">
        <v>280344</v>
      </c>
      <c r="E261" s="84" t="s">
        <v>266</v>
      </c>
      <c r="F261" s="89" t="s">
        <v>267</v>
      </c>
      <c r="G261" s="89" t="s">
        <v>268</v>
      </c>
      <c r="H261" s="89" t="s">
        <v>286</v>
      </c>
      <c r="I261" s="89" t="s">
        <v>270</v>
      </c>
      <c r="J261" s="89" t="s">
        <v>271</v>
      </c>
      <c r="K261" s="89" t="s">
        <v>272</v>
      </c>
      <c r="L261" s="89" t="s">
        <v>21</v>
      </c>
      <c r="M261" s="90">
        <v>36892</v>
      </c>
      <c r="N261" s="90">
        <v>401404</v>
      </c>
      <c r="O261" s="90">
        <v>39307</v>
      </c>
    </row>
    <row r="262" spans="1:15">
      <c r="A262" s="83" t="str">
        <f t="shared" si="4"/>
        <v>2283500122092280345</v>
      </c>
      <c r="B262" s="84">
        <v>2283500</v>
      </c>
      <c r="C262" s="84">
        <v>122092</v>
      </c>
      <c r="D262" s="84">
        <v>280345</v>
      </c>
      <c r="E262" s="84" t="s">
        <v>266</v>
      </c>
      <c r="F262" s="89" t="s">
        <v>267</v>
      </c>
      <c r="G262" s="89" t="s">
        <v>268</v>
      </c>
      <c r="H262" s="89" t="s">
        <v>286</v>
      </c>
      <c r="I262" s="89" t="s">
        <v>270</v>
      </c>
      <c r="J262" s="89" t="s">
        <v>271</v>
      </c>
      <c r="K262" s="89" t="s">
        <v>272</v>
      </c>
      <c r="L262" s="89" t="s">
        <v>21</v>
      </c>
      <c r="M262" s="90">
        <v>36892</v>
      </c>
      <c r="N262" s="90">
        <v>401404</v>
      </c>
      <c r="O262" s="90">
        <v>39307</v>
      </c>
    </row>
    <row r="263" spans="1:15">
      <c r="A263" s="83" t="str">
        <f t="shared" si="4"/>
        <v>2283500122092280347</v>
      </c>
      <c r="B263" s="84">
        <v>2283500</v>
      </c>
      <c r="C263" s="84">
        <v>122092</v>
      </c>
      <c r="D263" s="84">
        <v>280347</v>
      </c>
      <c r="E263" s="84" t="s">
        <v>266</v>
      </c>
      <c r="F263" s="89" t="s">
        <v>267</v>
      </c>
      <c r="G263" s="89" t="s">
        <v>268</v>
      </c>
      <c r="H263" s="89" t="s">
        <v>286</v>
      </c>
      <c r="I263" s="89" t="s">
        <v>270</v>
      </c>
      <c r="J263" s="89" t="s">
        <v>271</v>
      </c>
      <c r="K263" s="89" t="s">
        <v>272</v>
      </c>
      <c r="L263" s="89" t="s">
        <v>21</v>
      </c>
      <c r="M263" s="90">
        <v>36892</v>
      </c>
      <c r="N263" s="90">
        <v>401404</v>
      </c>
      <c r="O263" s="90">
        <v>39307</v>
      </c>
    </row>
    <row r="264" spans="1:15">
      <c r="A264" s="83" t="str">
        <f t="shared" si="4"/>
        <v>2283500122092280348</v>
      </c>
      <c r="B264" s="84">
        <v>2283500</v>
      </c>
      <c r="C264" s="84">
        <v>122092</v>
      </c>
      <c r="D264" s="84">
        <v>280348</v>
      </c>
      <c r="E264" s="84" t="s">
        <v>266</v>
      </c>
      <c r="F264" s="89" t="s">
        <v>267</v>
      </c>
      <c r="G264" s="89" t="s">
        <v>268</v>
      </c>
      <c r="H264" s="89" t="s">
        <v>286</v>
      </c>
      <c r="I264" s="89" t="s">
        <v>270</v>
      </c>
      <c r="J264" s="89" t="s">
        <v>271</v>
      </c>
      <c r="K264" s="89" t="s">
        <v>272</v>
      </c>
      <c r="L264" s="89" t="s">
        <v>21</v>
      </c>
      <c r="M264" s="90">
        <v>36892</v>
      </c>
      <c r="N264" s="90">
        <v>401404</v>
      </c>
      <c r="O264" s="90">
        <v>39307</v>
      </c>
    </row>
    <row r="265" spans="1:15">
      <c r="A265" s="83" t="str">
        <f t="shared" si="4"/>
        <v>22835001220930</v>
      </c>
      <c r="B265" s="84">
        <v>2283500</v>
      </c>
      <c r="C265" s="84">
        <v>122093</v>
      </c>
      <c r="D265" s="84">
        <v>0</v>
      </c>
      <c r="E265" s="84" t="s">
        <v>266</v>
      </c>
      <c r="F265" s="89" t="s">
        <v>267</v>
      </c>
      <c r="G265" s="89" t="s">
        <v>268</v>
      </c>
      <c r="H265" s="89" t="s">
        <v>286</v>
      </c>
      <c r="I265" s="89" t="s">
        <v>270</v>
      </c>
      <c r="J265" s="89" t="s">
        <v>271</v>
      </c>
      <c r="K265" s="89" t="s">
        <v>272</v>
      </c>
      <c r="L265" s="89" t="s">
        <v>21</v>
      </c>
      <c r="M265" s="90">
        <v>36892</v>
      </c>
      <c r="N265" s="90">
        <v>401404</v>
      </c>
      <c r="O265" s="90">
        <v>39307</v>
      </c>
    </row>
    <row r="266" spans="1:15">
      <c r="A266" s="83" t="str">
        <f t="shared" si="4"/>
        <v>2283500517500249932</v>
      </c>
      <c r="B266" s="84">
        <v>2283500</v>
      </c>
      <c r="C266" s="84">
        <v>517500</v>
      </c>
      <c r="D266" s="84">
        <v>249932</v>
      </c>
      <c r="E266" s="84" t="s">
        <v>266</v>
      </c>
      <c r="F266" s="89" t="s">
        <v>267</v>
      </c>
      <c r="G266" s="89" t="s">
        <v>268</v>
      </c>
      <c r="H266" s="89" t="s">
        <v>286</v>
      </c>
      <c r="I266" s="89" t="s">
        <v>274</v>
      </c>
      <c r="J266" s="89" t="s">
        <v>275</v>
      </c>
      <c r="K266" s="89" t="s">
        <v>298</v>
      </c>
      <c r="L266" s="89" t="s">
        <v>273</v>
      </c>
      <c r="M266" s="90">
        <v>36161</v>
      </c>
      <c r="N266" s="90">
        <v>2958465</v>
      </c>
      <c r="O266" s="90">
        <v>40618</v>
      </c>
    </row>
    <row r="267" spans="1:15">
      <c r="A267" s="83" t="str">
        <f t="shared" si="4"/>
        <v>2283500517500280360</v>
      </c>
      <c r="B267" s="84">
        <v>2283500</v>
      </c>
      <c r="C267" s="84">
        <v>517500</v>
      </c>
      <c r="D267" s="84">
        <v>280360</v>
      </c>
      <c r="E267" s="84" t="s">
        <v>266</v>
      </c>
      <c r="F267" s="89" t="s">
        <v>267</v>
      </c>
      <c r="G267" s="89" t="s">
        <v>299</v>
      </c>
      <c r="H267" s="89" t="s">
        <v>286</v>
      </c>
      <c r="I267" s="89" t="s">
        <v>274</v>
      </c>
      <c r="J267" s="89" t="s">
        <v>275</v>
      </c>
      <c r="K267" s="89" t="s">
        <v>300</v>
      </c>
      <c r="L267" s="89" t="s">
        <v>273</v>
      </c>
      <c r="M267" s="90">
        <v>36161</v>
      </c>
      <c r="N267" s="90">
        <v>2958465</v>
      </c>
      <c r="O267" s="90">
        <v>40589</v>
      </c>
    </row>
    <row r="268" spans="1:15">
      <c r="A268" s="83" t="str">
        <f t="shared" si="4"/>
        <v>22840001289995</v>
      </c>
      <c r="B268" s="84">
        <v>2284000</v>
      </c>
      <c r="C268" s="84">
        <v>1</v>
      </c>
      <c r="D268" s="84">
        <v>289995</v>
      </c>
      <c r="E268" s="84" t="s">
        <v>266</v>
      </c>
      <c r="F268" s="89" t="s">
        <v>267</v>
      </c>
      <c r="G268" s="89" t="s">
        <v>268</v>
      </c>
      <c r="H268" s="89" t="s">
        <v>286</v>
      </c>
      <c r="I268" s="89" t="s">
        <v>270</v>
      </c>
      <c r="J268" s="89" t="s">
        <v>271</v>
      </c>
      <c r="K268" s="89" t="s">
        <v>272</v>
      </c>
      <c r="L268" s="89" t="s">
        <v>273</v>
      </c>
      <c r="M268" s="90">
        <v>36892</v>
      </c>
      <c r="N268" s="90">
        <v>401404</v>
      </c>
      <c r="O268" s="90">
        <v>39307</v>
      </c>
    </row>
    <row r="269" spans="1:15">
      <c r="A269" s="83" t="str">
        <f t="shared" si="4"/>
        <v>2284000122092280328</v>
      </c>
      <c r="B269" s="84">
        <v>2284000</v>
      </c>
      <c r="C269" s="84">
        <v>122092</v>
      </c>
      <c r="D269" s="84">
        <v>280328</v>
      </c>
      <c r="E269" s="84" t="s">
        <v>266</v>
      </c>
      <c r="F269" s="89" t="s">
        <v>267</v>
      </c>
      <c r="G269" s="89" t="s">
        <v>268</v>
      </c>
      <c r="H269" s="89" t="s">
        <v>286</v>
      </c>
      <c r="I269" s="89" t="s">
        <v>270</v>
      </c>
      <c r="J269" s="89" t="s">
        <v>271</v>
      </c>
      <c r="K269" s="89" t="s">
        <v>272</v>
      </c>
      <c r="L269" s="89" t="s">
        <v>21</v>
      </c>
      <c r="M269" s="90">
        <v>36892</v>
      </c>
      <c r="N269" s="90">
        <v>401404</v>
      </c>
      <c r="O269" s="90">
        <v>39307</v>
      </c>
    </row>
    <row r="270" spans="1:15">
      <c r="A270" s="83" t="str">
        <f t="shared" si="4"/>
        <v>242000010</v>
      </c>
      <c r="B270" s="84">
        <v>2420000</v>
      </c>
      <c r="C270" s="84">
        <v>1</v>
      </c>
      <c r="D270" s="84">
        <v>0</v>
      </c>
      <c r="E270" s="84" t="s">
        <v>266</v>
      </c>
      <c r="F270" s="89" t="s">
        <v>267</v>
      </c>
      <c r="G270" s="89" t="s">
        <v>268</v>
      </c>
      <c r="H270" s="89" t="s">
        <v>301</v>
      </c>
      <c r="I270" s="89" t="s">
        <v>270</v>
      </c>
      <c r="J270" s="89" t="s">
        <v>271</v>
      </c>
      <c r="K270" s="89" t="s">
        <v>272</v>
      </c>
      <c r="L270" s="89" t="s">
        <v>273</v>
      </c>
      <c r="M270" s="90">
        <v>36892</v>
      </c>
      <c r="N270" s="90">
        <v>401404</v>
      </c>
      <c r="O270" s="90">
        <v>39307</v>
      </c>
    </row>
    <row r="271" spans="1:15">
      <c r="A271" s="83" t="str">
        <f t="shared" si="4"/>
        <v>2420000500</v>
      </c>
      <c r="B271" s="84">
        <v>2420000</v>
      </c>
      <c r="C271" s="84">
        <v>50</v>
      </c>
      <c r="D271" s="84">
        <v>0</v>
      </c>
      <c r="E271" s="84" t="s">
        <v>266</v>
      </c>
      <c r="F271" s="89" t="s">
        <v>267</v>
      </c>
      <c r="G271" s="89" t="s">
        <v>268</v>
      </c>
      <c r="H271" s="89" t="s">
        <v>301</v>
      </c>
      <c r="I271" s="89" t="s">
        <v>270</v>
      </c>
      <c r="J271" s="89" t="s">
        <v>271</v>
      </c>
      <c r="K271" s="89" t="s">
        <v>272</v>
      </c>
      <c r="L271" s="89" t="s">
        <v>273</v>
      </c>
      <c r="M271" s="90">
        <v>36892</v>
      </c>
      <c r="N271" s="90">
        <v>401404</v>
      </c>
      <c r="O271" s="90">
        <v>39307</v>
      </c>
    </row>
    <row r="272" spans="1:15">
      <c r="A272" s="83" t="str">
        <f t="shared" si="4"/>
        <v>2420000700</v>
      </c>
      <c r="B272" s="84">
        <v>2420000</v>
      </c>
      <c r="C272" s="84">
        <v>70</v>
      </c>
      <c r="D272" s="84">
        <v>0</v>
      </c>
      <c r="E272" s="84" t="s">
        <v>266</v>
      </c>
      <c r="F272" s="89" t="s">
        <v>267</v>
      </c>
      <c r="G272" s="89" t="s">
        <v>268</v>
      </c>
      <c r="H272" s="89" t="s">
        <v>301</v>
      </c>
      <c r="I272" s="89" t="s">
        <v>270</v>
      </c>
      <c r="J272" s="89" t="s">
        <v>271</v>
      </c>
      <c r="K272" s="89" t="s">
        <v>272</v>
      </c>
      <c r="L272" s="89" t="s">
        <v>273</v>
      </c>
      <c r="M272" s="90">
        <v>36892</v>
      </c>
      <c r="N272" s="90">
        <v>401404</v>
      </c>
      <c r="O272" s="90">
        <v>39307</v>
      </c>
    </row>
    <row r="273" spans="1:15">
      <c r="A273" s="83" t="str">
        <f t="shared" si="4"/>
        <v>2420000900</v>
      </c>
      <c r="B273" s="84">
        <v>2420000</v>
      </c>
      <c r="C273" s="84">
        <v>90</v>
      </c>
      <c r="D273" s="84">
        <v>0</v>
      </c>
      <c r="E273" s="84" t="s">
        <v>266</v>
      </c>
      <c r="F273" s="89" t="s">
        <v>267</v>
      </c>
      <c r="G273" s="89" t="s">
        <v>268</v>
      </c>
      <c r="H273" s="89" t="s">
        <v>301</v>
      </c>
      <c r="I273" s="89" t="s">
        <v>270</v>
      </c>
      <c r="J273" s="89" t="s">
        <v>271</v>
      </c>
      <c r="K273" s="89" t="s">
        <v>272</v>
      </c>
      <c r="L273" s="89" t="s">
        <v>273</v>
      </c>
      <c r="M273" s="90">
        <v>36892</v>
      </c>
      <c r="N273" s="90">
        <v>401404</v>
      </c>
      <c r="O273" s="90">
        <v>39307</v>
      </c>
    </row>
    <row r="274" spans="1:15">
      <c r="A274" s="83" t="str">
        <f t="shared" si="4"/>
        <v>2420000950</v>
      </c>
      <c r="B274" s="84">
        <v>2420000</v>
      </c>
      <c r="C274" s="84">
        <v>95</v>
      </c>
      <c r="D274" s="84">
        <v>0</v>
      </c>
      <c r="E274" s="84" t="s">
        <v>266</v>
      </c>
      <c r="F274" s="89" t="s">
        <v>267</v>
      </c>
      <c r="G274" s="89" t="s">
        <v>268</v>
      </c>
      <c r="H274" s="89" t="s">
        <v>301</v>
      </c>
      <c r="I274" s="89" t="s">
        <v>270</v>
      </c>
      <c r="J274" s="89" t="s">
        <v>271</v>
      </c>
      <c r="K274" s="89" t="s">
        <v>287</v>
      </c>
      <c r="L274" s="89" t="s">
        <v>273</v>
      </c>
      <c r="M274" s="90">
        <v>36892</v>
      </c>
      <c r="N274" s="90">
        <v>401404</v>
      </c>
      <c r="O274" s="90">
        <v>39484</v>
      </c>
    </row>
    <row r="275" spans="1:15">
      <c r="A275" s="83" t="str">
        <f t="shared" si="4"/>
        <v>24200001030</v>
      </c>
      <c r="B275" s="84">
        <v>2420000</v>
      </c>
      <c r="C275" s="84">
        <v>103</v>
      </c>
      <c r="D275" s="84">
        <v>0</v>
      </c>
      <c r="E275" s="84" t="s">
        <v>266</v>
      </c>
      <c r="F275" s="89" t="s">
        <v>267</v>
      </c>
      <c r="G275" s="89" t="s">
        <v>268</v>
      </c>
      <c r="H275" s="89" t="s">
        <v>301</v>
      </c>
      <c r="I275" s="89" t="s">
        <v>270</v>
      </c>
      <c r="J275" s="89" t="s">
        <v>271</v>
      </c>
      <c r="K275" s="89" t="s">
        <v>272</v>
      </c>
      <c r="L275" s="89" t="s">
        <v>273</v>
      </c>
      <c r="M275" s="90">
        <v>36892</v>
      </c>
      <c r="N275" s="90">
        <v>401404</v>
      </c>
      <c r="O275" s="90">
        <v>39307</v>
      </c>
    </row>
    <row r="276" spans="1:15">
      <c r="A276" s="83" t="str">
        <f t="shared" si="4"/>
        <v>24200001060</v>
      </c>
      <c r="B276" s="84">
        <v>2420000</v>
      </c>
      <c r="C276" s="84">
        <v>106</v>
      </c>
      <c r="D276" s="84">
        <v>0</v>
      </c>
      <c r="E276" s="84" t="s">
        <v>266</v>
      </c>
      <c r="F276" s="89" t="s">
        <v>267</v>
      </c>
      <c r="G276" s="89" t="s">
        <v>268</v>
      </c>
      <c r="H276" s="89" t="s">
        <v>301</v>
      </c>
      <c r="I276" s="89" t="s">
        <v>270</v>
      </c>
      <c r="J276" s="89" t="s">
        <v>271</v>
      </c>
      <c r="K276" s="89" t="s">
        <v>272</v>
      </c>
      <c r="L276" s="89" t="s">
        <v>273</v>
      </c>
      <c r="M276" s="90">
        <v>36892</v>
      </c>
      <c r="N276" s="90">
        <v>401404</v>
      </c>
      <c r="O276" s="90">
        <v>39307</v>
      </c>
    </row>
    <row r="277" spans="1:15">
      <c r="A277" s="83" t="str">
        <f t="shared" si="4"/>
        <v>24200001070</v>
      </c>
      <c r="B277" s="84">
        <v>2420000</v>
      </c>
      <c r="C277" s="84">
        <v>107</v>
      </c>
      <c r="D277" s="84">
        <v>0</v>
      </c>
      <c r="E277" s="84" t="s">
        <v>266</v>
      </c>
      <c r="F277" s="89" t="s">
        <v>267</v>
      </c>
      <c r="G277" s="89" t="s">
        <v>268</v>
      </c>
      <c r="H277" s="89" t="s">
        <v>301</v>
      </c>
      <c r="I277" s="89" t="s">
        <v>270</v>
      </c>
      <c r="J277" s="89" t="s">
        <v>271</v>
      </c>
      <c r="K277" s="89" t="s">
        <v>272</v>
      </c>
      <c r="L277" s="89" t="s">
        <v>21</v>
      </c>
      <c r="M277" s="90">
        <v>36892</v>
      </c>
      <c r="N277" s="90">
        <v>401404</v>
      </c>
      <c r="O277" s="90">
        <v>39307</v>
      </c>
    </row>
    <row r="278" spans="1:15">
      <c r="A278" s="83" t="str">
        <f t="shared" si="4"/>
        <v>24200001080</v>
      </c>
      <c r="B278" s="84">
        <v>2420000</v>
      </c>
      <c r="C278" s="84">
        <v>108</v>
      </c>
      <c r="D278" s="84">
        <v>0</v>
      </c>
      <c r="E278" s="84" t="s">
        <v>266</v>
      </c>
      <c r="F278" s="89" t="s">
        <v>267</v>
      </c>
      <c r="G278" s="89" t="s">
        <v>268</v>
      </c>
      <c r="H278" s="89" t="s">
        <v>301</v>
      </c>
      <c r="I278" s="89" t="s">
        <v>270</v>
      </c>
      <c r="J278" s="89" t="s">
        <v>271</v>
      </c>
      <c r="K278" s="89" t="s">
        <v>272</v>
      </c>
      <c r="L278" s="89" t="s">
        <v>273</v>
      </c>
      <c r="M278" s="90">
        <v>36892</v>
      </c>
      <c r="N278" s="90">
        <v>401404</v>
      </c>
      <c r="O278" s="90">
        <v>39307</v>
      </c>
    </row>
    <row r="279" spans="1:15">
      <c r="A279" s="83" t="str">
        <f t="shared" si="4"/>
        <v>24200001090</v>
      </c>
      <c r="B279" s="84">
        <v>2420000</v>
      </c>
      <c r="C279" s="84">
        <v>109</v>
      </c>
      <c r="D279" s="84">
        <v>0</v>
      </c>
      <c r="E279" s="84" t="s">
        <v>266</v>
      </c>
      <c r="F279" s="89" t="s">
        <v>267</v>
      </c>
      <c r="G279" s="89" t="s">
        <v>268</v>
      </c>
      <c r="H279" s="89" t="s">
        <v>301</v>
      </c>
      <c r="I279" s="89" t="s">
        <v>270</v>
      </c>
      <c r="J279" s="89" t="s">
        <v>271</v>
      </c>
      <c r="K279" s="89" t="s">
        <v>272</v>
      </c>
      <c r="L279" s="89" t="s">
        <v>21</v>
      </c>
      <c r="M279" s="90">
        <v>36892</v>
      </c>
      <c r="N279" s="90">
        <v>401404</v>
      </c>
      <c r="O279" s="90">
        <v>39307</v>
      </c>
    </row>
    <row r="280" spans="1:15">
      <c r="A280" s="83" t="str">
        <f t="shared" si="4"/>
        <v>24200001100</v>
      </c>
      <c r="B280" s="84">
        <v>2420000</v>
      </c>
      <c r="C280" s="84">
        <v>110</v>
      </c>
      <c r="D280" s="84">
        <v>0</v>
      </c>
      <c r="E280" s="84" t="s">
        <v>266</v>
      </c>
      <c r="F280" s="89" t="s">
        <v>267</v>
      </c>
      <c r="G280" s="89" t="s">
        <v>268</v>
      </c>
      <c r="H280" s="89" t="s">
        <v>301</v>
      </c>
      <c r="I280" s="89" t="s">
        <v>270</v>
      </c>
      <c r="J280" s="89" t="s">
        <v>271</v>
      </c>
      <c r="K280" s="89" t="s">
        <v>272</v>
      </c>
      <c r="L280" s="89" t="s">
        <v>273</v>
      </c>
      <c r="M280" s="90">
        <v>36892</v>
      </c>
      <c r="N280" s="90">
        <v>401404</v>
      </c>
      <c r="O280" s="90">
        <v>39307</v>
      </c>
    </row>
    <row r="281" spans="1:15">
      <c r="A281" s="83" t="str">
        <f t="shared" si="4"/>
        <v>24200001110</v>
      </c>
      <c r="B281" s="84">
        <v>2420000</v>
      </c>
      <c r="C281" s="84">
        <v>111</v>
      </c>
      <c r="D281" s="84">
        <v>0</v>
      </c>
      <c r="E281" s="84" t="s">
        <v>266</v>
      </c>
      <c r="F281" s="89" t="s">
        <v>267</v>
      </c>
      <c r="G281" s="89" t="s">
        <v>268</v>
      </c>
      <c r="H281" s="89" t="s">
        <v>301</v>
      </c>
      <c r="I281" s="89" t="s">
        <v>270</v>
      </c>
      <c r="J281" s="89" t="s">
        <v>271</v>
      </c>
      <c r="K281" s="89" t="s">
        <v>287</v>
      </c>
      <c r="L281" s="89" t="s">
        <v>273</v>
      </c>
      <c r="M281" s="90">
        <v>36892</v>
      </c>
      <c r="N281" s="90">
        <v>401404</v>
      </c>
      <c r="O281" s="90">
        <v>39484</v>
      </c>
    </row>
    <row r="282" spans="1:15">
      <c r="A282" s="83" t="str">
        <f t="shared" si="4"/>
        <v>24200001120</v>
      </c>
      <c r="B282" s="84">
        <v>2420000</v>
      </c>
      <c r="C282" s="84">
        <v>112</v>
      </c>
      <c r="D282" s="84">
        <v>0</v>
      </c>
      <c r="E282" s="84" t="s">
        <v>266</v>
      </c>
      <c r="F282" s="89" t="s">
        <v>267</v>
      </c>
      <c r="G282" s="89" t="s">
        <v>268</v>
      </c>
      <c r="H282" s="89" t="s">
        <v>301</v>
      </c>
      <c r="I282" s="89" t="s">
        <v>270</v>
      </c>
      <c r="J282" s="89" t="s">
        <v>271</v>
      </c>
      <c r="K282" s="89" t="s">
        <v>272</v>
      </c>
      <c r="L282" s="89" t="s">
        <v>273</v>
      </c>
      <c r="M282" s="90">
        <v>36892</v>
      </c>
      <c r="N282" s="90">
        <v>401404</v>
      </c>
      <c r="O282" s="90">
        <v>39307</v>
      </c>
    </row>
    <row r="283" spans="1:15">
      <c r="A283" s="83" t="str">
        <f t="shared" si="4"/>
        <v>24200002600</v>
      </c>
      <c r="B283" s="84">
        <v>2420000</v>
      </c>
      <c r="C283" s="84">
        <v>260</v>
      </c>
      <c r="D283" s="84">
        <v>0</v>
      </c>
      <c r="E283" s="84" t="s">
        <v>266</v>
      </c>
      <c r="F283" s="89" t="s">
        <v>267</v>
      </c>
      <c r="G283" s="89" t="s">
        <v>268</v>
      </c>
      <c r="H283" s="89" t="s">
        <v>301</v>
      </c>
      <c r="I283" s="89" t="s">
        <v>270</v>
      </c>
      <c r="J283" s="89" t="s">
        <v>271</v>
      </c>
      <c r="K283" s="89" t="s">
        <v>272</v>
      </c>
      <c r="L283" s="89" t="s">
        <v>21</v>
      </c>
      <c r="M283" s="90">
        <v>36892</v>
      </c>
      <c r="N283" s="90">
        <v>401404</v>
      </c>
      <c r="O283" s="90">
        <v>39307</v>
      </c>
    </row>
    <row r="284" spans="1:15">
      <c r="A284" s="83" t="str">
        <f t="shared" si="4"/>
        <v>24200002700</v>
      </c>
      <c r="B284" s="84">
        <v>2420000</v>
      </c>
      <c r="C284" s="84">
        <v>270</v>
      </c>
      <c r="D284" s="84">
        <v>0</v>
      </c>
      <c r="E284" s="84" t="s">
        <v>266</v>
      </c>
      <c r="F284" s="89" t="s">
        <v>267</v>
      </c>
      <c r="G284" s="89" t="s">
        <v>268</v>
      </c>
      <c r="H284" s="89" t="s">
        <v>301</v>
      </c>
      <c r="I284" s="89" t="s">
        <v>274</v>
      </c>
      <c r="J284" s="89" t="s">
        <v>275</v>
      </c>
      <c r="K284" s="89" t="s">
        <v>302</v>
      </c>
      <c r="L284" s="89" t="s">
        <v>273</v>
      </c>
      <c r="M284" s="90">
        <v>36161</v>
      </c>
      <c r="N284" s="90">
        <v>2958465</v>
      </c>
      <c r="O284" s="90">
        <v>41087</v>
      </c>
    </row>
    <row r="285" spans="1:15">
      <c r="A285" s="83" t="str">
        <f t="shared" si="4"/>
        <v>24200003000</v>
      </c>
      <c r="B285" s="84">
        <v>2420000</v>
      </c>
      <c r="C285" s="84">
        <v>300</v>
      </c>
      <c r="D285" s="84">
        <v>0</v>
      </c>
      <c r="E285" s="84" t="s">
        <v>266</v>
      </c>
      <c r="F285" s="89" t="s">
        <v>267</v>
      </c>
      <c r="G285" s="89" t="s">
        <v>268</v>
      </c>
      <c r="H285" s="89" t="s">
        <v>301</v>
      </c>
      <c r="I285" s="89" t="s">
        <v>270</v>
      </c>
      <c r="J285" s="89" t="s">
        <v>271</v>
      </c>
      <c r="K285" s="89" t="s">
        <v>272</v>
      </c>
      <c r="L285" s="89" t="s">
        <v>21</v>
      </c>
      <c r="M285" s="90">
        <v>36892</v>
      </c>
      <c r="N285" s="90">
        <v>401404</v>
      </c>
      <c r="O285" s="90">
        <v>39307</v>
      </c>
    </row>
    <row r="286" spans="1:15">
      <c r="A286" s="83" t="str">
        <f t="shared" si="4"/>
        <v>24200003280</v>
      </c>
      <c r="B286" s="84">
        <v>2420000</v>
      </c>
      <c r="C286" s="84">
        <v>328</v>
      </c>
      <c r="D286" s="84">
        <v>0</v>
      </c>
      <c r="E286" s="84" t="s">
        <v>266</v>
      </c>
      <c r="F286" s="89" t="s">
        <v>267</v>
      </c>
      <c r="G286" s="89" t="s">
        <v>268</v>
      </c>
      <c r="H286" s="89" t="s">
        <v>301</v>
      </c>
      <c r="I286" s="89" t="s">
        <v>270</v>
      </c>
      <c r="J286" s="89" t="s">
        <v>271</v>
      </c>
      <c r="K286" s="89" t="s">
        <v>272</v>
      </c>
      <c r="L286" s="89" t="s">
        <v>273</v>
      </c>
      <c r="M286" s="90">
        <v>36892</v>
      </c>
      <c r="N286" s="90">
        <v>401404</v>
      </c>
      <c r="O286" s="90">
        <v>39307</v>
      </c>
    </row>
    <row r="287" spans="1:15">
      <c r="A287" s="83" t="str">
        <f t="shared" si="4"/>
        <v>24200003810</v>
      </c>
      <c r="B287" s="84">
        <v>2420000</v>
      </c>
      <c r="C287" s="84">
        <v>381</v>
      </c>
      <c r="D287" s="84">
        <v>0</v>
      </c>
      <c r="E287" s="84" t="s">
        <v>266</v>
      </c>
      <c r="F287" s="89" t="s">
        <v>267</v>
      </c>
      <c r="G287" s="89" t="s">
        <v>268</v>
      </c>
      <c r="H287" s="89" t="s">
        <v>301</v>
      </c>
      <c r="I287" s="89" t="s">
        <v>270</v>
      </c>
      <c r="J287" s="89" t="s">
        <v>271</v>
      </c>
      <c r="K287" s="89" t="s">
        <v>272</v>
      </c>
      <c r="L287" s="89" t="s">
        <v>273</v>
      </c>
      <c r="M287" s="90">
        <v>36892</v>
      </c>
      <c r="N287" s="90">
        <v>401404</v>
      </c>
      <c r="O287" s="90">
        <v>39307</v>
      </c>
    </row>
    <row r="288" spans="1:15">
      <c r="A288" s="83" t="str">
        <f t="shared" si="4"/>
        <v>24200003850</v>
      </c>
      <c r="B288" s="84">
        <v>2420000</v>
      </c>
      <c r="C288" s="84">
        <v>385</v>
      </c>
      <c r="D288" s="84">
        <v>0</v>
      </c>
      <c r="E288" s="84" t="s">
        <v>266</v>
      </c>
      <c r="F288" s="89" t="s">
        <v>267</v>
      </c>
      <c r="G288" s="89" t="s">
        <v>268</v>
      </c>
      <c r="H288" s="89" t="s">
        <v>301</v>
      </c>
      <c r="I288" s="89" t="s">
        <v>274</v>
      </c>
      <c r="J288" s="89" t="s">
        <v>303</v>
      </c>
      <c r="K288" s="89" t="s">
        <v>304</v>
      </c>
      <c r="L288" s="89" t="s">
        <v>273</v>
      </c>
      <c r="M288" s="90">
        <v>36161</v>
      </c>
      <c r="N288" s="90">
        <v>2958465</v>
      </c>
      <c r="O288" s="90">
        <v>39342</v>
      </c>
    </row>
    <row r="289" spans="1:15">
      <c r="A289" s="83" t="str">
        <f t="shared" si="4"/>
        <v>24200009020</v>
      </c>
      <c r="B289" s="84">
        <v>2420000</v>
      </c>
      <c r="C289" s="84">
        <v>902</v>
      </c>
      <c r="D289" s="84">
        <v>0</v>
      </c>
      <c r="E289" s="84" t="s">
        <v>266</v>
      </c>
      <c r="F289" s="89" t="s">
        <v>267</v>
      </c>
      <c r="G289" s="89" t="s">
        <v>268</v>
      </c>
      <c r="H289" s="89" t="s">
        <v>301</v>
      </c>
      <c r="I289" s="89" t="s">
        <v>270</v>
      </c>
      <c r="J289" s="89" t="s">
        <v>271</v>
      </c>
      <c r="K289" s="89" t="s">
        <v>272</v>
      </c>
      <c r="L289" s="89" t="s">
        <v>273</v>
      </c>
      <c r="M289" s="90">
        <v>36892</v>
      </c>
      <c r="N289" s="90">
        <v>401404</v>
      </c>
      <c r="O289" s="90">
        <v>39307</v>
      </c>
    </row>
    <row r="290" spans="1:15">
      <c r="A290" s="83" t="str">
        <f t="shared" si="4"/>
        <v>24200009060</v>
      </c>
      <c r="B290" s="84">
        <v>2420000</v>
      </c>
      <c r="C290" s="84">
        <v>906</v>
      </c>
      <c r="D290" s="84">
        <v>0</v>
      </c>
      <c r="E290" s="84" t="s">
        <v>266</v>
      </c>
      <c r="F290" s="89" t="s">
        <v>267</v>
      </c>
      <c r="G290" s="89" t="s">
        <v>268</v>
      </c>
      <c r="H290" s="89" t="s">
        <v>301</v>
      </c>
      <c r="I290" s="89" t="s">
        <v>270</v>
      </c>
      <c r="J290" s="89" t="s">
        <v>271</v>
      </c>
      <c r="K290" s="89" t="s">
        <v>272</v>
      </c>
      <c r="L290" s="89" t="s">
        <v>273</v>
      </c>
      <c r="M290" s="90">
        <v>36892</v>
      </c>
      <c r="N290" s="90">
        <v>401404</v>
      </c>
      <c r="O290" s="90">
        <v>39307</v>
      </c>
    </row>
    <row r="291" spans="1:15">
      <c r="A291" s="83" t="str">
        <f t="shared" si="4"/>
        <v>242000010340</v>
      </c>
      <c r="B291" s="84">
        <v>2420000</v>
      </c>
      <c r="C291" s="84">
        <v>1034</v>
      </c>
      <c r="D291" s="84">
        <v>0</v>
      </c>
      <c r="E291" s="84" t="s">
        <v>266</v>
      </c>
      <c r="F291" s="89" t="s">
        <v>267</v>
      </c>
      <c r="G291" s="89" t="s">
        <v>268</v>
      </c>
      <c r="H291" s="89" t="s">
        <v>301</v>
      </c>
      <c r="I291" s="89" t="s">
        <v>270</v>
      </c>
      <c r="J291" s="89" t="s">
        <v>271</v>
      </c>
      <c r="K291" s="89" t="s">
        <v>272</v>
      </c>
      <c r="L291" s="89" t="s">
        <v>273</v>
      </c>
      <c r="M291" s="90">
        <v>36892</v>
      </c>
      <c r="N291" s="90">
        <v>401404</v>
      </c>
      <c r="O291" s="90">
        <v>39307</v>
      </c>
    </row>
    <row r="292" spans="1:15">
      <c r="A292" s="83" t="str">
        <f t="shared" si="4"/>
        <v>242000012680</v>
      </c>
      <c r="B292" s="84">
        <v>2420000</v>
      </c>
      <c r="C292" s="84">
        <v>1268</v>
      </c>
      <c r="D292" s="84">
        <v>0</v>
      </c>
      <c r="E292" s="84" t="s">
        <v>266</v>
      </c>
      <c r="F292" s="89" t="s">
        <v>267</v>
      </c>
      <c r="G292" s="89" t="s">
        <v>268</v>
      </c>
      <c r="H292" s="89" t="s">
        <v>301</v>
      </c>
      <c r="I292" s="89" t="s">
        <v>270</v>
      </c>
      <c r="J292" s="89" t="s">
        <v>271</v>
      </c>
      <c r="K292" s="89" t="s">
        <v>272</v>
      </c>
      <c r="L292" s="89" t="s">
        <v>21</v>
      </c>
      <c r="M292" s="90">
        <v>36892</v>
      </c>
      <c r="N292" s="90">
        <v>401404</v>
      </c>
      <c r="O292" s="90">
        <v>39307</v>
      </c>
    </row>
    <row r="293" spans="1:15">
      <c r="A293" s="83" t="str">
        <f t="shared" si="4"/>
        <v>242000050010</v>
      </c>
      <c r="B293" s="84">
        <v>2420000</v>
      </c>
      <c r="C293" s="84">
        <v>5001</v>
      </c>
      <c r="D293" s="84">
        <v>0</v>
      </c>
      <c r="E293" s="84" t="s">
        <v>266</v>
      </c>
      <c r="F293" s="89" t="s">
        <v>267</v>
      </c>
      <c r="G293" s="89" t="s">
        <v>268</v>
      </c>
      <c r="H293" s="89" t="s">
        <v>301</v>
      </c>
      <c r="I293" s="89" t="s">
        <v>270</v>
      </c>
      <c r="J293" s="89" t="s">
        <v>271</v>
      </c>
      <c r="K293" s="89" t="s">
        <v>272</v>
      </c>
      <c r="L293" s="89" t="s">
        <v>273</v>
      </c>
      <c r="M293" s="90">
        <v>36892</v>
      </c>
      <c r="N293" s="90">
        <v>401404</v>
      </c>
      <c r="O293" s="90">
        <v>39307</v>
      </c>
    </row>
    <row r="294" spans="1:15">
      <c r="A294" s="83" t="str">
        <f t="shared" si="4"/>
        <v>242000050020</v>
      </c>
      <c r="B294" s="84">
        <v>2420000</v>
      </c>
      <c r="C294" s="84">
        <v>5002</v>
      </c>
      <c r="D294" s="84">
        <v>0</v>
      </c>
      <c r="E294" s="84" t="s">
        <v>266</v>
      </c>
      <c r="F294" s="89" t="s">
        <v>267</v>
      </c>
      <c r="G294" s="89" t="s">
        <v>268</v>
      </c>
      <c r="H294" s="89" t="s">
        <v>301</v>
      </c>
      <c r="I294" s="89" t="s">
        <v>270</v>
      </c>
      <c r="J294" s="89" t="s">
        <v>271</v>
      </c>
      <c r="K294" s="89" t="s">
        <v>272</v>
      </c>
      <c r="L294" s="89" t="s">
        <v>273</v>
      </c>
      <c r="M294" s="90">
        <v>36892</v>
      </c>
      <c r="N294" s="90">
        <v>401404</v>
      </c>
      <c r="O294" s="90">
        <v>39307</v>
      </c>
    </row>
    <row r="295" spans="1:15">
      <c r="A295" s="83" t="str">
        <f t="shared" si="4"/>
        <v>242000050030</v>
      </c>
      <c r="B295" s="84">
        <v>2420000</v>
      </c>
      <c r="C295" s="84">
        <v>5003</v>
      </c>
      <c r="D295" s="84">
        <v>0</v>
      </c>
      <c r="E295" s="84" t="s">
        <v>266</v>
      </c>
      <c r="F295" s="89" t="s">
        <v>267</v>
      </c>
      <c r="G295" s="89" t="s">
        <v>268</v>
      </c>
      <c r="H295" s="89" t="s">
        <v>301</v>
      </c>
      <c r="I295" s="89" t="s">
        <v>270</v>
      </c>
      <c r="J295" s="89" t="s">
        <v>271</v>
      </c>
      <c r="K295" s="89" t="s">
        <v>272</v>
      </c>
      <c r="L295" s="89" t="s">
        <v>273</v>
      </c>
      <c r="M295" s="90">
        <v>36892</v>
      </c>
      <c r="N295" s="90">
        <v>401404</v>
      </c>
      <c r="O295" s="90">
        <v>39307</v>
      </c>
    </row>
    <row r="296" spans="1:15">
      <c r="A296" s="83" t="str">
        <f t="shared" si="4"/>
        <v>242000050040</v>
      </c>
      <c r="B296" s="84">
        <v>2420000</v>
      </c>
      <c r="C296" s="84">
        <v>5004</v>
      </c>
      <c r="D296" s="84">
        <v>0</v>
      </c>
      <c r="E296" s="84" t="s">
        <v>266</v>
      </c>
      <c r="F296" s="89" t="s">
        <v>267</v>
      </c>
      <c r="G296" s="89" t="s">
        <v>268</v>
      </c>
      <c r="H296" s="89" t="s">
        <v>301</v>
      </c>
      <c r="I296" s="89" t="s">
        <v>270</v>
      </c>
      <c r="J296" s="89" t="s">
        <v>271</v>
      </c>
      <c r="K296" s="89" t="s">
        <v>272</v>
      </c>
      <c r="L296" s="89" t="s">
        <v>273</v>
      </c>
      <c r="M296" s="90">
        <v>36892</v>
      </c>
      <c r="N296" s="90">
        <v>401404</v>
      </c>
      <c r="O296" s="90">
        <v>39307</v>
      </c>
    </row>
    <row r="297" spans="1:15">
      <c r="A297" s="83" t="str">
        <f t="shared" si="4"/>
        <v>242000050050</v>
      </c>
      <c r="B297" s="84">
        <v>2420000</v>
      </c>
      <c r="C297" s="84">
        <v>5005</v>
      </c>
      <c r="D297" s="84">
        <v>0</v>
      </c>
      <c r="E297" s="84" t="s">
        <v>266</v>
      </c>
      <c r="F297" s="89" t="s">
        <v>267</v>
      </c>
      <c r="G297" s="89" t="s">
        <v>268</v>
      </c>
      <c r="H297" s="89" t="s">
        <v>301</v>
      </c>
      <c r="I297" s="89" t="s">
        <v>270</v>
      </c>
      <c r="J297" s="89" t="s">
        <v>271</v>
      </c>
      <c r="K297" s="89" t="s">
        <v>272</v>
      </c>
      <c r="L297" s="89" t="s">
        <v>273</v>
      </c>
      <c r="M297" s="90">
        <v>36892</v>
      </c>
      <c r="N297" s="90">
        <v>401404</v>
      </c>
      <c r="O297" s="90">
        <v>39307</v>
      </c>
    </row>
    <row r="298" spans="1:15">
      <c r="A298" s="83" t="str">
        <f t="shared" si="4"/>
        <v>242000053010</v>
      </c>
      <c r="B298" s="84">
        <v>2420000</v>
      </c>
      <c r="C298" s="84">
        <v>5301</v>
      </c>
      <c r="D298" s="84">
        <v>0</v>
      </c>
      <c r="E298" s="84" t="s">
        <v>266</v>
      </c>
      <c r="F298" s="89" t="s">
        <v>267</v>
      </c>
      <c r="G298" s="89" t="s">
        <v>268</v>
      </c>
      <c r="H298" s="89" t="s">
        <v>301</v>
      </c>
      <c r="I298" s="89" t="s">
        <v>270</v>
      </c>
      <c r="J298" s="89" t="s">
        <v>271</v>
      </c>
      <c r="K298" s="89" t="s">
        <v>272</v>
      </c>
      <c r="L298" s="89" t="s">
        <v>273</v>
      </c>
      <c r="M298" s="90">
        <v>36892</v>
      </c>
      <c r="N298" s="90">
        <v>401404</v>
      </c>
      <c r="O298" s="90">
        <v>39307</v>
      </c>
    </row>
    <row r="299" spans="1:15">
      <c r="A299" s="83" t="str">
        <f t="shared" si="4"/>
        <v>242000053020</v>
      </c>
      <c r="B299" s="84">
        <v>2420000</v>
      </c>
      <c r="C299" s="84">
        <v>5302</v>
      </c>
      <c r="D299" s="84">
        <v>0</v>
      </c>
      <c r="E299" s="84" t="s">
        <v>266</v>
      </c>
      <c r="F299" s="89" t="s">
        <v>267</v>
      </c>
      <c r="G299" s="89" t="s">
        <v>268</v>
      </c>
      <c r="H299" s="89" t="s">
        <v>301</v>
      </c>
      <c r="I299" s="89" t="s">
        <v>270</v>
      </c>
      <c r="J299" s="89" t="s">
        <v>271</v>
      </c>
      <c r="K299" s="89" t="s">
        <v>272</v>
      </c>
      <c r="L299" s="89" t="s">
        <v>273</v>
      </c>
      <c r="M299" s="90">
        <v>36892</v>
      </c>
      <c r="N299" s="90">
        <v>401404</v>
      </c>
      <c r="O299" s="90">
        <v>39307</v>
      </c>
    </row>
    <row r="300" spans="1:15">
      <c r="A300" s="83" t="str">
        <f t="shared" si="4"/>
        <v>242000053030</v>
      </c>
      <c r="B300" s="84">
        <v>2420000</v>
      </c>
      <c r="C300" s="84">
        <v>5303</v>
      </c>
      <c r="D300" s="84">
        <v>0</v>
      </c>
      <c r="E300" s="84" t="s">
        <v>266</v>
      </c>
      <c r="F300" s="89" t="s">
        <v>267</v>
      </c>
      <c r="G300" s="89" t="s">
        <v>268</v>
      </c>
      <c r="H300" s="89" t="s">
        <v>301</v>
      </c>
      <c r="I300" s="89" t="s">
        <v>270</v>
      </c>
      <c r="J300" s="89" t="s">
        <v>271</v>
      </c>
      <c r="K300" s="89" t="s">
        <v>272</v>
      </c>
      <c r="L300" s="89" t="s">
        <v>273</v>
      </c>
      <c r="M300" s="90">
        <v>36892</v>
      </c>
      <c r="N300" s="90">
        <v>401404</v>
      </c>
      <c r="O300" s="90">
        <v>39307</v>
      </c>
    </row>
    <row r="301" spans="1:15">
      <c r="A301" s="83" t="str">
        <f t="shared" si="4"/>
        <v>242000053040</v>
      </c>
      <c r="B301" s="84">
        <v>2420000</v>
      </c>
      <c r="C301" s="84">
        <v>5304</v>
      </c>
      <c r="D301" s="84">
        <v>0</v>
      </c>
      <c r="E301" s="84" t="s">
        <v>266</v>
      </c>
      <c r="F301" s="89" t="s">
        <v>267</v>
      </c>
      <c r="G301" s="89" t="s">
        <v>268</v>
      </c>
      <c r="H301" s="89" t="s">
        <v>301</v>
      </c>
      <c r="I301" s="89" t="s">
        <v>270</v>
      </c>
      <c r="J301" s="89" t="s">
        <v>271</v>
      </c>
      <c r="K301" s="89" t="s">
        <v>272</v>
      </c>
      <c r="L301" s="89" t="s">
        <v>273</v>
      </c>
      <c r="M301" s="90">
        <v>36892</v>
      </c>
      <c r="N301" s="90">
        <v>401404</v>
      </c>
      <c r="O301" s="90">
        <v>39307</v>
      </c>
    </row>
    <row r="302" spans="1:15">
      <c r="A302" s="83" t="str">
        <f t="shared" si="4"/>
        <v>242000054020</v>
      </c>
      <c r="B302" s="84">
        <v>2420000</v>
      </c>
      <c r="C302" s="84">
        <v>5402</v>
      </c>
      <c r="D302" s="84">
        <v>0</v>
      </c>
      <c r="E302" s="84" t="s">
        <v>266</v>
      </c>
      <c r="F302" s="89" t="s">
        <v>267</v>
      </c>
      <c r="G302" s="89" t="s">
        <v>268</v>
      </c>
      <c r="H302" s="89" t="s">
        <v>301</v>
      </c>
      <c r="I302" s="89" t="s">
        <v>270</v>
      </c>
      <c r="J302" s="89" t="s">
        <v>271</v>
      </c>
      <c r="K302" s="89" t="s">
        <v>272</v>
      </c>
      <c r="L302" s="89" t="s">
        <v>273</v>
      </c>
      <c r="M302" s="90">
        <v>36892</v>
      </c>
      <c r="N302" s="90">
        <v>401404</v>
      </c>
      <c r="O302" s="90">
        <v>39307</v>
      </c>
    </row>
    <row r="303" spans="1:15">
      <c r="A303" s="83" t="str">
        <f t="shared" si="4"/>
        <v>242000054030</v>
      </c>
      <c r="B303" s="84">
        <v>2420000</v>
      </c>
      <c r="C303" s="84">
        <v>5403</v>
      </c>
      <c r="D303" s="84">
        <v>0</v>
      </c>
      <c r="E303" s="84" t="s">
        <v>266</v>
      </c>
      <c r="F303" s="89" t="s">
        <v>267</v>
      </c>
      <c r="G303" s="89" t="s">
        <v>268</v>
      </c>
      <c r="H303" s="89" t="s">
        <v>301</v>
      </c>
      <c r="I303" s="89" t="s">
        <v>270</v>
      </c>
      <c r="J303" s="89" t="s">
        <v>271</v>
      </c>
      <c r="K303" s="89" t="s">
        <v>272</v>
      </c>
      <c r="L303" s="89" t="s">
        <v>273</v>
      </c>
      <c r="M303" s="90">
        <v>36892</v>
      </c>
      <c r="N303" s="90">
        <v>401404</v>
      </c>
      <c r="O303" s="90">
        <v>39307</v>
      </c>
    </row>
    <row r="304" spans="1:15">
      <c r="A304" s="83" t="str">
        <f t="shared" si="4"/>
        <v>242000054040</v>
      </c>
      <c r="B304" s="84">
        <v>2420000</v>
      </c>
      <c r="C304" s="84">
        <v>5404</v>
      </c>
      <c r="D304" s="84">
        <v>0</v>
      </c>
      <c r="E304" s="84" t="s">
        <v>266</v>
      </c>
      <c r="F304" s="89" t="s">
        <v>267</v>
      </c>
      <c r="G304" s="89" t="s">
        <v>268</v>
      </c>
      <c r="H304" s="89" t="s">
        <v>301</v>
      </c>
      <c r="I304" s="89" t="s">
        <v>270</v>
      </c>
      <c r="J304" s="89" t="s">
        <v>271</v>
      </c>
      <c r="K304" s="89" t="s">
        <v>272</v>
      </c>
      <c r="L304" s="89" t="s">
        <v>273</v>
      </c>
      <c r="M304" s="90">
        <v>36892</v>
      </c>
      <c r="N304" s="90">
        <v>401404</v>
      </c>
      <c r="O304" s="90">
        <v>39307</v>
      </c>
    </row>
    <row r="305" spans="1:15">
      <c r="A305" s="83" t="str">
        <f t="shared" si="4"/>
        <v>242000054050</v>
      </c>
      <c r="B305" s="84">
        <v>2420000</v>
      </c>
      <c r="C305" s="84">
        <v>5405</v>
      </c>
      <c r="D305" s="84">
        <v>0</v>
      </c>
      <c r="E305" s="84" t="s">
        <v>266</v>
      </c>
      <c r="F305" s="89" t="s">
        <v>267</v>
      </c>
      <c r="G305" s="89" t="s">
        <v>268</v>
      </c>
      <c r="H305" s="89" t="s">
        <v>301</v>
      </c>
      <c r="I305" s="89" t="s">
        <v>270</v>
      </c>
      <c r="J305" s="89" t="s">
        <v>271</v>
      </c>
      <c r="K305" s="89" t="s">
        <v>272</v>
      </c>
      <c r="L305" s="89" t="s">
        <v>273</v>
      </c>
      <c r="M305" s="90">
        <v>36892</v>
      </c>
      <c r="N305" s="90">
        <v>401404</v>
      </c>
      <c r="O305" s="90">
        <v>39307</v>
      </c>
    </row>
    <row r="306" spans="1:15">
      <c r="A306" s="83" t="str">
        <f t="shared" si="4"/>
        <v>242000054060</v>
      </c>
      <c r="B306" s="84">
        <v>2420000</v>
      </c>
      <c r="C306" s="84">
        <v>5406</v>
      </c>
      <c r="D306" s="84">
        <v>0</v>
      </c>
      <c r="E306" s="84" t="s">
        <v>266</v>
      </c>
      <c r="F306" s="89" t="s">
        <v>267</v>
      </c>
      <c r="G306" s="89" t="s">
        <v>268</v>
      </c>
      <c r="H306" s="89" t="s">
        <v>301</v>
      </c>
      <c r="I306" s="89" t="s">
        <v>270</v>
      </c>
      <c r="J306" s="89" t="s">
        <v>271</v>
      </c>
      <c r="K306" s="89" t="s">
        <v>272</v>
      </c>
      <c r="L306" s="89" t="s">
        <v>273</v>
      </c>
      <c r="M306" s="90">
        <v>36892</v>
      </c>
      <c r="N306" s="90">
        <v>401404</v>
      </c>
      <c r="O306" s="90">
        <v>39307</v>
      </c>
    </row>
    <row r="307" spans="1:15">
      <c r="A307" s="83" t="str">
        <f t="shared" si="4"/>
        <v>242000055010</v>
      </c>
      <c r="B307" s="84">
        <v>2420000</v>
      </c>
      <c r="C307" s="84">
        <v>5501</v>
      </c>
      <c r="D307" s="84">
        <v>0</v>
      </c>
      <c r="E307" s="84" t="s">
        <v>266</v>
      </c>
      <c r="F307" s="89" t="s">
        <v>267</v>
      </c>
      <c r="G307" s="89" t="s">
        <v>268</v>
      </c>
      <c r="H307" s="89" t="s">
        <v>301</v>
      </c>
      <c r="I307" s="89" t="s">
        <v>270</v>
      </c>
      <c r="J307" s="89" t="s">
        <v>271</v>
      </c>
      <c r="K307" s="89" t="s">
        <v>272</v>
      </c>
      <c r="L307" s="89" t="s">
        <v>273</v>
      </c>
      <c r="M307" s="90">
        <v>36892</v>
      </c>
      <c r="N307" s="90">
        <v>401404</v>
      </c>
      <c r="O307" s="90">
        <v>39307</v>
      </c>
    </row>
    <row r="308" spans="1:15">
      <c r="A308" s="83" t="str">
        <f t="shared" si="4"/>
        <v>242000055020</v>
      </c>
      <c r="B308" s="84">
        <v>2420000</v>
      </c>
      <c r="C308" s="84">
        <v>5502</v>
      </c>
      <c r="D308" s="84">
        <v>0</v>
      </c>
      <c r="E308" s="84" t="s">
        <v>266</v>
      </c>
      <c r="F308" s="89" t="s">
        <v>267</v>
      </c>
      <c r="G308" s="89" t="s">
        <v>268</v>
      </c>
      <c r="H308" s="89" t="s">
        <v>301</v>
      </c>
      <c r="I308" s="89" t="s">
        <v>270</v>
      </c>
      <c r="J308" s="89" t="s">
        <v>271</v>
      </c>
      <c r="K308" s="89" t="s">
        <v>272</v>
      </c>
      <c r="L308" s="89" t="s">
        <v>273</v>
      </c>
      <c r="M308" s="90">
        <v>36892</v>
      </c>
      <c r="N308" s="90">
        <v>401404</v>
      </c>
      <c r="O308" s="90">
        <v>39307</v>
      </c>
    </row>
    <row r="309" spans="1:15">
      <c r="A309" s="83" t="str">
        <f t="shared" si="4"/>
        <v>242000055030</v>
      </c>
      <c r="B309" s="84">
        <v>2420000</v>
      </c>
      <c r="C309" s="84">
        <v>5503</v>
      </c>
      <c r="D309" s="84">
        <v>0</v>
      </c>
      <c r="E309" s="84" t="s">
        <v>266</v>
      </c>
      <c r="F309" s="89" t="s">
        <v>267</v>
      </c>
      <c r="G309" s="89" t="s">
        <v>268</v>
      </c>
      <c r="H309" s="89" t="s">
        <v>301</v>
      </c>
      <c r="I309" s="89" t="s">
        <v>270</v>
      </c>
      <c r="J309" s="89" t="s">
        <v>271</v>
      </c>
      <c r="K309" s="89" t="s">
        <v>272</v>
      </c>
      <c r="L309" s="89" t="s">
        <v>273</v>
      </c>
      <c r="M309" s="90">
        <v>36892</v>
      </c>
      <c r="N309" s="90">
        <v>401404</v>
      </c>
      <c r="O309" s="90">
        <v>39307</v>
      </c>
    </row>
    <row r="310" spans="1:15">
      <c r="A310" s="83" t="str">
        <f t="shared" si="4"/>
        <v>242000055040</v>
      </c>
      <c r="B310" s="84">
        <v>2420000</v>
      </c>
      <c r="C310" s="84">
        <v>5504</v>
      </c>
      <c r="D310" s="84">
        <v>0</v>
      </c>
      <c r="E310" s="84" t="s">
        <v>266</v>
      </c>
      <c r="F310" s="89" t="s">
        <v>267</v>
      </c>
      <c r="G310" s="89" t="s">
        <v>268</v>
      </c>
      <c r="H310" s="89" t="s">
        <v>301</v>
      </c>
      <c r="I310" s="89" t="s">
        <v>270</v>
      </c>
      <c r="J310" s="89" t="s">
        <v>271</v>
      </c>
      <c r="K310" s="89" t="s">
        <v>272</v>
      </c>
      <c r="L310" s="89" t="s">
        <v>21</v>
      </c>
      <c r="M310" s="90">
        <v>36892</v>
      </c>
      <c r="N310" s="90">
        <v>401404</v>
      </c>
      <c r="O310" s="90">
        <v>39307</v>
      </c>
    </row>
    <row r="311" spans="1:15">
      <c r="A311" s="83" t="str">
        <f t="shared" si="4"/>
        <v>242000055050</v>
      </c>
      <c r="B311" s="84">
        <v>2420000</v>
      </c>
      <c r="C311" s="84">
        <v>5505</v>
      </c>
      <c r="D311" s="84">
        <v>0</v>
      </c>
      <c r="E311" s="84" t="s">
        <v>266</v>
      </c>
      <c r="F311" s="89" t="s">
        <v>267</v>
      </c>
      <c r="G311" s="89" t="s">
        <v>268</v>
      </c>
      <c r="H311" s="89" t="s">
        <v>301</v>
      </c>
      <c r="I311" s="89" t="s">
        <v>270</v>
      </c>
      <c r="J311" s="89" t="s">
        <v>271</v>
      </c>
      <c r="K311" s="89" t="s">
        <v>272</v>
      </c>
      <c r="L311" s="89" t="s">
        <v>273</v>
      </c>
      <c r="M311" s="90">
        <v>36892</v>
      </c>
      <c r="N311" s="90">
        <v>401404</v>
      </c>
      <c r="O311" s="90">
        <v>39307</v>
      </c>
    </row>
    <row r="312" spans="1:15">
      <c r="A312" s="83" t="str">
        <f t="shared" si="4"/>
        <v>242000057010</v>
      </c>
      <c r="B312" s="84">
        <v>2420000</v>
      </c>
      <c r="C312" s="84">
        <v>5701</v>
      </c>
      <c r="D312" s="84">
        <v>0</v>
      </c>
      <c r="E312" s="84" t="s">
        <v>266</v>
      </c>
      <c r="F312" s="89" t="s">
        <v>267</v>
      </c>
      <c r="G312" s="89" t="s">
        <v>268</v>
      </c>
      <c r="H312" s="89" t="s">
        <v>301</v>
      </c>
      <c r="I312" s="89" t="s">
        <v>270</v>
      </c>
      <c r="J312" s="89" t="s">
        <v>271</v>
      </c>
      <c r="K312" s="89" t="s">
        <v>272</v>
      </c>
      <c r="L312" s="89" t="s">
        <v>273</v>
      </c>
      <c r="M312" s="90">
        <v>36892</v>
      </c>
      <c r="N312" s="90">
        <v>401404</v>
      </c>
      <c r="O312" s="90">
        <v>39307</v>
      </c>
    </row>
    <row r="313" spans="1:15">
      <c r="A313" s="83" t="str">
        <f t="shared" si="4"/>
        <v>242000057020</v>
      </c>
      <c r="B313" s="84">
        <v>2420000</v>
      </c>
      <c r="C313" s="84">
        <v>5702</v>
      </c>
      <c r="D313" s="84">
        <v>0</v>
      </c>
      <c r="E313" s="84" t="s">
        <v>266</v>
      </c>
      <c r="F313" s="89" t="s">
        <v>267</v>
      </c>
      <c r="G313" s="89" t="s">
        <v>268</v>
      </c>
      <c r="H313" s="89" t="s">
        <v>301</v>
      </c>
      <c r="I313" s="89" t="s">
        <v>270</v>
      </c>
      <c r="J313" s="89" t="s">
        <v>271</v>
      </c>
      <c r="K313" s="89" t="s">
        <v>272</v>
      </c>
      <c r="L313" s="89" t="s">
        <v>273</v>
      </c>
      <c r="M313" s="90">
        <v>36892</v>
      </c>
      <c r="N313" s="90">
        <v>401404</v>
      </c>
      <c r="O313" s="90">
        <v>39307</v>
      </c>
    </row>
    <row r="314" spans="1:15">
      <c r="A314" s="83" t="str">
        <f t="shared" si="4"/>
        <v>242000058010</v>
      </c>
      <c r="B314" s="84">
        <v>2420000</v>
      </c>
      <c r="C314" s="84">
        <v>5801</v>
      </c>
      <c r="D314" s="84">
        <v>0</v>
      </c>
      <c r="E314" s="84" t="s">
        <v>266</v>
      </c>
      <c r="F314" s="89" t="s">
        <v>267</v>
      </c>
      <c r="G314" s="89" t="s">
        <v>268</v>
      </c>
      <c r="H314" s="89" t="s">
        <v>301</v>
      </c>
      <c r="I314" s="89" t="s">
        <v>270</v>
      </c>
      <c r="J314" s="89" t="s">
        <v>271</v>
      </c>
      <c r="K314" s="89" t="s">
        <v>272</v>
      </c>
      <c r="L314" s="89" t="s">
        <v>273</v>
      </c>
      <c r="M314" s="90">
        <v>36892</v>
      </c>
      <c r="N314" s="90">
        <v>401404</v>
      </c>
      <c r="O314" s="90">
        <v>39307</v>
      </c>
    </row>
    <row r="315" spans="1:15">
      <c r="A315" s="83" t="str">
        <f t="shared" si="4"/>
        <v>242000058020</v>
      </c>
      <c r="B315" s="84">
        <v>2420000</v>
      </c>
      <c r="C315" s="84">
        <v>5802</v>
      </c>
      <c r="D315" s="84">
        <v>0</v>
      </c>
      <c r="E315" s="84" t="s">
        <v>266</v>
      </c>
      <c r="F315" s="89" t="s">
        <v>267</v>
      </c>
      <c r="G315" s="89" t="s">
        <v>268</v>
      </c>
      <c r="H315" s="89" t="s">
        <v>301</v>
      </c>
      <c r="I315" s="89" t="s">
        <v>270</v>
      </c>
      <c r="J315" s="89" t="s">
        <v>271</v>
      </c>
      <c r="K315" s="89" t="s">
        <v>272</v>
      </c>
      <c r="L315" s="89" t="s">
        <v>273</v>
      </c>
      <c r="M315" s="90">
        <v>36892</v>
      </c>
      <c r="N315" s="90">
        <v>401404</v>
      </c>
      <c r="O315" s="90">
        <v>39307</v>
      </c>
    </row>
    <row r="316" spans="1:15">
      <c r="A316" s="83" t="str">
        <f t="shared" si="4"/>
        <v>242000058030</v>
      </c>
      <c r="B316" s="84">
        <v>2420000</v>
      </c>
      <c r="C316" s="84">
        <v>5803</v>
      </c>
      <c r="D316" s="84">
        <v>0</v>
      </c>
      <c r="E316" s="84" t="s">
        <v>266</v>
      </c>
      <c r="F316" s="89" t="s">
        <v>267</v>
      </c>
      <c r="G316" s="89" t="s">
        <v>268</v>
      </c>
      <c r="H316" s="89" t="s">
        <v>301</v>
      </c>
      <c r="I316" s="89" t="s">
        <v>270</v>
      </c>
      <c r="J316" s="89" t="s">
        <v>271</v>
      </c>
      <c r="K316" s="89" t="s">
        <v>272</v>
      </c>
      <c r="L316" s="89" t="s">
        <v>273</v>
      </c>
      <c r="M316" s="90">
        <v>36892</v>
      </c>
      <c r="N316" s="90">
        <v>401404</v>
      </c>
      <c r="O316" s="90">
        <v>39307</v>
      </c>
    </row>
    <row r="317" spans="1:15">
      <c r="A317" s="83" t="str">
        <f t="shared" si="4"/>
        <v>242000090310</v>
      </c>
      <c r="B317" s="84">
        <v>2420000</v>
      </c>
      <c r="C317" s="84">
        <v>9031</v>
      </c>
      <c r="D317" s="84">
        <v>0</v>
      </c>
      <c r="E317" s="84" t="s">
        <v>266</v>
      </c>
      <c r="F317" s="89" t="s">
        <v>267</v>
      </c>
      <c r="G317" s="89" t="s">
        <v>268</v>
      </c>
      <c r="H317" s="89" t="s">
        <v>301</v>
      </c>
      <c r="I317" s="89" t="s">
        <v>270</v>
      </c>
      <c r="J317" s="89" t="s">
        <v>271</v>
      </c>
      <c r="K317" s="89" t="s">
        <v>272</v>
      </c>
      <c r="L317" s="89" t="s">
        <v>273</v>
      </c>
      <c r="M317" s="90">
        <v>36892</v>
      </c>
      <c r="N317" s="90">
        <v>401404</v>
      </c>
      <c r="O317" s="90">
        <v>39307</v>
      </c>
    </row>
    <row r="318" spans="1:15">
      <c r="A318" s="83" t="str">
        <f t="shared" si="4"/>
        <v>2420000140250</v>
      </c>
      <c r="B318" s="84">
        <v>2420000</v>
      </c>
      <c r="C318" s="84">
        <v>14025</v>
      </c>
      <c r="D318" s="84">
        <v>0</v>
      </c>
      <c r="E318" s="84" t="s">
        <v>266</v>
      </c>
      <c r="F318" s="89" t="s">
        <v>267</v>
      </c>
      <c r="G318" s="89" t="s">
        <v>268</v>
      </c>
      <c r="H318" s="89" t="s">
        <v>301</v>
      </c>
      <c r="I318" s="89" t="s">
        <v>270</v>
      </c>
      <c r="J318" s="89" t="s">
        <v>271</v>
      </c>
      <c r="K318" s="89" t="s">
        <v>272</v>
      </c>
      <c r="L318" s="89" t="s">
        <v>21</v>
      </c>
      <c r="M318" s="90">
        <v>36892</v>
      </c>
      <c r="N318" s="90">
        <v>401404</v>
      </c>
      <c r="O318" s="90">
        <v>39307</v>
      </c>
    </row>
    <row r="319" spans="1:15">
      <c r="A319" s="83" t="str">
        <f t="shared" si="4"/>
        <v>2420000160000</v>
      </c>
      <c r="B319" s="84">
        <v>2420000</v>
      </c>
      <c r="C319" s="84">
        <v>16000</v>
      </c>
      <c r="D319" s="84">
        <v>0</v>
      </c>
      <c r="E319" s="84" t="s">
        <v>266</v>
      </c>
      <c r="F319" s="89" t="s">
        <v>267</v>
      </c>
      <c r="G319" s="89" t="s">
        <v>268</v>
      </c>
      <c r="H319" s="89" t="s">
        <v>301</v>
      </c>
      <c r="I319" s="89" t="s">
        <v>270</v>
      </c>
      <c r="J319" s="89" t="s">
        <v>271</v>
      </c>
      <c r="K319" s="89" t="s">
        <v>272</v>
      </c>
      <c r="L319" s="89" t="s">
        <v>21</v>
      </c>
      <c r="M319" s="90">
        <v>36892</v>
      </c>
      <c r="N319" s="90">
        <v>401404</v>
      </c>
      <c r="O319" s="90">
        <v>39307</v>
      </c>
    </row>
    <row r="320" spans="1:15">
      <c r="A320" s="83" t="str">
        <f t="shared" si="4"/>
        <v>2420000190000</v>
      </c>
      <c r="B320" s="84">
        <v>2420000</v>
      </c>
      <c r="C320" s="84">
        <v>19000</v>
      </c>
      <c r="D320" s="84">
        <v>0</v>
      </c>
      <c r="E320" s="84" t="s">
        <v>266</v>
      </c>
      <c r="F320" s="89" t="s">
        <v>267</v>
      </c>
      <c r="G320" s="89" t="s">
        <v>268</v>
      </c>
      <c r="H320" s="89" t="s">
        <v>301</v>
      </c>
      <c r="I320" s="89" t="s">
        <v>270</v>
      </c>
      <c r="J320" s="89" t="s">
        <v>271</v>
      </c>
      <c r="K320" s="89" t="s">
        <v>272</v>
      </c>
      <c r="L320" s="89" t="s">
        <v>21</v>
      </c>
      <c r="M320" s="90">
        <v>36892</v>
      </c>
      <c r="N320" s="90">
        <v>401404</v>
      </c>
      <c r="O320" s="90">
        <v>39307</v>
      </c>
    </row>
    <row r="321" spans="1:15">
      <c r="A321" s="83" t="str">
        <f t="shared" si="4"/>
        <v>24200001010000</v>
      </c>
      <c r="B321" s="84">
        <v>2420000</v>
      </c>
      <c r="C321" s="84">
        <v>101000</v>
      </c>
      <c r="D321" s="84">
        <v>0</v>
      </c>
      <c r="E321" s="84" t="s">
        <v>266</v>
      </c>
      <c r="F321" s="89" t="s">
        <v>267</v>
      </c>
      <c r="G321" s="89" t="s">
        <v>268</v>
      </c>
      <c r="H321" s="89" t="s">
        <v>301</v>
      </c>
      <c r="I321" s="89" t="s">
        <v>270</v>
      </c>
      <c r="J321" s="89" t="s">
        <v>271</v>
      </c>
      <c r="K321" s="89" t="s">
        <v>272</v>
      </c>
      <c r="L321" s="89" t="s">
        <v>273</v>
      </c>
      <c r="M321" s="90">
        <v>36892</v>
      </c>
      <c r="N321" s="90">
        <v>401404</v>
      </c>
      <c r="O321" s="90">
        <v>39307</v>
      </c>
    </row>
    <row r="322" spans="1:15">
      <c r="A322" s="83" t="str">
        <f t="shared" si="4"/>
        <v>24200001030000</v>
      </c>
      <c r="B322" s="84">
        <v>2420000</v>
      </c>
      <c r="C322" s="84">
        <v>103000</v>
      </c>
      <c r="D322" s="84">
        <v>0</v>
      </c>
      <c r="E322" s="84" t="s">
        <v>266</v>
      </c>
      <c r="F322" s="89" t="s">
        <v>267</v>
      </c>
      <c r="G322" s="89" t="s">
        <v>268</v>
      </c>
      <c r="H322" s="89" t="s">
        <v>301</v>
      </c>
      <c r="I322" s="89" t="s">
        <v>270</v>
      </c>
      <c r="J322" s="89" t="s">
        <v>271</v>
      </c>
      <c r="K322" s="89" t="s">
        <v>272</v>
      </c>
      <c r="L322" s="89" t="s">
        <v>273</v>
      </c>
      <c r="M322" s="90">
        <v>36892</v>
      </c>
      <c r="N322" s="90">
        <v>401404</v>
      </c>
      <c r="O322" s="90">
        <v>39307</v>
      </c>
    </row>
    <row r="323" spans="1:15">
      <c r="A323" s="83" t="str">
        <f t="shared" ref="A323:A361" si="5">B323&amp;C323&amp;D323</f>
        <v>24200001050000</v>
      </c>
      <c r="B323" s="84">
        <v>2420000</v>
      </c>
      <c r="C323" s="84">
        <v>105000</v>
      </c>
      <c r="D323" s="84">
        <v>0</v>
      </c>
      <c r="E323" s="84" t="s">
        <v>266</v>
      </c>
      <c r="F323" s="89" t="s">
        <v>267</v>
      </c>
      <c r="G323" s="89" t="s">
        <v>268</v>
      </c>
      <c r="H323" s="89" t="s">
        <v>301</v>
      </c>
      <c r="I323" s="89" t="s">
        <v>270</v>
      </c>
      <c r="J323" s="89" t="s">
        <v>271</v>
      </c>
      <c r="K323" s="89" t="s">
        <v>272</v>
      </c>
      <c r="L323" s="89" t="s">
        <v>273</v>
      </c>
      <c r="M323" s="90">
        <v>36892</v>
      </c>
      <c r="N323" s="90">
        <v>401404</v>
      </c>
      <c r="O323" s="90">
        <v>39307</v>
      </c>
    </row>
    <row r="324" spans="1:15">
      <c r="A324" s="83" t="str">
        <f t="shared" si="5"/>
        <v>24200001080000</v>
      </c>
      <c r="B324" s="84">
        <v>2420000</v>
      </c>
      <c r="C324" s="84">
        <v>108000</v>
      </c>
      <c r="D324" s="84">
        <v>0</v>
      </c>
      <c r="E324" s="84" t="s">
        <v>266</v>
      </c>
      <c r="F324" s="89" t="s">
        <v>267</v>
      </c>
      <c r="G324" s="89" t="s">
        <v>268</v>
      </c>
      <c r="H324" s="89" t="s">
        <v>301</v>
      </c>
      <c r="I324" s="89" t="s">
        <v>270</v>
      </c>
      <c r="J324" s="89" t="s">
        <v>271</v>
      </c>
      <c r="K324" s="89" t="s">
        <v>272</v>
      </c>
      <c r="L324" s="89" t="s">
        <v>273</v>
      </c>
      <c r="M324" s="90">
        <v>36892</v>
      </c>
      <c r="N324" s="90">
        <v>401404</v>
      </c>
      <c r="O324" s="90">
        <v>39307</v>
      </c>
    </row>
    <row r="325" spans="1:15">
      <c r="A325" s="83" t="str">
        <f t="shared" si="5"/>
        <v>24200001110000</v>
      </c>
      <c r="B325" s="84">
        <v>2420000</v>
      </c>
      <c r="C325" s="84">
        <v>111000</v>
      </c>
      <c r="D325" s="84">
        <v>0</v>
      </c>
      <c r="E325" s="84" t="s">
        <v>266</v>
      </c>
      <c r="F325" s="89" t="s">
        <v>267</v>
      </c>
      <c r="G325" s="89" t="s">
        <v>268</v>
      </c>
      <c r="H325" s="89" t="s">
        <v>301</v>
      </c>
      <c r="I325" s="89" t="s">
        <v>270</v>
      </c>
      <c r="J325" s="89" t="s">
        <v>271</v>
      </c>
      <c r="K325" s="89" t="s">
        <v>272</v>
      </c>
      <c r="L325" s="89" t="s">
        <v>273</v>
      </c>
      <c r="M325" s="90">
        <v>36892</v>
      </c>
      <c r="N325" s="90">
        <v>401404</v>
      </c>
      <c r="O325" s="90">
        <v>39307</v>
      </c>
    </row>
    <row r="326" spans="1:15">
      <c r="A326" s="83" t="str">
        <f t="shared" si="5"/>
        <v>24200001111010</v>
      </c>
      <c r="B326" s="84">
        <v>2420000</v>
      </c>
      <c r="C326" s="84">
        <v>111101</v>
      </c>
      <c r="D326" s="84">
        <v>0</v>
      </c>
      <c r="E326" s="84" t="s">
        <v>266</v>
      </c>
      <c r="F326" s="89" t="s">
        <v>267</v>
      </c>
      <c r="G326" s="89" t="s">
        <v>268</v>
      </c>
      <c r="H326" s="89" t="s">
        <v>301</v>
      </c>
      <c r="I326" s="89" t="s">
        <v>270</v>
      </c>
      <c r="J326" s="89" t="s">
        <v>271</v>
      </c>
      <c r="K326" s="89" t="s">
        <v>272</v>
      </c>
      <c r="L326" s="89" t="s">
        <v>21</v>
      </c>
      <c r="M326" s="90">
        <v>36892</v>
      </c>
      <c r="N326" s="90">
        <v>401404</v>
      </c>
      <c r="O326" s="90">
        <v>39307</v>
      </c>
    </row>
    <row r="327" spans="1:15">
      <c r="A327" s="83" t="str">
        <f t="shared" si="5"/>
        <v>24200001130000</v>
      </c>
      <c r="B327" s="84">
        <v>2420000</v>
      </c>
      <c r="C327" s="84">
        <v>113000</v>
      </c>
      <c r="D327" s="84">
        <v>0</v>
      </c>
      <c r="E327" s="84" t="s">
        <v>266</v>
      </c>
      <c r="F327" s="89" t="s">
        <v>267</v>
      </c>
      <c r="G327" s="89" t="s">
        <v>268</v>
      </c>
      <c r="H327" s="89" t="s">
        <v>301</v>
      </c>
      <c r="I327" s="89" t="s">
        <v>270</v>
      </c>
      <c r="J327" s="89" t="s">
        <v>271</v>
      </c>
      <c r="K327" s="89" t="s">
        <v>272</v>
      </c>
      <c r="L327" s="89" t="s">
        <v>273</v>
      </c>
      <c r="M327" s="90">
        <v>36892</v>
      </c>
      <c r="N327" s="90">
        <v>401404</v>
      </c>
      <c r="O327" s="90">
        <v>39307</v>
      </c>
    </row>
    <row r="328" spans="1:15">
      <c r="A328" s="83" t="str">
        <f t="shared" si="5"/>
        <v>24200001180000</v>
      </c>
      <c r="B328" s="84">
        <v>2420000</v>
      </c>
      <c r="C328" s="84">
        <v>118000</v>
      </c>
      <c r="D328" s="84">
        <v>0</v>
      </c>
      <c r="E328" s="84" t="s">
        <v>266</v>
      </c>
      <c r="F328" s="89" t="s">
        <v>267</v>
      </c>
      <c r="G328" s="89" t="s">
        <v>268</v>
      </c>
      <c r="H328" s="89" t="s">
        <v>301</v>
      </c>
      <c r="I328" s="89" t="s">
        <v>270</v>
      </c>
      <c r="J328" s="89" t="s">
        <v>271</v>
      </c>
      <c r="K328" s="89" t="s">
        <v>272</v>
      </c>
      <c r="L328" s="89" t="s">
        <v>273</v>
      </c>
      <c r="M328" s="90">
        <v>36892</v>
      </c>
      <c r="N328" s="90">
        <v>401404</v>
      </c>
      <c r="O328" s="90">
        <v>39307</v>
      </c>
    </row>
    <row r="329" spans="1:15">
      <c r="A329" s="83" t="str">
        <f t="shared" si="5"/>
        <v>24200001191500</v>
      </c>
      <c r="B329" s="84">
        <v>2420000</v>
      </c>
      <c r="C329" s="84">
        <v>119150</v>
      </c>
      <c r="D329" s="84">
        <v>0</v>
      </c>
      <c r="E329" s="84" t="s">
        <v>266</v>
      </c>
      <c r="F329" s="89" t="s">
        <v>267</v>
      </c>
      <c r="G329" s="89" t="s">
        <v>268</v>
      </c>
      <c r="H329" s="89" t="s">
        <v>301</v>
      </c>
      <c r="I329" s="89" t="s">
        <v>270</v>
      </c>
      <c r="J329" s="89" t="s">
        <v>271</v>
      </c>
      <c r="K329" s="89" t="s">
        <v>272</v>
      </c>
      <c r="L329" s="89" t="s">
        <v>273</v>
      </c>
      <c r="M329" s="90">
        <v>36892</v>
      </c>
      <c r="N329" s="90">
        <v>401404</v>
      </c>
      <c r="O329" s="90">
        <v>39307</v>
      </c>
    </row>
    <row r="330" spans="1:15">
      <c r="A330" s="83" t="str">
        <f t="shared" si="5"/>
        <v>24200001200000</v>
      </c>
      <c r="B330" s="84">
        <v>2420000</v>
      </c>
      <c r="C330" s="84">
        <v>120000</v>
      </c>
      <c r="D330" s="84">
        <v>0</v>
      </c>
      <c r="E330" s="84" t="s">
        <v>266</v>
      </c>
      <c r="F330" s="89" t="s">
        <v>267</v>
      </c>
      <c r="G330" s="89" t="s">
        <v>268</v>
      </c>
      <c r="H330" s="89" t="s">
        <v>301</v>
      </c>
      <c r="I330" s="89" t="s">
        <v>270</v>
      </c>
      <c r="J330" s="89" t="s">
        <v>271</v>
      </c>
      <c r="K330" s="89" t="s">
        <v>272</v>
      </c>
      <c r="L330" s="89" t="s">
        <v>273</v>
      </c>
      <c r="M330" s="90">
        <v>36892</v>
      </c>
      <c r="N330" s="90">
        <v>401404</v>
      </c>
      <c r="O330" s="90">
        <v>39307</v>
      </c>
    </row>
    <row r="331" spans="1:15">
      <c r="A331" s="83" t="str">
        <f t="shared" si="5"/>
        <v>24200001220000</v>
      </c>
      <c r="B331" s="84">
        <v>2420000</v>
      </c>
      <c r="C331" s="84">
        <v>122000</v>
      </c>
      <c r="D331" s="84">
        <v>0</v>
      </c>
      <c r="E331" s="84" t="s">
        <v>266</v>
      </c>
      <c r="F331" s="89" t="s">
        <v>267</v>
      </c>
      <c r="G331" s="89" t="s">
        <v>268</v>
      </c>
      <c r="H331" s="89" t="s">
        <v>301</v>
      </c>
      <c r="I331" s="89" t="s">
        <v>270</v>
      </c>
      <c r="J331" s="89" t="s">
        <v>271</v>
      </c>
      <c r="K331" s="89" t="s">
        <v>272</v>
      </c>
      <c r="L331" s="89" t="s">
        <v>273</v>
      </c>
      <c r="M331" s="90">
        <v>36892</v>
      </c>
      <c r="N331" s="90">
        <v>401404</v>
      </c>
      <c r="O331" s="90">
        <v>39307</v>
      </c>
    </row>
    <row r="332" spans="1:15">
      <c r="A332" s="83" t="str">
        <f t="shared" si="5"/>
        <v>24200001220920</v>
      </c>
      <c r="B332" s="84">
        <v>2420000</v>
      </c>
      <c r="C332" s="84">
        <v>122092</v>
      </c>
      <c r="D332" s="84">
        <v>0</v>
      </c>
      <c r="E332" s="84" t="s">
        <v>266</v>
      </c>
      <c r="F332" s="89" t="s">
        <v>267</v>
      </c>
      <c r="G332" s="89" t="s">
        <v>268</v>
      </c>
      <c r="H332" s="89" t="s">
        <v>301</v>
      </c>
      <c r="I332" s="89" t="s">
        <v>270</v>
      </c>
      <c r="J332" s="89" t="s">
        <v>271</v>
      </c>
      <c r="K332" s="89" t="s">
        <v>272</v>
      </c>
      <c r="L332" s="89" t="s">
        <v>273</v>
      </c>
      <c r="M332" s="90">
        <v>36892</v>
      </c>
      <c r="N332" s="90">
        <v>401404</v>
      </c>
      <c r="O332" s="90">
        <v>39307</v>
      </c>
    </row>
    <row r="333" spans="1:15">
      <c r="A333" s="83" t="str">
        <f t="shared" si="5"/>
        <v>24200001240000</v>
      </c>
      <c r="B333" s="84">
        <v>2420000</v>
      </c>
      <c r="C333" s="84">
        <v>124000</v>
      </c>
      <c r="D333" s="84">
        <v>0</v>
      </c>
      <c r="E333" s="84" t="s">
        <v>266</v>
      </c>
      <c r="F333" s="89" t="s">
        <v>267</v>
      </c>
      <c r="G333" s="89" t="s">
        <v>268</v>
      </c>
      <c r="H333" s="89" t="s">
        <v>301</v>
      </c>
      <c r="I333" s="89" t="s">
        <v>270</v>
      </c>
      <c r="J333" s="89" t="s">
        <v>271</v>
      </c>
      <c r="K333" s="89" t="s">
        <v>272</v>
      </c>
      <c r="L333" s="89" t="s">
        <v>273</v>
      </c>
      <c r="M333" s="90">
        <v>36892</v>
      </c>
      <c r="N333" s="90">
        <v>401404</v>
      </c>
      <c r="O333" s="90">
        <v>39307</v>
      </c>
    </row>
    <row r="334" spans="1:15">
      <c r="A334" s="83" t="str">
        <f t="shared" si="5"/>
        <v>24200001260000</v>
      </c>
      <c r="B334" s="84">
        <v>2420000</v>
      </c>
      <c r="C334" s="84">
        <v>126000</v>
      </c>
      <c r="D334" s="84">
        <v>0</v>
      </c>
      <c r="E334" s="84" t="s">
        <v>266</v>
      </c>
      <c r="F334" s="89" t="s">
        <v>267</v>
      </c>
      <c r="G334" s="89" t="s">
        <v>268</v>
      </c>
      <c r="H334" s="89" t="s">
        <v>301</v>
      </c>
      <c r="I334" s="89" t="s">
        <v>270</v>
      </c>
      <c r="J334" s="89" t="s">
        <v>271</v>
      </c>
      <c r="K334" s="89" t="s">
        <v>272</v>
      </c>
      <c r="L334" s="89" t="s">
        <v>273</v>
      </c>
      <c r="M334" s="90">
        <v>36892</v>
      </c>
      <c r="N334" s="90">
        <v>401404</v>
      </c>
      <c r="O334" s="90">
        <v>39307</v>
      </c>
    </row>
    <row r="335" spans="1:15">
      <c r="A335" s="83" t="str">
        <f t="shared" si="5"/>
        <v>24200001280000</v>
      </c>
      <c r="B335" s="84">
        <v>2420000</v>
      </c>
      <c r="C335" s="84">
        <v>128000</v>
      </c>
      <c r="D335" s="84">
        <v>0</v>
      </c>
      <c r="E335" s="84" t="s">
        <v>266</v>
      </c>
      <c r="F335" s="89" t="s">
        <v>267</v>
      </c>
      <c r="G335" s="89" t="s">
        <v>268</v>
      </c>
      <c r="H335" s="89" t="s">
        <v>301</v>
      </c>
      <c r="I335" s="89" t="s">
        <v>270</v>
      </c>
      <c r="J335" s="89" t="s">
        <v>271</v>
      </c>
      <c r="K335" s="89" t="s">
        <v>272</v>
      </c>
      <c r="L335" s="89" t="s">
        <v>273</v>
      </c>
      <c r="M335" s="90">
        <v>36892</v>
      </c>
      <c r="N335" s="90">
        <v>401404</v>
      </c>
      <c r="O335" s="90">
        <v>39307</v>
      </c>
    </row>
    <row r="336" spans="1:15">
      <c r="A336" s="83" t="str">
        <f t="shared" si="5"/>
        <v>24200001290000</v>
      </c>
      <c r="B336" s="84">
        <v>2420000</v>
      </c>
      <c r="C336" s="84">
        <v>129000</v>
      </c>
      <c r="D336" s="84">
        <v>0</v>
      </c>
      <c r="E336" s="84" t="s">
        <v>266</v>
      </c>
      <c r="F336" s="89" t="s">
        <v>267</v>
      </c>
      <c r="G336" s="89" t="s">
        <v>268</v>
      </c>
      <c r="H336" s="89" t="s">
        <v>301</v>
      </c>
      <c r="I336" s="89" t="s">
        <v>270</v>
      </c>
      <c r="J336" s="89" t="s">
        <v>271</v>
      </c>
      <c r="K336" s="89" t="s">
        <v>272</v>
      </c>
      <c r="L336" s="89" t="s">
        <v>273</v>
      </c>
      <c r="M336" s="90">
        <v>36892</v>
      </c>
      <c r="N336" s="90">
        <v>401404</v>
      </c>
      <c r="O336" s="90">
        <v>39307</v>
      </c>
    </row>
    <row r="337" spans="1:15">
      <c r="A337" s="83" t="str">
        <f t="shared" si="5"/>
        <v>24200001310000</v>
      </c>
      <c r="B337" s="84">
        <v>2420000</v>
      </c>
      <c r="C337" s="84">
        <v>131000</v>
      </c>
      <c r="D337" s="84">
        <v>0</v>
      </c>
      <c r="E337" s="84" t="s">
        <v>266</v>
      </c>
      <c r="F337" s="89" t="s">
        <v>267</v>
      </c>
      <c r="G337" s="89" t="s">
        <v>268</v>
      </c>
      <c r="H337" s="89" t="s">
        <v>301</v>
      </c>
      <c r="I337" s="89" t="s">
        <v>270</v>
      </c>
      <c r="J337" s="89" t="s">
        <v>271</v>
      </c>
      <c r="K337" s="89" t="s">
        <v>272</v>
      </c>
      <c r="L337" s="89" t="s">
        <v>273</v>
      </c>
      <c r="M337" s="90">
        <v>36892</v>
      </c>
      <c r="N337" s="90">
        <v>401404</v>
      </c>
      <c r="O337" s="90">
        <v>39307</v>
      </c>
    </row>
    <row r="338" spans="1:15">
      <c r="A338" s="83" t="str">
        <f t="shared" si="5"/>
        <v>24200001320000</v>
      </c>
      <c r="B338" s="84">
        <v>2420000</v>
      </c>
      <c r="C338" s="84">
        <v>132000</v>
      </c>
      <c r="D338" s="84">
        <v>0</v>
      </c>
      <c r="E338" s="84" t="s">
        <v>266</v>
      </c>
      <c r="F338" s="89" t="s">
        <v>267</v>
      </c>
      <c r="G338" s="89" t="s">
        <v>268</v>
      </c>
      <c r="H338" s="89" t="s">
        <v>301</v>
      </c>
      <c r="I338" s="89" t="s">
        <v>270</v>
      </c>
      <c r="J338" s="89" t="s">
        <v>271</v>
      </c>
      <c r="K338" s="89" t="s">
        <v>272</v>
      </c>
      <c r="L338" s="89" t="s">
        <v>273</v>
      </c>
      <c r="M338" s="90">
        <v>36892</v>
      </c>
      <c r="N338" s="90">
        <v>401404</v>
      </c>
      <c r="O338" s="90">
        <v>39307</v>
      </c>
    </row>
    <row r="339" spans="1:15">
      <c r="A339" s="83" t="str">
        <f t="shared" si="5"/>
        <v>24200001330000</v>
      </c>
      <c r="B339" s="84">
        <v>2420000</v>
      </c>
      <c r="C339" s="84">
        <v>133000</v>
      </c>
      <c r="D339" s="84">
        <v>0</v>
      </c>
      <c r="E339" s="84" t="s">
        <v>266</v>
      </c>
      <c r="F339" s="89" t="s">
        <v>267</v>
      </c>
      <c r="G339" s="89" t="s">
        <v>268</v>
      </c>
      <c r="H339" s="89" t="s">
        <v>301</v>
      </c>
      <c r="I339" s="89" t="s">
        <v>270</v>
      </c>
      <c r="J339" s="89" t="s">
        <v>271</v>
      </c>
      <c r="K339" s="89" t="s">
        <v>272</v>
      </c>
      <c r="L339" s="89" t="s">
        <v>273</v>
      </c>
      <c r="M339" s="90">
        <v>36892</v>
      </c>
      <c r="N339" s="90">
        <v>401404</v>
      </c>
      <c r="O339" s="90">
        <v>39307</v>
      </c>
    </row>
    <row r="340" spans="1:15">
      <c r="A340" s="83" t="str">
        <f t="shared" si="5"/>
        <v>24200001340000</v>
      </c>
      <c r="B340" s="84">
        <v>2420000</v>
      </c>
      <c r="C340" s="84">
        <v>134000</v>
      </c>
      <c r="D340" s="84">
        <v>0</v>
      </c>
      <c r="E340" s="84" t="s">
        <v>266</v>
      </c>
      <c r="F340" s="89" t="s">
        <v>267</v>
      </c>
      <c r="G340" s="89" t="s">
        <v>268</v>
      </c>
      <c r="H340" s="89" t="s">
        <v>301</v>
      </c>
      <c r="I340" s="89" t="s">
        <v>270</v>
      </c>
      <c r="J340" s="89" t="s">
        <v>271</v>
      </c>
      <c r="K340" s="89" t="s">
        <v>272</v>
      </c>
      <c r="L340" s="89" t="s">
        <v>273</v>
      </c>
      <c r="M340" s="90">
        <v>36892</v>
      </c>
      <c r="N340" s="90">
        <v>401404</v>
      </c>
      <c r="O340" s="90">
        <v>39307</v>
      </c>
    </row>
    <row r="341" spans="1:15">
      <c r="A341" s="83" t="str">
        <f t="shared" si="5"/>
        <v>24200001360000</v>
      </c>
      <c r="B341" s="84">
        <v>2420000</v>
      </c>
      <c r="C341" s="84">
        <v>136000</v>
      </c>
      <c r="D341" s="84">
        <v>0</v>
      </c>
      <c r="E341" s="84" t="s">
        <v>266</v>
      </c>
      <c r="F341" s="89" t="s">
        <v>267</v>
      </c>
      <c r="G341" s="89" t="s">
        <v>268</v>
      </c>
      <c r="H341" s="89" t="s">
        <v>301</v>
      </c>
      <c r="I341" s="89" t="s">
        <v>270</v>
      </c>
      <c r="J341" s="89" t="s">
        <v>271</v>
      </c>
      <c r="K341" s="89" t="s">
        <v>272</v>
      </c>
      <c r="L341" s="89" t="s">
        <v>273</v>
      </c>
      <c r="M341" s="90">
        <v>36892</v>
      </c>
      <c r="N341" s="90">
        <v>401404</v>
      </c>
      <c r="O341" s="90">
        <v>39307</v>
      </c>
    </row>
    <row r="342" spans="1:15">
      <c r="A342" s="83" t="str">
        <f t="shared" si="5"/>
        <v>24200001360700</v>
      </c>
      <c r="B342" s="84">
        <v>2420000</v>
      </c>
      <c r="C342" s="84">
        <v>136070</v>
      </c>
      <c r="D342" s="84">
        <v>0</v>
      </c>
      <c r="E342" s="84" t="s">
        <v>266</v>
      </c>
      <c r="F342" s="89" t="s">
        <v>267</v>
      </c>
      <c r="G342" s="89" t="s">
        <v>268</v>
      </c>
      <c r="H342" s="89" t="s">
        <v>301</v>
      </c>
      <c r="I342" s="89" t="s">
        <v>270</v>
      </c>
      <c r="J342" s="89" t="s">
        <v>271</v>
      </c>
      <c r="K342" s="89" t="s">
        <v>272</v>
      </c>
      <c r="L342" s="89" t="s">
        <v>21</v>
      </c>
      <c r="M342" s="90">
        <v>36892</v>
      </c>
      <c r="N342" s="90">
        <v>401404</v>
      </c>
      <c r="O342" s="90">
        <v>39307</v>
      </c>
    </row>
    <row r="343" spans="1:15">
      <c r="A343" s="83" t="str">
        <f t="shared" si="5"/>
        <v>24200001370000</v>
      </c>
      <c r="B343" s="84">
        <v>2420000</v>
      </c>
      <c r="C343" s="84">
        <v>137000</v>
      </c>
      <c r="D343" s="84">
        <v>0</v>
      </c>
      <c r="E343" s="84" t="s">
        <v>266</v>
      </c>
      <c r="F343" s="89" t="s">
        <v>267</v>
      </c>
      <c r="G343" s="89" t="s">
        <v>268</v>
      </c>
      <c r="H343" s="89" t="s">
        <v>301</v>
      </c>
      <c r="I343" s="89" t="s">
        <v>270</v>
      </c>
      <c r="J343" s="89" t="s">
        <v>271</v>
      </c>
      <c r="K343" s="89" t="s">
        <v>272</v>
      </c>
      <c r="L343" s="89" t="s">
        <v>273</v>
      </c>
      <c r="M343" s="90">
        <v>36892</v>
      </c>
      <c r="N343" s="90">
        <v>401404</v>
      </c>
      <c r="O343" s="90">
        <v>39307</v>
      </c>
    </row>
    <row r="344" spans="1:15">
      <c r="A344" s="83" t="str">
        <f t="shared" si="5"/>
        <v>24200002400000</v>
      </c>
      <c r="B344" s="84">
        <v>2420000</v>
      </c>
      <c r="C344" s="84">
        <v>240000</v>
      </c>
      <c r="D344" s="84">
        <v>0</v>
      </c>
      <c r="E344" s="84" t="s">
        <v>266</v>
      </c>
      <c r="F344" s="89" t="s">
        <v>267</v>
      </c>
      <c r="G344" s="89" t="s">
        <v>268</v>
      </c>
      <c r="H344" s="89" t="s">
        <v>301</v>
      </c>
      <c r="I344" s="89" t="s">
        <v>270</v>
      </c>
      <c r="J344" s="89" t="s">
        <v>271</v>
      </c>
      <c r="K344" s="89" t="s">
        <v>272</v>
      </c>
      <c r="L344" s="89" t="s">
        <v>273</v>
      </c>
      <c r="M344" s="90">
        <v>36892</v>
      </c>
      <c r="N344" s="90">
        <v>401404</v>
      </c>
      <c r="O344" s="90">
        <v>39307</v>
      </c>
    </row>
    <row r="345" spans="1:15">
      <c r="A345" s="83" t="str">
        <f t="shared" si="5"/>
        <v>24200002440000</v>
      </c>
      <c r="B345" s="84">
        <v>2420000</v>
      </c>
      <c r="C345" s="84">
        <v>244000</v>
      </c>
      <c r="D345" s="84">
        <v>0</v>
      </c>
      <c r="E345" s="84" t="s">
        <v>266</v>
      </c>
      <c r="F345" s="89" t="s">
        <v>267</v>
      </c>
      <c r="G345" s="89" t="s">
        <v>268</v>
      </c>
      <c r="H345" s="89" t="s">
        <v>301</v>
      </c>
      <c r="I345" s="89" t="s">
        <v>270</v>
      </c>
      <c r="J345" s="89" t="s">
        <v>271</v>
      </c>
      <c r="K345" s="89" t="s">
        <v>272</v>
      </c>
      <c r="L345" s="89" t="s">
        <v>273</v>
      </c>
      <c r="M345" s="90">
        <v>36892</v>
      </c>
      <c r="N345" s="90">
        <v>401404</v>
      </c>
      <c r="O345" s="90">
        <v>39307</v>
      </c>
    </row>
    <row r="346" spans="1:15">
      <c r="A346" s="83" t="str">
        <f t="shared" si="5"/>
        <v>24200002460000</v>
      </c>
      <c r="B346" s="84">
        <v>2420000</v>
      </c>
      <c r="C346" s="84">
        <v>246000</v>
      </c>
      <c r="D346" s="84">
        <v>0</v>
      </c>
      <c r="E346" s="84" t="s">
        <v>266</v>
      </c>
      <c r="F346" s="89" t="s">
        <v>267</v>
      </c>
      <c r="G346" s="89" t="s">
        <v>268</v>
      </c>
      <c r="H346" s="89" t="s">
        <v>301</v>
      </c>
      <c r="I346" s="89" t="s">
        <v>270</v>
      </c>
      <c r="J346" s="89" t="s">
        <v>271</v>
      </c>
      <c r="K346" s="89" t="s">
        <v>272</v>
      </c>
      <c r="L346" s="89" t="s">
        <v>273</v>
      </c>
      <c r="M346" s="90">
        <v>36892</v>
      </c>
      <c r="N346" s="90">
        <v>401404</v>
      </c>
      <c r="O346" s="90">
        <v>39307</v>
      </c>
    </row>
    <row r="347" spans="1:15">
      <c r="A347" s="83" t="str">
        <f t="shared" si="5"/>
        <v>24200004010000</v>
      </c>
      <c r="B347" s="84">
        <v>2420000</v>
      </c>
      <c r="C347" s="84">
        <v>401000</v>
      </c>
      <c r="D347" s="84">
        <v>0</v>
      </c>
      <c r="E347" s="84" t="s">
        <v>266</v>
      </c>
      <c r="F347" s="89" t="s">
        <v>267</v>
      </c>
      <c r="G347" s="89" t="s">
        <v>268</v>
      </c>
      <c r="H347" s="89" t="s">
        <v>301</v>
      </c>
      <c r="I347" s="89" t="s">
        <v>274</v>
      </c>
      <c r="J347" s="89" t="s">
        <v>305</v>
      </c>
      <c r="K347" s="89" t="s">
        <v>306</v>
      </c>
      <c r="L347" s="89" t="s">
        <v>273</v>
      </c>
      <c r="M347" s="90">
        <v>36161</v>
      </c>
      <c r="N347" s="90">
        <v>2958465</v>
      </c>
      <c r="O347" s="90">
        <v>39569</v>
      </c>
    </row>
    <row r="348" spans="1:15">
      <c r="A348" s="83" t="str">
        <f t="shared" si="5"/>
        <v>24200005170000</v>
      </c>
      <c r="B348" s="84">
        <v>2420000</v>
      </c>
      <c r="C348" s="84">
        <v>517000</v>
      </c>
      <c r="D348" s="84">
        <v>0</v>
      </c>
      <c r="E348" s="84" t="s">
        <v>266</v>
      </c>
      <c r="F348" s="89" t="s">
        <v>267</v>
      </c>
      <c r="G348" s="89" t="s">
        <v>268</v>
      </c>
      <c r="H348" s="89" t="s">
        <v>301</v>
      </c>
      <c r="I348" s="89" t="s">
        <v>270</v>
      </c>
      <c r="J348" s="89" t="s">
        <v>271</v>
      </c>
      <c r="K348" s="89" t="s">
        <v>272</v>
      </c>
      <c r="L348" s="89" t="s">
        <v>273</v>
      </c>
      <c r="M348" s="90">
        <v>36892</v>
      </c>
      <c r="N348" s="90">
        <v>401404</v>
      </c>
      <c r="O348" s="90">
        <v>39307</v>
      </c>
    </row>
    <row r="349" spans="1:15">
      <c r="A349" s="83" t="str">
        <f t="shared" si="5"/>
        <v>24200005170020</v>
      </c>
      <c r="B349" s="84">
        <v>2420000</v>
      </c>
      <c r="C349" s="84">
        <v>517002</v>
      </c>
      <c r="D349" s="84">
        <v>0</v>
      </c>
      <c r="E349" s="84" t="s">
        <v>266</v>
      </c>
      <c r="F349" s="89" t="s">
        <v>267</v>
      </c>
      <c r="G349" s="89" t="s">
        <v>268</v>
      </c>
      <c r="H349" s="89" t="s">
        <v>301</v>
      </c>
      <c r="I349" s="89" t="s">
        <v>270</v>
      </c>
      <c r="J349" s="89" t="s">
        <v>271</v>
      </c>
      <c r="K349" s="89" t="s">
        <v>307</v>
      </c>
      <c r="L349" s="89" t="s">
        <v>273</v>
      </c>
      <c r="M349" s="90">
        <v>36892</v>
      </c>
      <c r="N349" s="90">
        <v>401404</v>
      </c>
      <c r="O349" s="90">
        <v>39720</v>
      </c>
    </row>
    <row r="350" spans="1:15">
      <c r="A350" s="83" t="str">
        <f t="shared" si="5"/>
        <v>24200005630000</v>
      </c>
      <c r="B350" s="84">
        <v>2420000</v>
      </c>
      <c r="C350" s="84">
        <v>563000</v>
      </c>
      <c r="D350" s="84">
        <v>0</v>
      </c>
      <c r="E350" s="84" t="s">
        <v>266</v>
      </c>
      <c r="F350" s="89" t="s">
        <v>267</v>
      </c>
      <c r="G350" s="89" t="s">
        <v>268</v>
      </c>
      <c r="H350" s="89" t="s">
        <v>301</v>
      </c>
      <c r="I350" s="89" t="s">
        <v>270</v>
      </c>
      <c r="J350" s="89" t="s">
        <v>271</v>
      </c>
      <c r="K350" s="89" t="s">
        <v>272</v>
      </c>
      <c r="L350" s="89" t="s">
        <v>273</v>
      </c>
      <c r="M350" s="90">
        <v>36892</v>
      </c>
      <c r="N350" s="90">
        <v>401404</v>
      </c>
      <c r="O350" s="90">
        <v>39307</v>
      </c>
    </row>
    <row r="351" spans="1:15">
      <c r="A351" s="83" t="str">
        <f t="shared" si="5"/>
        <v>24200005651000</v>
      </c>
      <c r="B351" s="84">
        <v>2420000</v>
      </c>
      <c r="C351" s="84">
        <v>565100</v>
      </c>
      <c r="D351" s="84">
        <v>0</v>
      </c>
      <c r="E351" s="84" t="s">
        <v>266</v>
      </c>
      <c r="F351" s="89" t="s">
        <v>267</v>
      </c>
      <c r="G351" s="89" t="s">
        <v>268</v>
      </c>
      <c r="H351" s="89" t="s">
        <v>301</v>
      </c>
      <c r="I351" s="89" t="s">
        <v>270</v>
      </c>
      <c r="J351" s="89" t="s">
        <v>271</v>
      </c>
      <c r="K351" s="89" t="s">
        <v>272</v>
      </c>
      <c r="L351" s="89" t="s">
        <v>273</v>
      </c>
      <c r="M351" s="90">
        <v>36892</v>
      </c>
      <c r="N351" s="90">
        <v>401404</v>
      </c>
      <c r="O351" s="90">
        <v>39307</v>
      </c>
    </row>
    <row r="352" spans="1:15">
      <c r="A352" s="83" t="str">
        <f t="shared" si="5"/>
        <v>24200005670000</v>
      </c>
      <c r="B352" s="84">
        <v>2420000</v>
      </c>
      <c r="C352" s="84">
        <v>567000</v>
      </c>
      <c r="D352" s="84">
        <v>0</v>
      </c>
      <c r="E352" s="84" t="s">
        <v>266</v>
      </c>
      <c r="F352" s="89" t="s">
        <v>267</v>
      </c>
      <c r="G352" s="89" t="s">
        <v>268</v>
      </c>
      <c r="H352" s="89" t="s">
        <v>301</v>
      </c>
      <c r="I352" s="89" t="s">
        <v>270</v>
      </c>
      <c r="J352" s="89" t="s">
        <v>271</v>
      </c>
      <c r="K352" s="89" t="s">
        <v>272</v>
      </c>
      <c r="L352" s="89" t="s">
        <v>273</v>
      </c>
      <c r="M352" s="90">
        <v>36892</v>
      </c>
      <c r="N352" s="90">
        <v>401404</v>
      </c>
      <c r="O352" s="90">
        <v>39307</v>
      </c>
    </row>
    <row r="353" spans="1:15">
      <c r="A353" s="83" t="str">
        <f t="shared" si="5"/>
        <v>24200005720000</v>
      </c>
      <c r="B353" s="84">
        <v>2420000</v>
      </c>
      <c r="C353" s="84">
        <v>572000</v>
      </c>
      <c r="D353" s="84">
        <v>0</v>
      </c>
      <c r="E353" s="84" t="s">
        <v>266</v>
      </c>
      <c r="F353" s="89" t="s">
        <v>267</v>
      </c>
      <c r="G353" s="89" t="s">
        <v>268</v>
      </c>
      <c r="H353" s="89" t="s">
        <v>301</v>
      </c>
      <c r="I353" s="89" t="s">
        <v>270</v>
      </c>
      <c r="J353" s="89" t="s">
        <v>271</v>
      </c>
      <c r="K353" s="89" t="s">
        <v>272</v>
      </c>
      <c r="L353" s="89" t="s">
        <v>273</v>
      </c>
      <c r="M353" s="90">
        <v>36892</v>
      </c>
      <c r="N353" s="90">
        <v>401404</v>
      </c>
      <c r="O353" s="90">
        <v>39307</v>
      </c>
    </row>
    <row r="354" spans="1:15">
      <c r="A354" s="83" t="str">
        <f t="shared" si="5"/>
        <v>24200005750000</v>
      </c>
      <c r="B354" s="84">
        <v>2420000</v>
      </c>
      <c r="C354" s="84">
        <v>575000</v>
      </c>
      <c r="D354" s="84">
        <v>0</v>
      </c>
      <c r="E354" s="84" t="s">
        <v>266</v>
      </c>
      <c r="F354" s="89" t="s">
        <v>267</v>
      </c>
      <c r="G354" s="89" t="s">
        <v>268</v>
      </c>
      <c r="H354" s="89" t="s">
        <v>301</v>
      </c>
      <c r="I354" s="89" t="s">
        <v>270</v>
      </c>
      <c r="J354" s="89" t="s">
        <v>271</v>
      </c>
      <c r="K354" s="89" t="s">
        <v>272</v>
      </c>
      <c r="L354" s="89" t="s">
        <v>273</v>
      </c>
      <c r="M354" s="90">
        <v>36892</v>
      </c>
      <c r="N354" s="90">
        <v>401404</v>
      </c>
      <c r="O354" s="90">
        <v>39307</v>
      </c>
    </row>
    <row r="355" spans="1:15">
      <c r="A355" s="83" t="str">
        <f t="shared" si="5"/>
        <v>24200005760000</v>
      </c>
      <c r="B355" s="84">
        <v>2420000</v>
      </c>
      <c r="C355" s="84">
        <v>576000</v>
      </c>
      <c r="D355" s="84">
        <v>0</v>
      </c>
      <c r="E355" s="84" t="s">
        <v>266</v>
      </c>
      <c r="F355" s="89" t="s">
        <v>267</v>
      </c>
      <c r="G355" s="89" t="s">
        <v>268</v>
      </c>
      <c r="H355" s="89" t="s">
        <v>301</v>
      </c>
      <c r="I355" s="89" t="s">
        <v>270</v>
      </c>
      <c r="J355" s="89" t="s">
        <v>271</v>
      </c>
      <c r="K355" s="89" t="s">
        <v>272</v>
      </c>
      <c r="L355" s="89" t="s">
        <v>273</v>
      </c>
      <c r="M355" s="90">
        <v>36892</v>
      </c>
      <c r="N355" s="90">
        <v>401404</v>
      </c>
      <c r="O355" s="90">
        <v>39307</v>
      </c>
    </row>
    <row r="356" spans="1:15">
      <c r="A356" s="83" t="str">
        <f t="shared" si="5"/>
        <v>24200005780000</v>
      </c>
      <c r="B356" s="84">
        <v>2420000</v>
      </c>
      <c r="C356" s="84">
        <v>578000</v>
      </c>
      <c r="D356" s="84">
        <v>0</v>
      </c>
      <c r="E356" s="84" t="s">
        <v>266</v>
      </c>
      <c r="F356" s="89" t="s">
        <v>267</v>
      </c>
      <c r="G356" s="89" t="s">
        <v>268</v>
      </c>
      <c r="H356" s="89" t="s">
        <v>301</v>
      </c>
      <c r="I356" s="89" t="s">
        <v>270</v>
      </c>
      <c r="J356" s="89" t="s">
        <v>271</v>
      </c>
      <c r="K356" s="89" t="s">
        <v>272</v>
      </c>
      <c r="L356" s="89" t="s">
        <v>273</v>
      </c>
      <c r="M356" s="90">
        <v>36892</v>
      </c>
      <c r="N356" s="90">
        <v>401404</v>
      </c>
      <c r="O356" s="90">
        <v>39307</v>
      </c>
    </row>
    <row r="357" spans="1:15">
      <c r="A357" s="83" t="str">
        <f t="shared" si="5"/>
        <v>24200006510000</v>
      </c>
      <c r="B357" s="84">
        <v>2420000</v>
      </c>
      <c r="C357" s="84">
        <v>651000</v>
      </c>
      <c r="D357" s="84">
        <v>0</v>
      </c>
      <c r="E357" s="84" t="s">
        <v>266</v>
      </c>
      <c r="F357" s="89" t="s">
        <v>267</v>
      </c>
      <c r="G357" s="89" t="s">
        <v>268</v>
      </c>
      <c r="H357" s="89" t="s">
        <v>301</v>
      </c>
      <c r="I357" s="89" t="s">
        <v>270</v>
      </c>
      <c r="J357" s="89" t="s">
        <v>271</v>
      </c>
      <c r="K357" s="89" t="s">
        <v>272</v>
      </c>
      <c r="L357" s="89" t="s">
        <v>273</v>
      </c>
      <c r="M357" s="90">
        <v>36892</v>
      </c>
      <c r="N357" s="90">
        <v>401404</v>
      </c>
      <c r="O357" s="90">
        <v>39307</v>
      </c>
    </row>
    <row r="358" spans="1:15">
      <c r="A358" s="83" t="str">
        <f t="shared" si="5"/>
        <v>24200006510700</v>
      </c>
      <c r="B358" s="84">
        <v>2420000</v>
      </c>
      <c r="C358" s="84">
        <v>651070</v>
      </c>
      <c r="D358" s="84">
        <v>0</v>
      </c>
      <c r="E358" s="84" t="s">
        <v>266</v>
      </c>
      <c r="F358" s="89" t="s">
        <v>267</v>
      </c>
      <c r="G358" s="89" t="s">
        <v>268</v>
      </c>
      <c r="H358" s="89" t="s">
        <v>301</v>
      </c>
      <c r="I358" s="89" t="s">
        <v>270</v>
      </c>
      <c r="J358" s="89" t="s">
        <v>271</v>
      </c>
      <c r="K358" s="89" t="s">
        <v>272</v>
      </c>
      <c r="L358" s="89" t="s">
        <v>273</v>
      </c>
      <c r="M358" s="90">
        <v>36892</v>
      </c>
      <c r="N358" s="90">
        <v>401404</v>
      </c>
      <c r="O358" s="90">
        <v>39307</v>
      </c>
    </row>
    <row r="359" spans="1:15">
      <c r="A359" s="83" t="str">
        <f t="shared" si="5"/>
        <v>24200006540000</v>
      </c>
      <c r="B359" s="84">
        <v>2420000</v>
      </c>
      <c r="C359" s="84">
        <v>654000</v>
      </c>
      <c r="D359" s="84">
        <v>0</v>
      </c>
      <c r="E359" s="84" t="s">
        <v>266</v>
      </c>
      <c r="F359" s="89" t="s">
        <v>267</v>
      </c>
      <c r="G359" s="89" t="s">
        <v>268</v>
      </c>
      <c r="H359" s="89" t="s">
        <v>301</v>
      </c>
      <c r="I359" s="89" t="s">
        <v>270</v>
      </c>
      <c r="J359" s="89" t="s">
        <v>271</v>
      </c>
      <c r="K359" s="89" t="s">
        <v>272</v>
      </c>
      <c r="L359" s="89" t="s">
        <v>273</v>
      </c>
      <c r="M359" s="90">
        <v>36892</v>
      </c>
      <c r="N359" s="90">
        <v>401404</v>
      </c>
      <c r="O359" s="90">
        <v>39307</v>
      </c>
    </row>
    <row r="360" spans="1:15">
      <c r="A360" s="83" t="str">
        <f t="shared" si="5"/>
        <v>24200006550000</v>
      </c>
      <c r="B360" s="84">
        <v>2420000</v>
      </c>
      <c r="C360" s="84">
        <v>655000</v>
      </c>
      <c r="D360" s="84">
        <v>0</v>
      </c>
      <c r="E360" s="84" t="s">
        <v>266</v>
      </c>
      <c r="F360" s="89" t="s">
        <v>267</v>
      </c>
      <c r="G360" s="89" t="s">
        <v>268</v>
      </c>
      <c r="H360" s="89" t="s">
        <v>301</v>
      </c>
      <c r="I360" s="89" t="s">
        <v>270</v>
      </c>
      <c r="J360" s="89" t="s">
        <v>271</v>
      </c>
      <c r="K360" s="89" t="s">
        <v>272</v>
      </c>
      <c r="L360" s="89" t="s">
        <v>273</v>
      </c>
      <c r="M360" s="90">
        <v>36892</v>
      </c>
      <c r="N360" s="90">
        <v>401404</v>
      </c>
      <c r="O360" s="90">
        <v>39307</v>
      </c>
    </row>
    <row r="361" spans="1:15">
      <c r="A361" s="83" t="str">
        <f t="shared" si="5"/>
        <v>24200006561000</v>
      </c>
      <c r="B361" s="84">
        <v>2420000</v>
      </c>
      <c r="C361" s="84">
        <v>656100</v>
      </c>
      <c r="D361" s="84">
        <v>0</v>
      </c>
      <c r="E361" s="84" t="s">
        <v>266</v>
      </c>
      <c r="F361" s="89" t="s">
        <v>267</v>
      </c>
      <c r="G361" s="89" t="s">
        <v>268</v>
      </c>
      <c r="H361" s="89" t="s">
        <v>301</v>
      </c>
      <c r="I361" s="89" t="s">
        <v>270</v>
      </c>
      <c r="J361" s="89" t="s">
        <v>271</v>
      </c>
      <c r="K361" s="89" t="s">
        <v>272</v>
      </c>
      <c r="L361" s="89" t="s">
        <v>273</v>
      </c>
      <c r="M361" s="90">
        <v>36892</v>
      </c>
      <c r="N361" s="90">
        <v>401404</v>
      </c>
      <c r="O361" s="90">
        <v>39307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AC271"/>
  <sheetViews>
    <sheetView zoomScale="75" zoomScaleNormal="75" workbookViewId="0">
      <pane xSplit="2" ySplit="6" topLeftCell="P7" activePane="bottomRight" state="frozen"/>
      <selection pane="topRight" activeCell="C1" sqref="C1"/>
      <selection pane="bottomLeft" activeCell="A4" sqref="A4"/>
      <selection pane="bottomRight" activeCell="P7" sqref="P7"/>
    </sheetView>
  </sheetViews>
  <sheetFormatPr defaultRowHeight="15.75" outlineLevelCol="1"/>
  <cols>
    <col min="1" max="1" width="5.28515625" style="274" bestFit="1" customWidth="1"/>
    <col min="2" max="2" width="62" style="274" bestFit="1" customWidth="1"/>
    <col min="3" max="15" width="18" style="274" hidden="1" customWidth="1" outlineLevel="1"/>
    <col min="16" max="16" width="18.5703125" style="274" bestFit="1" customWidth="1" collapsed="1"/>
    <col min="17" max="17" width="20.140625" style="274" hidden="1" customWidth="1"/>
    <col min="18" max="18" width="11.28515625" style="274" hidden="1" customWidth="1"/>
    <col min="19" max="19" width="3.5703125" style="274" customWidth="1"/>
    <col min="20" max="21" width="16.7109375" style="274" customWidth="1" outlineLevel="1"/>
    <col min="22" max="22" width="18" style="274" customWidth="1" outlineLevel="1"/>
    <col min="23" max="23" width="17.7109375" style="274" customWidth="1" outlineLevel="1"/>
    <col min="24" max="24" width="15.7109375" style="274" customWidth="1" outlineLevel="1"/>
    <col min="25" max="25" width="18" style="274" customWidth="1" outlineLevel="1"/>
    <col min="26" max="26" width="16.85546875" style="274" customWidth="1" outlineLevel="1"/>
    <col min="27" max="27" width="18.85546875" style="274" customWidth="1" outlineLevel="1"/>
    <col min="28" max="28" width="11.140625" style="274" bestFit="1" customWidth="1"/>
    <col min="29" max="29" width="13.140625" style="274" bestFit="1" customWidth="1"/>
    <col min="30" max="16384" width="9.140625" style="274"/>
  </cols>
  <sheetData>
    <row r="1" spans="1:28">
      <c r="B1" s="275" t="s">
        <v>772</v>
      </c>
    </row>
    <row r="2" spans="1:28">
      <c r="B2" s="275" t="s">
        <v>773</v>
      </c>
    </row>
    <row r="3" spans="1:28">
      <c r="B3" s="275" t="s">
        <v>779</v>
      </c>
    </row>
    <row r="4" spans="1:28">
      <c r="B4" s="276"/>
      <c r="C4" s="276"/>
      <c r="D4" s="276"/>
      <c r="E4" s="276"/>
      <c r="F4" s="276"/>
      <c r="G4" s="276"/>
      <c r="H4" s="276"/>
      <c r="I4" s="276"/>
      <c r="J4" s="276"/>
      <c r="K4" s="276"/>
      <c r="L4" s="276"/>
      <c r="M4" s="276"/>
      <c r="N4" s="276"/>
      <c r="O4" s="276"/>
      <c r="P4" s="276"/>
      <c r="Q4" s="276"/>
      <c r="R4" s="276"/>
      <c r="T4" s="276"/>
      <c r="U4" s="276"/>
      <c r="V4" s="276"/>
      <c r="W4" s="276"/>
      <c r="X4" s="276"/>
      <c r="Y4" s="276"/>
      <c r="Z4" s="276"/>
      <c r="AA4" s="276"/>
    </row>
    <row r="5" spans="1:28">
      <c r="A5" s="276" t="s">
        <v>177</v>
      </c>
      <c r="B5" s="47" t="s">
        <v>176</v>
      </c>
      <c r="C5" s="44">
        <v>40695</v>
      </c>
      <c r="D5" s="44">
        <v>40725</v>
      </c>
      <c r="E5" s="44">
        <v>40756</v>
      </c>
      <c r="F5" s="44">
        <v>40787</v>
      </c>
      <c r="G5" s="44">
        <v>40817</v>
      </c>
      <c r="H5" s="44">
        <v>40848</v>
      </c>
      <c r="I5" s="44">
        <v>40878</v>
      </c>
      <c r="J5" s="44">
        <v>40909</v>
      </c>
      <c r="K5" s="44">
        <v>40940</v>
      </c>
      <c r="L5" s="44">
        <v>40969</v>
      </c>
      <c r="M5" s="44">
        <v>41000</v>
      </c>
      <c r="N5" s="44">
        <v>41030</v>
      </c>
      <c r="O5" s="44">
        <v>41061</v>
      </c>
      <c r="P5" s="276" t="s">
        <v>175</v>
      </c>
      <c r="Q5" s="20" t="s">
        <v>174</v>
      </c>
      <c r="R5" s="20" t="s">
        <v>173</v>
      </c>
      <c r="T5" s="276" t="s">
        <v>172</v>
      </c>
      <c r="U5" s="276" t="s">
        <v>171</v>
      </c>
      <c r="V5" s="276" t="s">
        <v>170</v>
      </c>
      <c r="W5" s="276" t="s">
        <v>169</v>
      </c>
      <c r="X5" s="298" t="s">
        <v>168</v>
      </c>
      <c r="Y5" s="298"/>
      <c r="Z5" s="298"/>
      <c r="AA5" s="46" t="s">
        <v>167</v>
      </c>
    </row>
    <row r="6" spans="1:28">
      <c r="B6" s="45"/>
      <c r="C6" s="44"/>
      <c r="D6" s="44"/>
      <c r="E6" s="44"/>
      <c r="F6" s="44"/>
      <c r="G6" s="44"/>
      <c r="H6" s="44"/>
      <c r="I6" s="44"/>
      <c r="J6" s="44"/>
      <c r="K6" s="44"/>
      <c r="L6" s="44"/>
      <c r="M6" s="44"/>
      <c r="N6" s="44"/>
      <c r="O6" s="44"/>
      <c r="P6" s="20"/>
      <c r="Q6" s="20"/>
      <c r="R6" s="20"/>
      <c r="X6" s="276" t="s">
        <v>166</v>
      </c>
      <c r="Y6" s="276" t="s">
        <v>165</v>
      </c>
      <c r="Z6" s="276" t="s">
        <v>164</v>
      </c>
    </row>
    <row r="7" spans="1:28" s="20" customFormat="1">
      <c r="A7" s="20">
        <v>1</v>
      </c>
      <c r="B7" s="17" t="s">
        <v>163</v>
      </c>
      <c r="C7" s="47" t="s">
        <v>21</v>
      </c>
      <c r="D7" s="47" t="s">
        <v>21</v>
      </c>
      <c r="E7" s="47" t="s">
        <v>21</v>
      </c>
      <c r="F7" s="47" t="s">
        <v>21</v>
      </c>
      <c r="G7" s="47" t="s">
        <v>21</v>
      </c>
      <c r="H7" s="47" t="s">
        <v>21</v>
      </c>
      <c r="I7" s="47" t="s">
        <v>21</v>
      </c>
      <c r="J7" s="47" t="s">
        <v>21</v>
      </c>
      <c r="K7" s="47" t="s">
        <v>21</v>
      </c>
      <c r="L7" s="47" t="s">
        <v>21</v>
      </c>
      <c r="M7" s="47" t="s">
        <v>21</v>
      </c>
      <c r="N7" s="47" t="s">
        <v>21</v>
      </c>
      <c r="O7" s="47" t="s">
        <v>21</v>
      </c>
      <c r="R7" s="20" t="s">
        <v>162</v>
      </c>
      <c r="X7" s="7"/>
      <c r="Y7" s="7"/>
      <c r="Z7" s="7"/>
      <c r="AA7" s="7"/>
      <c r="AB7" s="7"/>
    </row>
    <row r="8" spans="1:28" s="20" customFormat="1">
      <c r="A8" s="20">
        <f t="shared" ref="A8:A39" si="0">+A7+1</f>
        <v>2</v>
      </c>
      <c r="B8" s="17" t="s">
        <v>161</v>
      </c>
      <c r="C8" s="28">
        <f>22519683339.27-25026303</f>
        <v>22494657036.27</v>
      </c>
      <c r="D8" s="28">
        <f>22538905367.18-25026303</f>
        <v>22513879064.18</v>
      </c>
      <c r="E8" s="28">
        <f>22592506930.14-25145661</f>
        <v>22567361269.139999</v>
      </c>
      <c r="F8" s="28">
        <f>22598922375.09-25155340</f>
        <v>22573767035.09</v>
      </c>
      <c r="G8" s="28">
        <f>22633607562.82-25183132</f>
        <v>22608424430.82</v>
      </c>
      <c r="H8" s="28">
        <f>22885467141.58-25195886</f>
        <v>22860271255.580002</v>
      </c>
      <c r="I8" s="28">
        <v>23014228731.009998</v>
      </c>
      <c r="J8" s="28">
        <v>23041852963.66</v>
      </c>
      <c r="K8" s="28">
        <v>23063076957.150002</v>
      </c>
      <c r="L8" s="28">
        <v>23141225342.98</v>
      </c>
      <c r="M8" s="28">
        <v>23276471692.220001</v>
      </c>
      <c r="N8" s="28">
        <v>23341283033.93</v>
      </c>
      <c r="O8" s="28">
        <v>23570701300.41</v>
      </c>
      <c r="P8" s="21">
        <f>(C8+2*SUM(D8:N8)+O8)/24</f>
        <v>22919543412.008335</v>
      </c>
      <c r="Q8" s="21">
        <f t="shared" ref="Q8:Q22" si="1">AVERAGE(D8:O8)</f>
        <v>22964378589.680832</v>
      </c>
      <c r="R8" s="9">
        <f>+Q8/P8-1</f>
        <v>1.9561985536329374E-3</v>
      </c>
      <c r="V8" s="21">
        <f>+P8</f>
        <v>22919543412.008335</v>
      </c>
      <c r="X8" s="7">
        <f>+[4]Report!$K$2419+[4]Report!$K$2431+[4]Report!$K$2439</f>
        <v>1548960033.034529</v>
      </c>
      <c r="Y8" s="7">
        <f>+[4]Report!$J$2419+[4]Report!$J$2431+[4]Report!$J$2439</f>
        <v>21277452770.969261</v>
      </c>
      <c r="Z8" s="7">
        <f>+P8-X8-Y8</f>
        <v>93130608.004543304</v>
      </c>
      <c r="AA8" s="7">
        <f>+Z8+X8+Y8</f>
        <v>22919543412.008335</v>
      </c>
      <c r="AB8" s="7"/>
    </row>
    <row r="9" spans="1:28" s="20" customFormat="1">
      <c r="A9" s="20">
        <f t="shared" si="0"/>
        <v>3</v>
      </c>
      <c r="B9" s="17" t="s">
        <v>160</v>
      </c>
      <c r="C9" s="28">
        <v>1028316270.58</v>
      </c>
      <c r="D9" s="28">
        <v>1115094453.8399999</v>
      </c>
      <c r="E9" s="28">
        <v>1162288374.3199999</v>
      </c>
      <c r="F9" s="28">
        <v>1243059219.7</v>
      </c>
      <c r="G9" s="28">
        <v>1323576403.99</v>
      </c>
      <c r="H9" s="28">
        <v>1199496888.6600001</v>
      </c>
      <c r="I9" s="28">
        <v>1203547965.21</v>
      </c>
      <c r="J9" s="28">
        <v>1262420584.3299999</v>
      </c>
      <c r="K9" s="28">
        <v>1343476611.71</v>
      </c>
      <c r="L9" s="28">
        <v>1334646286.0999999</v>
      </c>
      <c r="M9" s="28">
        <v>1304174952.55</v>
      </c>
      <c r="N9" s="28">
        <v>1345399206.3099999</v>
      </c>
      <c r="O9" s="28">
        <v>1198496961.5599999</v>
      </c>
      <c r="P9" s="21">
        <f t="shared" ref="P9:P22" si="2">(C9+2*SUM(D9:N9)+O9)/24</f>
        <v>1245882296.8991666</v>
      </c>
      <c r="Q9" s="21">
        <f t="shared" si="1"/>
        <v>1252973159.0233331</v>
      </c>
      <c r="R9" s="9">
        <f>+Q9/P9-1</f>
        <v>5.6914382215838E-3</v>
      </c>
      <c r="V9" s="21">
        <f>+P9</f>
        <v>1245882296.8991666</v>
      </c>
      <c r="X9" s="7"/>
      <c r="Y9" s="7"/>
      <c r="Z9" s="7">
        <f>+V9</f>
        <v>1245882296.8991666</v>
      </c>
      <c r="AA9" s="7">
        <f>+Z9+X9+Y9</f>
        <v>1245882296.8991666</v>
      </c>
      <c r="AB9" s="7"/>
    </row>
    <row r="10" spans="1:28" s="20" customFormat="1">
      <c r="A10" s="20">
        <f t="shared" si="0"/>
        <v>4</v>
      </c>
      <c r="B10" s="17" t="s">
        <v>159</v>
      </c>
      <c r="C10" s="28">
        <f t="shared" ref="C10:N10" si="3">SUM(C8:C9)</f>
        <v>23522973306.850002</v>
      </c>
      <c r="D10" s="28">
        <f t="shared" si="3"/>
        <v>23628973518.02</v>
      </c>
      <c r="E10" s="28">
        <f t="shared" si="3"/>
        <v>23729649643.459999</v>
      </c>
      <c r="F10" s="28">
        <f t="shared" si="3"/>
        <v>23816826254.790001</v>
      </c>
      <c r="G10" s="28">
        <f t="shared" si="3"/>
        <v>23932000834.810001</v>
      </c>
      <c r="H10" s="28">
        <f t="shared" si="3"/>
        <v>24059768144.240002</v>
      </c>
      <c r="I10" s="28">
        <f t="shared" si="3"/>
        <v>24217776696.219997</v>
      </c>
      <c r="J10" s="28">
        <f t="shared" si="3"/>
        <v>24304273547.989998</v>
      </c>
      <c r="K10" s="28">
        <f t="shared" si="3"/>
        <v>24406553568.860001</v>
      </c>
      <c r="L10" s="28">
        <f t="shared" si="3"/>
        <v>24475871629.079998</v>
      </c>
      <c r="M10" s="28">
        <f t="shared" si="3"/>
        <v>24580646644.77</v>
      </c>
      <c r="N10" s="28">
        <f t="shared" si="3"/>
        <v>24686682240.240002</v>
      </c>
      <c r="O10" s="28">
        <f>SUM(O8:O9)</f>
        <v>24769198261.970001</v>
      </c>
      <c r="P10" s="21">
        <f>(C10+2*SUM(D10:N10)+O10)/24</f>
        <v>24165425708.90749</v>
      </c>
      <c r="Q10" s="21">
        <f t="shared" si="1"/>
        <v>24217351748.704163</v>
      </c>
      <c r="R10" s="9">
        <f>+Q10/P10-1</f>
        <v>2.1487740552210699E-3</v>
      </c>
      <c r="X10" s="7"/>
      <c r="Y10" s="7"/>
      <c r="Z10" s="7"/>
      <c r="AA10" s="7"/>
      <c r="AB10" s="7"/>
    </row>
    <row r="11" spans="1:28" s="20" customFormat="1">
      <c r="A11" s="20">
        <f t="shared" si="0"/>
        <v>5</v>
      </c>
      <c r="B11" s="17" t="s">
        <v>158</v>
      </c>
      <c r="C11" s="28">
        <v>7552203238.9499998</v>
      </c>
      <c r="D11" s="28">
        <v>7585333316.8999996</v>
      </c>
      <c r="E11" s="28">
        <v>7615857092.5699997</v>
      </c>
      <c r="F11" s="28">
        <v>7640180650.9399996</v>
      </c>
      <c r="G11" s="28">
        <v>7659358031.1700001</v>
      </c>
      <c r="H11" s="28">
        <v>7694397958.6300001</v>
      </c>
      <c r="I11" s="28">
        <v>7666665055.4700003</v>
      </c>
      <c r="J11" s="28">
        <v>7702786353.1899996</v>
      </c>
      <c r="K11" s="28">
        <v>7738759852.1999998</v>
      </c>
      <c r="L11" s="28">
        <v>7730562168.8100004</v>
      </c>
      <c r="M11" s="28">
        <v>7747416317.5500002</v>
      </c>
      <c r="N11" s="28">
        <v>7789820002.1700001</v>
      </c>
      <c r="O11" s="28">
        <v>7826359196.9499998</v>
      </c>
      <c r="P11" s="21">
        <f t="shared" si="2"/>
        <v>7688368168.1291685</v>
      </c>
      <c r="Q11" s="21">
        <f t="shared" si="1"/>
        <v>7699791333.0458336</v>
      </c>
      <c r="R11" s="9">
        <f>+Q11/P11-1</f>
        <v>1.4857723598640238E-3</v>
      </c>
      <c r="V11" s="21">
        <f>-P11</f>
        <v>-7688368168.1291685</v>
      </c>
      <c r="X11" s="7">
        <f>+[4]Report!$K$2447+[4]Report!$K$2972+[4]Report!$K$3035</f>
        <v>-602925363.62793529</v>
      </c>
      <c r="Y11" s="7">
        <f>+[4]Report!$J$2447+[4]Report!$J$2972+[4]Report!$J$3035</f>
        <v>-7045213334.3912182</v>
      </c>
      <c r="Z11" s="7">
        <f>-P11-X11-Y11</f>
        <v>-40229470.110014915</v>
      </c>
      <c r="AA11" s="7">
        <f>+Z11+X11+Y11</f>
        <v>-7688368168.1291685</v>
      </c>
      <c r="AB11" s="7"/>
    </row>
    <row r="12" spans="1:28" s="20" customFormat="1">
      <c r="A12" s="20">
        <f t="shared" si="0"/>
        <v>6</v>
      </c>
      <c r="B12" s="17" t="s">
        <v>150</v>
      </c>
      <c r="C12" s="28">
        <f t="shared" ref="C12:N12" si="4">C10-C11</f>
        <v>15970770067.900002</v>
      </c>
      <c r="D12" s="28">
        <f t="shared" si="4"/>
        <v>16043640201.120001</v>
      </c>
      <c r="E12" s="28">
        <f t="shared" si="4"/>
        <v>16113792550.889999</v>
      </c>
      <c r="F12" s="28">
        <f t="shared" si="4"/>
        <v>16176645603.850002</v>
      </c>
      <c r="G12" s="28">
        <f t="shared" si="4"/>
        <v>16272642803.640001</v>
      </c>
      <c r="H12" s="28">
        <f t="shared" si="4"/>
        <v>16365370185.610001</v>
      </c>
      <c r="I12" s="28">
        <f t="shared" si="4"/>
        <v>16551111640.749996</v>
      </c>
      <c r="J12" s="28">
        <f t="shared" si="4"/>
        <v>16601487194.799999</v>
      </c>
      <c r="K12" s="28">
        <f t="shared" si="4"/>
        <v>16667793716.66</v>
      </c>
      <c r="L12" s="28">
        <f t="shared" si="4"/>
        <v>16745309460.269997</v>
      </c>
      <c r="M12" s="28">
        <f t="shared" si="4"/>
        <v>16833230327.220001</v>
      </c>
      <c r="N12" s="28">
        <f t="shared" si="4"/>
        <v>16896862238.070002</v>
      </c>
      <c r="O12" s="28">
        <f>O10-O11</f>
        <v>16942839065.02</v>
      </c>
      <c r="P12" s="21">
        <f t="shared" si="2"/>
        <v>16477057540.778336</v>
      </c>
      <c r="Q12" s="21">
        <f t="shared" si="1"/>
        <v>16517560415.658333</v>
      </c>
      <c r="R12" s="9">
        <f>+Q12/P12-1</f>
        <v>2.4581376122381204E-3</v>
      </c>
      <c r="X12" s="7"/>
      <c r="Y12" s="7"/>
      <c r="Z12" s="7"/>
      <c r="AA12" s="7"/>
      <c r="AB12" s="7"/>
    </row>
    <row r="13" spans="1:28" s="20" customFormat="1">
      <c r="A13" s="20">
        <f t="shared" si="0"/>
        <v>7</v>
      </c>
      <c r="B13" s="17" t="s">
        <v>157</v>
      </c>
      <c r="C13" s="28"/>
      <c r="D13" s="28"/>
      <c r="E13" s="28"/>
      <c r="F13" s="28"/>
      <c r="G13" s="28"/>
      <c r="H13" s="28"/>
      <c r="I13" s="28"/>
      <c r="J13" s="28"/>
      <c r="K13" s="28"/>
      <c r="L13" s="28"/>
      <c r="M13" s="28"/>
      <c r="N13" s="28"/>
      <c r="O13" s="28"/>
      <c r="P13" s="21">
        <f t="shared" si="2"/>
        <v>0</v>
      </c>
      <c r="Q13" s="21" t="e">
        <f t="shared" si="1"/>
        <v>#DIV/0!</v>
      </c>
      <c r="R13" s="9"/>
      <c r="X13" s="7"/>
      <c r="Y13" s="7"/>
      <c r="Z13" s="7"/>
      <c r="AA13" s="7"/>
      <c r="AB13" s="7"/>
    </row>
    <row r="14" spans="1:28" s="20" customFormat="1">
      <c r="A14" s="20">
        <f t="shared" si="0"/>
        <v>8</v>
      </c>
      <c r="B14" s="17" t="s">
        <v>156</v>
      </c>
      <c r="C14" s="28"/>
      <c r="D14" s="28"/>
      <c r="E14" s="28"/>
      <c r="F14" s="28"/>
      <c r="G14" s="28"/>
      <c r="H14" s="28"/>
      <c r="I14" s="28"/>
      <c r="J14" s="28"/>
      <c r="K14" s="28"/>
      <c r="L14" s="28"/>
      <c r="M14" s="28"/>
      <c r="N14" s="28"/>
      <c r="O14" s="28"/>
      <c r="P14" s="21">
        <f t="shared" si="2"/>
        <v>0</v>
      </c>
      <c r="Q14" s="21" t="e">
        <f t="shared" si="1"/>
        <v>#DIV/0!</v>
      </c>
      <c r="R14" s="9"/>
      <c r="X14" s="7"/>
      <c r="Y14" s="7"/>
      <c r="Z14" s="7"/>
      <c r="AA14" s="7"/>
      <c r="AB14" s="7"/>
    </row>
    <row r="15" spans="1:28" s="20" customFormat="1">
      <c r="A15" s="20">
        <f t="shared" si="0"/>
        <v>9</v>
      </c>
      <c r="B15" s="17" t="s">
        <v>155</v>
      </c>
      <c r="C15" s="28"/>
      <c r="D15" s="28"/>
      <c r="E15" s="28"/>
      <c r="F15" s="28"/>
      <c r="G15" s="28"/>
      <c r="H15" s="28"/>
      <c r="I15" s="28"/>
      <c r="J15" s="28"/>
      <c r="K15" s="28"/>
      <c r="L15" s="28"/>
      <c r="M15" s="28"/>
      <c r="N15" s="28"/>
      <c r="O15" s="28"/>
      <c r="P15" s="21">
        <f t="shared" si="2"/>
        <v>0</v>
      </c>
      <c r="Q15" s="21" t="e">
        <f t="shared" si="1"/>
        <v>#DIV/0!</v>
      </c>
      <c r="R15" s="9"/>
      <c r="X15" s="7"/>
      <c r="Y15" s="7"/>
      <c r="Z15" s="7"/>
      <c r="AA15" s="7"/>
      <c r="AB15" s="7"/>
    </row>
    <row r="16" spans="1:28" s="20" customFormat="1">
      <c r="A16" s="20">
        <f t="shared" si="0"/>
        <v>10</v>
      </c>
      <c r="B16" s="17" t="s">
        <v>154</v>
      </c>
      <c r="C16" s="28"/>
      <c r="D16" s="28"/>
      <c r="E16" s="28"/>
      <c r="F16" s="28"/>
      <c r="G16" s="28"/>
      <c r="H16" s="28"/>
      <c r="I16" s="28"/>
      <c r="J16" s="28"/>
      <c r="K16" s="28"/>
      <c r="L16" s="28"/>
      <c r="M16" s="28"/>
      <c r="N16" s="28"/>
      <c r="O16" s="28"/>
      <c r="P16" s="21">
        <f t="shared" si="2"/>
        <v>0</v>
      </c>
      <c r="Q16" s="21" t="e">
        <f t="shared" si="1"/>
        <v>#DIV/0!</v>
      </c>
      <c r="R16" s="9"/>
      <c r="X16" s="7"/>
      <c r="Y16" s="7"/>
      <c r="Z16" s="7"/>
      <c r="AA16" s="7"/>
      <c r="AB16" s="7"/>
    </row>
    <row r="17" spans="1:29" s="20" customFormat="1">
      <c r="A17" s="20">
        <f t="shared" si="0"/>
        <v>11</v>
      </c>
      <c r="B17" s="17" t="s">
        <v>153</v>
      </c>
      <c r="C17" s="28"/>
      <c r="D17" s="28"/>
      <c r="E17" s="28"/>
      <c r="F17" s="28"/>
      <c r="G17" s="28"/>
      <c r="H17" s="28"/>
      <c r="I17" s="28"/>
      <c r="J17" s="28"/>
      <c r="K17" s="28"/>
      <c r="L17" s="28"/>
      <c r="M17" s="28"/>
      <c r="N17" s="28"/>
      <c r="O17" s="28"/>
      <c r="P17" s="21">
        <f t="shared" si="2"/>
        <v>0</v>
      </c>
      <c r="Q17" s="21" t="e">
        <f t="shared" si="1"/>
        <v>#DIV/0!</v>
      </c>
      <c r="R17" s="9"/>
      <c r="X17" s="7"/>
      <c r="Y17" s="7"/>
      <c r="Z17" s="7"/>
      <c r="AA17" s="7"/>
      <c r="AB17" s="7"/>
    </row>
    <row r="18" spans="1:29" s="20" customFormat="1">
      <c r="A18" s="20">
        <f t="shared" si="0"/>
        <v>12</v>
      </c>
      <c r="B18" s="17" t="s">
        <v>152</v>
      </c>
      <c r="C18" s="28"/>
      <c r="D18" s="28"/>
      <c r="E18" s="28"/>
      <c r="F18" s="28"/>
      <c r="G18" s="28"/>
      <c r="H18" s="28"/>
      <c r="I18" s="28"/>
      <c r="J18" s="28"/>
      <c r="K18" s="28"/>
      <c r="L18" s="28"/>
      <c r="M18" s="28"/>
      <c r="N18" s="28"/>
      <c r="O18" s="28"/>
      <c r="P18" s="21">
        <f t="shared" si="2"/>
        <v>0</v>
      </c>
      <c r="Q18" s="21" t="e">
        <f t="shared" si="1"/>
        <v>#DIV/0!</v>
      </c>
      <c r="R18" s="9"/>
      <c r="X18" s="7"/>
      <c r="Y18" s="7"/>
      <c r="Z18" s="7"/>
      <c r="AA18" s="7"/>
      <c r="AB18" s="7"/>
    </row>
    <row r="19" spans="1:29" s="20" customFormat="1">
      <c r="A19" s="20">
        <f t="shared" si="0"/>
        <v>13</v>
      </c>
      <c r="B19" s="17" t="s">
        <v>151</v>
      </c>
      <c r="C19" s="28"/>
      <c r="D19" s="28"/>
      <c r="E19" s="28"/>
      <c r="F19" s="28"/>
      <c r="G19" s="28"/>
      <c r="H19" s="28"/>
      <c r="I19" s="28"/>
      <c r="J19" s="28"/>
      <c r="K19" s="28"/>
      <c r="L19" s="28"/>
      <c r="M19" s="28"/>
      <c r="N19" s="28"/>
      <c r="O19" s="28"/>
      <c r="P19" s="21">
        <f t="shared" si="2"/>
        <v>0</v>
      </c>
      <c r="Q19" s="21" t="e">
        <f t="shared" si="1"/>
        <v>#DIV/0!</v>
      </c>
      <c r="R19" s="9"/>
      <c r="X19" s="7"/>
      <c r="Y19" s="7"/>
      <c r="Z19" s="7"/>
      <c r="AA19" s="7"/>
      <c r="AB19" s="7"/>
    </row>
    <row r="20" spans="1:29" s="20" customFormat="1">
      <c r="A20" s="20">
        <f t="shared" si="0"/>
        <v>14</v>
      </c>
      <c r="C20" s="28"/>
      <c r="D20" s="28"/>
      <c r="E20" s="28"/>
      <c r="F20" s="28"/>
      <c r="G20" s="28"/>
      <c r="H20" s="28"/>
      <c r="I20" s="28"/>
      <c r="J20" s="28"/>
      <c r="K20" s="28"/>
      <c r="L20" s="28"/>
      <c r="M20" s="28"/>
      <c r="N20" s="28"/>
      <c r="O20" s="28"/>
      <c r="P20" s="21">
        <f t="shared" si="2"/>
        <v>0</v>
      </c>
      <c r="Q20" s="21" t="e">
        <f t="shared" si="1"/>
        <v>#DIV/0!</v>
      </c>
      <c r="R20" s="9"/>
      <c r="X20" s="7"/>
      <c r="Y20" s="7"/>
      <c r="Z20" s="7"/>
      <c r="AA20" s="7"/>
      <c r="AB20" s="7"/>
    </row>
    <row r="21" spans="1:29" s="20" customFormat="1">
      <c r="A21" s="20">
        <f t="shared" si="0"/>
        <v>15</v>
      </c>
      <c r="B21" s="17" t="s">
        <v>150</v>
      </c>
      <c r="C21" s="28">
        <f t="shared" ref="C21:N21" si="5">C12</f>
        <v>15970770067.900002</v>
      </c>
      <c r="D21" s="28">
        <f t="shared" si="5"/>
        <v>16043640201.120001</v>
      </c>
      <c r="E21" s="28">
        <f t="shared" si="5"/>
        <v>16113792550.889999</v>
      </c>
      <c r="F21" s="28">
        <f t="shared" si="5"/>
        <v>16176645603.850002</v>
      </c>
      <c r="G21" s="28">
        <f t="shared" si="5"/>
        <v>16272642803.640001</v>
      </c>
      <c r="H21" s="28">
        <f t="shared" si="5"/>
        <v>16365370185.610001</v>
      </c>
      <c r="I21" s="28">
        <f t="shared" si="5"/>
        <v>16551111640.749996</v>
      </c>
      <c r="J21" s="28">
        <f t="shared" si="5"/>
        <v>16601487194.799999</v>
      </c>
      <c r="K21" s="28">
        <f t="shared" si="5"/>
        <v>16667793716.66</v>
      </c>
      <c r="L21" s="28">
        <f t="shared" si="5"/>
        <v>16745309460.269997</v>
      </c>
      <c r="M21" s="28">
        <f t="shared" si="5"/>
        <v>16833230327.220001</v>
      </c>
      <c r="N21" s="28">
        <f t="shared" si="5"/>
        <v>16896862238.070002</v>
      </c>
      <c r="O21" s="28">
        <f>O12</f>
        <v>16942839065.02</v>
      </c>
      <c r="P21" s="21">
        <f t="shared" si="2"/>
        <v>16477057540.778336</v>
      </c>
      <c r="Q21" s="21">
        <f t="shared" si="1"/>
        <v>16517560415.658333</v>
      </c>
      <c r="R21" s="9">
        <f>+Q21/P21-1</f>
        <v>2.4581376122381204E-3</v>
      </c>
      <c r="V21" s="41">
        <f>SUBTOTAL(9,V8:V11)</f>
        <v>16477057540.778332</v>
      </c>
      <c r="W21" s="41">
        <f>SUBTOTAL(9,W8:W11)</f>
        <v>0</v>
      </c>
      <c r="X21" s="41">
        <f>SUBTOTAL(9,X8:X11)</f>
        <v>946034669.40659368</v>
      </c>
      <c r="Y21" s="41">
        <f>SUBTOTAL(9,Y8:Y11)</f>
        <v>14232239436.578043</v>
      </c>
      <c r="Z21" s="41">
        <f>SUBTOTAL(9,Z8:Z11)</f>
        <v>1298783434.793695</v>
      </c>
      <c r="AA21" s="7">
        <f>+Z21+Y21+X21</f>
        <v>16477057540.778332</v>
      </c>
      <c r="AB21" s="7"/>
    </row>
    <row r="22" spans="1:29" s="20" customFormat="1">
      <c r="A22" s="20">
        <f t="shared" si="0"/>
        <v>16</v>
      </c>
      <c r="B22" s="17" t="s">
        <v>149</v>
      </c>
      <c r="C22" s="28"/>
      <c r="D22" s="28"/>
      <c r="E22" s="28"/>
      <c r="F22" s="28"/>
      <c r="G22" s="28"/>
      <c r="H22" s="28"/>
      <c r="I22" s="28"/>
      <c r="J22" s="28"/>
      <c r="K22" s="28"/>
      <c r="L22" s="28"/>
      <c r="M22" s="28"/>
      <c r="N22" s="28"/>
      <c r="O22" s="28"/>
      <c r="P22" s="21">
        <f t="shared" si="2"/>
        <v>0</v>
      </c>
      <c r="Q22" s="21" t="e">
        <f t="shared" si="1"/>
        <v>#DIV/0!</v>
      </c>
      <c r="R22" s="9"/>
      <c r="X22" s="277"/>
      <c r="Y22" s="277"/>
      <c r="Z22" s="277"/>
      <c r="AA22" s="7"/>
      <c r="AB22" s="7"/>
    </row>
    <row r="23" spans="1:29" s="20" customFormat="1">
      <c r="A23" s="20">
        <f t="shared" si="0"/>
        <v>17</v>
      </c>
      <c r="B23" s="17"/>
      <c r="C23" s="32"/>
      <c r="D23" s="32"/>
      <c r="E23" s="32"/>
      <c r="F23" s="32"/>
      <c r="G23" s="32"/>
      <c r="H23" s="32"/>
      <c r="I23" s="32"/>
      <c r="J23" s="32"/>
      <c r="K23" s="32"/>
      <c r="L23" s="32"/>
      <c r="M23" s="32"/>
      <c r="N23" s="32"/>
      <c r="O23" s="32"/>
      <c r="P23" s="21"/>
      <c r="Q23" s="21"/>
      <c r="R23" s="9"/>
      <c r="X23" s="277"/>
      <c r="Y23" s="277"/>
      <c r="Z23" s="277"/>
      <c r="AA23" s="7"/>
      <c r="AB23" s="7"/>
    </row>
    <row r="24" spans="1:29" s="20" customFormat="1">
      <c r="A24" s="20">
        <f t="shared" si="0"/>
        <v>18</v>
      </c>
      <c r="B24" s="17" t="s">
        <v>148</v>
      </c>
      <c r="C24" s="47"/>
      <c r="D24" s="47"/>
      <c r="E24" s="47"/>
      <c r="F24" s="47"/>
      <c r="G24" s="47"/>
      <c r="H24" s="47"/>
      <c r="I24" s="47"/>
      <c r="J24" s="47"/>
      <c r="K24" s="47"/>
      <c r="L24" s="47"/>
      <c r="M24" s="47"/>
      <c r="N24" s="47"/>
      <c r="O24" s="47"/>
      <c r="P24" s="21"/>
      <c r="Q24" s="21"/>
      <c r="R24" s="9"/>
      <c r="X24" s="7"/>
      <c r="Y24" s="7"/>
      <c r="Z24" s="7"/>
      <c r="AA24" s="7"/>
      <c r="AB24" s="7"/>
    </row>
    <row r="25" spans="1:29" s="20" customFormat="1">
      <c r="A25" s="20">
        <f t="shared" si="0"/>
        <v>19</v>
      </c>
      <c r="B25" s="17" t="s">
        <v>147</v>
      </c>
      <c r="C25" s="28">
        <v>15601520.83</v>
      </c>
      <c r="D25" s="28">
        <v>15601520.83</v>
      </c>
      <c r="E25" s="28">
        <v>15483040.890000001</v>
      </c>
      <c r="F25" s="28">
        <v>15483040.890000001</v>
      </c>
      <c r="G25" s="28">
        <v>15483040.890000001</v>
      </c>
      <c r="H25" s="28">
        <v>15483040.890000001</v>
      </c>
      <c r="I25" s="28">
        <v>15445647.789999999</v>
      </c>
      <c r="J25" s="28">
        <v>15445647.789999999</v>
      </c>
      <c r="K25" s="28">
        <v>15445655.029999999</v>
      </c>
      <c r="L25" s="28">
        <v>14793403.220000001</v>
      </c>
      <c r="M25" s="28">
        <v>14793403.220000001</v>
      </c>
      <c r="N25" s="28">
        <v>14656612.390000001</v>
      </c>
      <c r="O25" s="28">
        <v>15344663.710000001</v>
      </c>
      <c r="P25" s="21">
        <f>(C25+2*SUM(D25:N25)+O25)/24</f>
        <v>15298928.841666663</v>
      </c>
      <c r="Q25" s="21">
        <f t="shared" ref="Q25:Q38" si="6">AVERAGE(D25:O25)</f>
        <v>15288226.461666666</v>
      </c>
      <c r="R25" s="9">
        <f>+Q25/P25-1</f>
        <v>-6.9955093658902179E-4</v>
      </c>
      <c r="V25" s="21">
        <f>+P25</f>
        <v>15298928.841666663</v>
      </c>
      <c r="X25" s="7"/>
      <c r="Y25" s="7"/>
      <c r="Z25" s="7">
        <f>+V25</f>
        <v>15298928.841666663</v>
      </c>
      <c r="AA25" s="7">
        <f t="shared" ref="AA25:AA37" si="7">+Z25+X25+Y25</f>
        <v>15298928.841666663</v>
      </c>
      <c r="AB25" s="7"/>
    </row>
    <row r="26" spans="1:29" s="20" customFormat="1">
      <c r="A26" s="20">
        <f t="shared" si="0"/>
        <v>20</v>
      </c>
      <c r="B26" s="17" t="s">
        <v>146</v>
      </c>
      <c r="C26" s="28">
        <v>1860570.33</v>
      </c>
      <c r="D26" s="28">
        <v>1873631.4</v>
      </c>
      <c r="E26" s="28">
        <v>1886692.43</v>
      </c>
      <c r="F26" s="28">
        <v>1899752.71</v>
      </c>
      <c r="G26" s="28">
        <v>1912811.32</v>
      </c>
      <c r="H26" s="28">
        <v>1925862.66</v>
      </c>
      <c r="I26" s="28">
        <v>1917756.81</v>
      </c>
      <c r="J26" s="28">
        <v>1930728.36</v>
      </c>
      <c r="K26" s="28">
        <v>1943699.91</v>
      </c>
      <c r="L26" s="28">
        <v>1936631.85</v>
      </c>
      <c r="M26" s="28">
        <v>1957867.76</v>
      </c>
      <c r="N26" s="28">
        <v>1960620.89</v>
      </c>
      <c r="O26" s="28">
        <v>2659571.46</v>
      </c>
      <c r="P26" s="21">
        <f>-(C26+2*SUM(D26:N26)+O26)/24</f>
        <v>-1950510.5829166668</v>
      </c>
      <c r="Q26" s="21">
        <f t="shared" si="6"/>
        <v>1983802.2966666669</v>
      </c>
      <c r="R26" s="9">
        <f>+Q26/P26-1</f>
        <v>-2.0170682046237438</v>
      </c>
      <c r="V26" s="21">
        <f>P26</f>
        <v>-1950510.5829166668</v>
      </c>
      <c r="X26" s="7"/>
      <c r="Y26" s="7"/>
      <c r="Z26" s="7">
        <f>+V26</f>
        <v>-1950510.5829166668</v>
      </c>
      <c r="AA26" s="7">
        <f t="shared" si="7"/>
        <v>-1950510.5829166668</v>
      </c>
      <c r="AB26" s="7"/>
    </row>
    <row r="27" spans="1:29" s="20" customFormat="1">
      <c r="A27" s="20">
        <f t="shared" si="0"/>
        <v>21</v>
      </c>
      <c r="B27" s="17" t="s">
        <v>145</v>
      </c>
      <c r="C27" s="28">
        <v>69928.31</v>
      </c>
      <c r="D27" s="28">
        <v>69928.31</v>
      </c>
      <c r="E27" s="28">
        <v>69928.31</v>
      </c>
      <c r="F27" s="28">
        <v>69928.31</v>
      </c>
      <c r="G27" s="28">
        <v>69928.31</v>
      </c>
      <c r="H27" s="28">
        <v>69928.31</v>
      </c>
      <c r="I27" s="28">
        <v>69928.31</v>
      </c>
      <c r="J27" s="28">
        <v>69928.31</v>
      </c>
      <c r="K27" s="28">
        <v>69928.31</v>
      </c>
      <c r="L27" s="28">
        <v>69928.31</v>
      </c>
      <c r="M27" s="28">
        <v>69928.31</v>
      </c>
      <c r="N27" s="28">
        <v>69928.31</v>
      </c>
      <c r="O27" s="28">
        <v>69928.31</v>
      </c>
      <c r="P27" s="21">
        <f t="shared" ref="P27:P37" si="8">(C27+2*SUM(D27:N27)+O27)/24</f>
        <v>69928.310000000012</v>
      </c>
      <c r="Q27" s="21">
        <f t="shared" si="6"/>
        <v>69928.310000000012</v>
      </c>
      <c r="R27" s="9">
        <f>+Q27/P27-1</f>
        <v>0</v>
      </c>
      <c r="V27" s="21">
        <f>P27</f>
        <v>69928.310000000012</v>
      </c>
      <c r="X27" s="7"/>
      <c r="Y27" s="7"/>
      <c r="Z27" s="7">
        <f>+V27</f>
        <v>69928.310000000012</v>
      </c>
      <c r="AA27" s="7">
        <f t="shared" si="7"/>
        <v>69928.310000000012</v>
      </c>
      <c r="AB27" s="7"/>
    </row>
    <row r="28" spans="1:29" s="20" customFormat="1">
      <c r="A28" s="20">
        <f t="shared" si="0"/>
        <v>22</v>
      </c>
      <c r="B28" s="17" t="s">
        <v>144</v>
      </c>
      <c r="C28" s="28">
        <f>210570088.62-4314397</f>
        <v>206255691.62</v>
      </c>
      <c r="D28" s="28">
        <f>208641707.66+20032702</f>
        <v>228674409.66</v>
      </c>
      <c r="E28" s="28">
        <f>214253746.28+16497907</f>
        <v>230751653.28</v>
      </c>
      <c r="F28" s="28">
        <f>213713594.73+18077181</f>
        <v>231790775.72999999</v>
      </c>
      <c r="G28" s="28">
        <f>218794715.47+17238990</f>
        <v>236033705.47</v>
      </c>
      <c r="H28" s="28">
        <f>234623726.63+6826595</f>
        <v>241450321.63</v>
      </c>
      <c r="I28" s="28">
        <v>240956267.94</v>
      </c>
      <c r="J28" s="28">
        <v>247193781.97</v>
      </c>
      <c r="K28" s="28">
        <v>250431206.88</v>
      </c>
      <c r="L28" s="28">
        <v>252425950.81999999</v>
      </c>
      <c r="M28" s="28">
        <v>251904190.06999999</v>
      </c>
      <c r="N28" s="28">
        <v>251246412.71000001</v>
      </c>
      <c r="O28" s="28">
        <v>250946712.15000001</v>
      </c>
      <c r="P28" s="21">
        <f t="shared" si="8"/>
        <v>240954989.83708334</v>
      </c>
      <c r="Q28" s="21">
        <f t="shared" si="6"/>
        <v>242817115.69250003</v>
      </c>
      <c r="R28" s="9">
        <f>+Q28/P28-1</f>
        <v>7.7281066338394933E-3</v>
      </c>
      <c r="T28" s="7">
        <f>+Bridger!C44*1000</f>
        <v>39282981.023055553</v>
      </c>
      <c r="V28" s="21">
        <f>+P28-T28</f>
        <v>201672008.81402779</v>
      </c>
      <c r="X28" s="7">
        <f>+'[5]Lead Sheet - WCA'!$F$27*[4]Factors!$X$40</f>
        <v>32424125.297717221</v>
      </c>
      <c r="Y28" s="7">
        <f>+'[5]Lead Sheet - WCA'!$F$27-X28</f>
        <v>111558007.02099431</v>
      </c>
      <c r="Z28" s="7">
        <f>+V28-X28-Y28</f>
        <v>57689876.495316267</v>
      </c>
      <c r="AA28" s="7">
        <f t="shared" si="7"/>
        <v>201672008.81402779</v>
      </c>
      <c r="AB28" s="7"/>
      <c r="AC28" s="278"/>
    </row>
    <row r="29" spans="1:29" s="20" customFormat="1">
      <c r="A29" s="20">
        <f t="shared" si="0"/>
        <v>23</v>
      </c>
      <c r="B29" s="17" t="s">
        <v>143</v>
      </c>
      <c r="C29" s="28"/>
      <c r="D29" s="28"/>
      <c r="E29" s="28"/>
      <c r="F29" s="28"/>
      <c r="G29" s="28"/>
      <c r="H29" s="28"/>
      <c r="I29" s="28"/>
      <c r="J29" s="28"/>
      <c r="K29" s="28"/>
      <c r="L29" s="28"/>
      <c r="M29" s="28"/>
      <c r="N29" s="28"/>
      <c r="O29" s="28"/>
      <c r="P29" s="21">
        <f t="shared" si="8"/>
        <v>0</v>
      </c>
      <c r="Q29" s="21" t="e">
        <f t="shared" si="6"/>
        <v>#DIV/0!</v>
      </c>
      <c r="R29" s="9"/>
      <c r="V29" s="21">
        <f t="shared" ref="V29:V35" si="9">P29</f>
        <v>0</v>
      </c>
      <c r="X29" s="7"/>
      <c r="Y29" s="7"/>
      <c r="Z29" s="7">
        <f t="shared" ref="Z29:Z35" si="10">+V29</f>
        <v>0</v>
      </c>
      <c r="AA29" s="7">
        <f t="shared" si="7"/>
        <v>0</v>
      </c>
      <c r="AB29" s="7"/>
    </row>
    <row r="30" spans="1:29" s="20" customFormat="1">
      <c r="A30" s="20">
        <f t="shared" si="0"/>
        <v>24</v>
      </c>
      <c r="B30" s="17" t="s">
        <v>142</v>
      </c>
      <c r="C30" s="28">
        <v>84158849.980000004</v>
      </c>
      <c r="D30" s="28">
        <v>83900228.709999993</v>
      </c>
      <c r="E30" s="28">
        <v>83292190.430000007</v>
      </c>
      <c r="F30" s="28">
        <v>82378724.560000002</v>
      </c>
      <c r="G30" s="28">
        <v>82697970.609999999</v>
      </c>
      <c r="H30" s="28">
        <v>82563472.879999995</v>
      </c>
      <c r="I30" s="28">
        <v>83950134.829999998</v>
      </c>
      <c r="J30" s="28">
        <v>83406622.319999993</v>
      </c>
      <c r="K30" s="28">
        <v>84790157.870000005</v>
      </c>
      <c r="L30" s="28">
        <v>85020053.689999998</v>
      </c>
      <c r="M30" s="28">
        <v>84663559.299999997</v>
      </c>
      <c r="N30" s="28">
        <v>83848083.400000006</v>
      </c>
      <c r="O30" s="28">
        <v>84304196.310000002</v>
      </c>
      <c r="P30" s="21">
        <f t="shared" si="8"/>
        <v>83728560.145416647</v>
      </c>
      <c r="Q30" s="21">
        <f t="shared" si="6"/>
        <v>83734616.242499992</v>
      </c>
      <c r="R30" s="9">
        <f>+Q30/P30-1</f>
        <v>7.2330123351393993E-5</v>
      </c>
      <c r="V30" s="21">
        <f t="shared" si="9"/>
        <v>83728560.145416647</v>
      </c>
      <c r="X30" s="7"/>
      <c r="Y30" s="7"/>
      <c r="Z30" s="7">
        <f t="shared" si="10"/>
        <v>83728560.145416647</v>
      </c>
      <c r="AA30" s="7">
        <f t="shared" si="7"/>
        <v>83728560.145416647</v>
      </c>
      <c r="AB30" s="7"/>
    </row>
    <row r="31" spans="1:29" s="20" customFormat="1">
      <c r="A31" s="20">
        <f t="shared" si="0"/>
        <v>25</v>
      </c>
      <c r="B31" s="17" t="s">
        <v>141</v>
      </c>
      <c r="C31" s="28"/>
      <c r="D31" s="28"/>
      <c r="E31" s="28"/>
      <c r="F31" s="28"/>
      <c r="G31" s="28"/>
      <c r="H31" s="28"/>
      <c r="I31" s="28"/>
      <c r="J31" s="28"/>
      <c r="K31" s="28"/>
      <c r="L31" s="28"/>
      <c r="M31" s="28"/>
      <c r="N31" s="28"/>
      <c r="O31" s="28"/>
      <c r="P31" s="21">
        <f t="shared" si="8"/>
        <v>0</v>
      </c>
      <c r="Q31" s="21" t="e">
        <f t="shared" si="6"/>
        <v>#DIV/0!</v>
      </c>
      <c r="R31" s="9"/>
      <c r="V31" s="21">
        <f t="shared" si="9"/>
        <v>0</v>
      </c>
      <c r="X31" s="7"/>
      <c r="Y31" s="7"/>
      <c r="Z31" s="7">
        <f t="shared" si="10"/>
        <v>0</v>
      </c>
      <c r="AA31" s="7">
        <f t="shared" si="7"/>
        <v>0</v>
      </c>
      <c r="AB31" s="7"/>
    </row>
    <row r="32" spans="1:29" s="20" customFormat="1">
      <c r="A32" s="20">
        <f t="shared" si="0"/>
        <v>26</v>
      </c>
      <c r="B32" s="17" t="s">
        <v>140</v>
      </c>
      <c r="C32" s="28"/>
      <c r="D32" s="28"/>
      <c r="E32" s="28"/>
      <c r="F32" s="28"/>
      <c r="G32" s="28"/>
      <c r="H32" s="28"/>
      <c r="I32" s="28"/>
      <c r="J32" s="28"/>
      <c r="K32" s="28"/>
      <c r="L32" s="28"/>
      <c r="M32" s="28"/>
      <c r="N32" s="28"/>
      <c r="O32" s="28"/>
      <c r="P32" s="21">
        <f t="shared" si="8"/>
        <v>0</v>
      </c>
      <c r="Q32" s="21" t="e">
        <f t="shared" si="6"/>
        <v>#DIV/0!</v>
      </c>
      <c r="R32" s="9"/>
      <c r="V32" s="21">
        <f t="shared" si="9"/>
        <v>0</v>
      </c>
      <c r="X32" s="7"/>
      <c r="Y32" s="7"/>
      <c r="Z32" s="7">
        <f t="shared" si="10"/>
        <v>0</v>
      </c>
      <c r="AA32" s="7">
        <f t="shared" si="7"/>
        <v>0</v>
      </c>
      <c r="AB32" s="7"/>
    </row>
    <row r="33" spans="1:28" s="20" customFormat="1">
      <c r="A33" s="20">
        <f t="shared" si="0"/>
        <v>27</v>
      </c>
      <c r="B33" s="17" t="s">
        <v>139</v>
      </c>
      <c r="C33" s="28"/>
      <c r="D33" s="28"/>
      <c r="E33" s="28"/>
      <c r="F33" s="28"/>
      <c r="G33" s="28"/>
      <c r="H33" s="28"/>
      <c r="I33" s="28"/>
      <c r="J33" s="28"/>
      <c r="K33" s="28"/>
      <c r="L33" s="28"/>
      <c r="M33" s="28"/>
      <c r="N33" s="28"/>
      <c r="O33" s="28"/>
      <c r="P33" s="21">
        <f t="shared" si="8"/>
        <v>0</v>
      </c>
      <c r="Q33" s="21" t="e">
        <f t="shared" si="6"/>
        <v>#DIV/0!</v>
      </c>
      <c r="R33" s="9"/>
      <c r="V33" s="21">
        <f t="shared" si="9"/>
        <v>0</v>
      </c>
      <c r="X33" s="7"/>
      <c r="Y33" s="7"/>
      <c r="Z33" s="7">
        <f t="shared" si="10"/>
        <v>0</v>
      </c>
      <c r="AA33" s="7">
        <f t="shared" si="7"/>
        <v>0</v>
      </c>
      <c r="AB33" s="7"/>
    </row>
    <row r="34" spans="1:28" s="20" customFormat="1">
      <c r="A34" s="20">
        <f t="shared" si="0"/>
        <v>28</v>
      </c>
      <c r="B34" s="17" t="s">
        <v>138</v>
      </c>
      <c r="C34" s="28">
        <v>5477018.6500000004</v>
      </c>
      <c r="D34" s="28">
        <v>5584343.04</v>
      </c>
      <c r="E34" s="28">
        <v>5706203.6799999997</v>
      </c>
      <c r="F34" s="28">
        <v>5741715.4699999997</v>
      </c>
      <c r="G34" s="28">
        <v>5807944.6500000004</v>
      </c>
      <c r="H34" s="28">
        <v>5912937.7699999996</v>
      </c>
      <c r="I34" s="28">
        <v>6137778.9400000004</v>
      </c>
      <c r="J34" s="28">
        <v>6331097.0499999998</v>
      </c>
      <c r="K34" s="28">
        <v>6322919.04</v>
      </c>
      <c r="L34" s="28">
        <v>6413022.8499999996</v>
      </c>
      <c r="M34" s="28">
        <v>16602967.720000001</v>
      </c>
      <c r="N34" s="28">
        <v>17789376.219999999</v>
      </c>
      <c r="O34" s="28">
        <v>18935451.510000002</v>
      </c>
      <c r="P34" s="21">
        <f t="shared" si="8"/>
        <v>8379711.7924999995</v>
      </c>
      <c r="Q34" s="21">
        <f t="shared" si="6"/>
        <v>8940479.8283333331</v>
      </c>
      <c r="R34" s="9">
        <f>+Q34/P34-1</f>
        <v>6.691972823399861E-2</v>
      </c>
      <c r="V34" s="21">
        <f t="shared" si="9"/>
        <v>8379711.7924999995</v>
      </c>
      <c r="X34" s="7"/>
      <c r="Y34" s="7"/>
      <c r="Z34" s="7">
        <f t="shared" si="10"/>
        <v>8379711.7924999995</v>
      </c>
      <c r="AA34" s="7">
        <f t="shared" si="7"/>
        <v>8379711.7924999995</v>
      </c>
      <c r="AB34" s="7"/>
    </row>
    <row r="35" spans="1:28" s="20" customFormat="1">
      <c r="A35" s="20">
        <f t="shared" si="0"/>
        <v>29</v>
      </c>
      <c r="B35" s="17" t="s">
        <v>137</v>
      </c>
      <c r="C35" s="28"/>
      <c r="D35" s="28"/>
      <c r="E35" s="28"/>
      <c r="F35" s="28"/>
      <c r="G35" s="28"/>
      <c r="H35" s="28"/>
      <c r="I35" s="28"/>
      <c r="J35" s="28"/>
      <c r="K35" s="28"/>
      <c r="L35" s="28"/>
      <c r="M35" s="28"/>
      <c r="N35" s="28"/>
      <c r="O35" s="28"/>
      <c r="P35" s="21">
        <f t="shared" si="8"/>
        <v>0</v>
      </c>
      <c r="Q35" s="21" t="e">
        <f t="shared" si="6"/>
        <v>#DIV/0!</v>
      </c>
      <c r="R35" s="9"/>
      <c r="V35" s="21">
        <f t="shared" si="9"/>
        <v>0</v>
      </c>
      <c r="X35" s="7"/>
      <c r="Y35" s="7"/>
      <c r="Z35" s="7">
        <f t="shared" si="10"/>
        <v>0</v>
      </c>
      <c r="AA35" s="7">
        <f t="shared" si="7"/>
        <v>0</v>
      </c>
      <c r="AB35" s="7"/>
    </row>
    <row r="36" spans="1:28" s="20" customFormat="1">
      <c r="A36" s="20">
        <f t="shared" si="0"/>
        <v>30</v>
      </c>
      <c r="B36" s="17" t="s">
        <v>136</v>
      </c>
      <c r="C36" s="28">
        <v>5904320.1699999999</v>
      </c>
      <c r="D36" s="28">
        <v>5347478.17</v>
      </c>
      <c r="E36" s="28">
        <v>5702291.1699999999</v>
      </c>
      <c r="F36" s="28">
        <v>6297562</v>
      </c>
      <c r="G36" s="28">
        <v>6123786</v>
      </c>
      <c r="H36" s="28">
        <v>5637366</v>
      </c>
      <c r="I36" s="28">
        <v>4472312</v>
      </c>
      <c r="J36" s="28">
        <v>3800307</v>
      </c>
      <c r="K36" s="28">
        <v>2747187.72</v>
      </c>
      <c r="L36" s="28">
        <v>1068525.1100000001</v>
      </c>
      <c r="M36" s="28">
        <v>1057610.7</v>
      </c>
      <c r="N36" s="28">
        <v>953643.83</v>
      </c>
      <c r="O36" s="28">
        <v>843218.75</v>
      </c>
      <c r="P36" s="21">
        <f>(C36+2*SUM(D36:N36)+O36)/24</f>
        <v>3881819.93</v>
      </c>
      <c r="Q36" s="21">
        <f t="shared" si="6"/>
        <v>3670940.7041666671</v>
      </c>
      <c r="R36" s="9">
        <f>+Q36/P36-1</f>
        <v>-5.4324834648714182E-2</v>
      </c>
      <c r="T36" s="21">
        <f>+P36</f>
        <v>3881819.93</v>
      </c>
      <c r="U36" s="21"/>
      <c r="V36" s="42"/>
      <c r="W36" s="21"/>
      <c r="X36" s="7"/>
      <c r="Y36" s="7"/>
      <c r="Z36" s="7"/>
      <c r="AA36" s="7">
        <f t="shared" si="7"/>
        <v>0</v>
      </c>
      <c r="AB36" s="7"/>
    </row>
    <row r="37" spans="1:28" s="20" customFormat="1">
      <c r="A37" s="20">
        <f t="shared" si="0"/>
        <v>31</v>
      </c>
      <c r="B37" s="17" t="s">
        <v>135</v>
      </c>
      <c r="C37" s="28"/>
      <c r="D37" s="28"/>
      <c r="E37" s="28"/>
      <c r="F37" s="28"/>
      <c r="G37" s="28"/>
      <c r="H37" s="28"/>
      <c r="I37" s="28"/>
      <c r="J37" s="28"/>
      <c r="K37" s="28"/>
      <c r="L37" s="28"/>
      <c r="M37" s="28"/>
      <c r="N37" s="28"/>
      <c r="O37" s="28"/>
      <c r="P37" s="21">
        <f t="shared" si="8"/>
        <v>0</v>
      </c>
      <c r="Q37" s="21" t="e">
        <f t="shared" si="6"/>
        <v>#DIV/0!</v>
      </c>
      <c r="R37" s="9"/>
      <c r="V37" s="21">
        <f>P37</f>
        <v>0</v>
      </c>
      <c r="X37" s="7"/>
      <c r="Y37" s="7"/>
      <c r="Z37" s="7">
        <f>+V37</f>
        <v>0</v>
      </c>
      <c r="AA37" s="7">
        <f t="shared" si="7"/>
        <v>0</v>
      </c>
      <c r="AB37" s="7"/>
    </row>
    <row r="38" spans="1:28" s="20" customFormat="1">
      <c r="A38" s="20">
        <f t="shared" si="0"/>
        <v>32</v>
      </c>
      <c r="B38" s="17" t="s">
        <v>134</v>
      </c>
      <c r="C38" s="28">
        <f t="shared" ref="C38:H38" si="11">SUM(C27:C37,C25)-C26</f>
        <v>315606759.23000002</v>
      </c>
      <c r="D38" s="28">
        <f t="shared" si="11"/>
        <v>337304277.32000005</v>
      </c>
      <c r="E38" s="28">
        <f t="shared" si="11"/>
        <v>339118615.32999998</v>
      </c>
      <c r="F38" s="28">
        <f t="shared" si="11"/>
        <v>339861994.25000006</v>
      </c>
      <c r="G38" s="28">
        <f t="shared" si="11"/>
        <v>344303564.60999995</v>
      </c>
      <c r="H38" s="28">
        <f t="shared" si="11"/>
        <v>349191204.81999993</v>
      </c>
      <c r="I38" s="28">
        <f t="shared" ref="I38:O38" si="12">SUM(I27:I37,I25)-I26</f>
        <v>349114313</v>
      </c>
      <c r="J38" s="28">
        <f t="shared" si="12"/>
        <v>354316656.08000004</v>
      </c>
      <c r="K38" s="28">
        <f t="shared" si="12"/>
        <v>357863354.94</v>
      </c>
      <c r="L38" s="28">
        <f t="shared" si="12"/>
        <v>357854252.15000004</v>
      </c>
      <c r="M38" s="28">
        <f t="shared" si="12"/>
        <v>367133791.56000006</v>
      </c>
      <c r="N38" s="28">
        <f t="shared" si="12"/>
        <v>366603435.96999997</v>
      </c>
      <c r="O38" s="28">
        <f t="shared" si="12"/>
        <v>367784599.27999997</v>
      </c>
      <c r="P38" s="41">
        <f>SUBTOTAL(9,P25:P37)</f>
        <v>350363428.27375001</v>
      </c>
      <c r="Q38" s="21">
        <f t="shared" si="6"/>
        <v>352537504.94249994</v>
      </c>
      <c r="R38" s="9">
        <f>+Q38/P38-1</f>
        <v>6.2052043487006436E-3</v>
      </c>
      <c r="T38" s="41">
        <f>SUBTOTAL(9,T25:T37)</f>
        <v>43164800.953055553</v>
      </c>
      <c r="V38" s="41">
        <f>SUBTOTAL(9,V25:V37)</f>
        <v>307198627.32069445</v>
      </c>
      <c r="W38" s="41">
        <f>SUBTOTAL(9,W25:W37)</f>
        <v>0</v>
      </c>
      <c r="X38" s="41">
        <f>SUBTOTAL(9,X25:X37)</f>
        <v>32424125.297717221</v>
      </c>
      <c r="Y38" s="41">
        <f>SUBTOTAL(9,Y25:Y37)</f>
        <v>111558007.02099431</v>
      </c>
      <c r="Z38" s="41">
        <f>SUBTOTAL(9,Z25:Z37)</f>
        <v>163216495.0019829</v>
      </c>
      <c r="AA38" s="7"/>
      <c r="AB38" s="7"/>
    </row>
    <row r="39" spans="1:28" s="20" customFormat="1">
      <c r="A39" s="20">
        <f t="shared" si="0"/>
        <v>33</v>
      </c>
      <c r="B39" s="17"/>
      <c r="C39" s="32"/>
      <c r="D39" s="32"/>
      <c r="E39" s="32"/>
      <c r="F39" s="32"/>
      <c r="G39" s="32"/>
      <c r="H39" s="32"/>
      <c r="I39" s="32"/>
      <c r="J39" s="32"/>
      <c r="K39" s="32"/>
      <c r="L39" s="32"/>
      <c r="M39" s="32"/>
      <c r="N39" s="32"/>
      <c r="O39" s="32"/>
      <c r="P39" s="40"/>
      <c r="Q39" s="21"/>
      <c r="R39" s="9"/>
      <c r="T39" s="40"/>
      <c r="V39" s="40"/>
      <c r="W39" s="40"/>
      <c r="X39" s="40"/>
      <c r="Y39" s="40"/>
      <c r="Z39" s="40"/>
      <c r="AA39" s="7"/>
      <c r="AB39" s="7"/>
    </row>
    <row r="40" spans="1:28" s="20" customFormat="1">
      <c r="A40" s="20">
        <f t="shared" ref="A40:A71" si="13">+A39+1</f>
        <v>34</v>
      </c>
      <c r="B40" s="17" t="s">
        <v>133</v>
      </c>
      <c r="C40" s="47"/>
      <c r="D40" s="47"/>
      <c r="E40" s="47"/>
      <c r="F40" s="47"/>
      <c r="G40" s="47"/>
      <c r="H40" s="47"/>
      <c r="I40" s="47"/>
      <c r="J40" s="47"/>
      <c r="K40" s="47"/>
      <c r="L40" s="47"/>
      <c r="M40" s="47"/>
      <c r="N40" s="47"/>
      <c r="O40" s="47"/>
      <c r="P40" s="21"/>
      <c r="Q40" s="21"/>
      <c r="R40" s="9"/>
      <c r="X40" s="7"/>
      <c r="Y40" s="7"/>
      <c r="Z40" s="7"/>
      <c r="AA40" s="7"/>
      <c r="AB40" s="7"/>
    </row>
    <row r="41" spans="1:28" s="20" customFormat="1">
      <c r="A41" s="20">
        <f t="shared" si="13"/>
        <v>35</v>
      </c>
      <c r="B41" s="17" t="s">
        <v>132</v>
      </c>
      <c r="C41" s="28">
        <f>8428469.66-169218</f>
        <v>8259251.6600000001</v>
      </c>
      <c r="D41" s="28">
        <f>77850163.76-611915</f>
        <v>77238248.760000005</v>
      </c>
      <c r="E41" s="28">
        <f>6635991.64+205619</f>
        <v>6841610.6399999997</v>
      </c>
      <c r="F41" s="28">
        <f>8776698.29-285313</f>
        <v>8491385.2899999991</v>
      </c>
      <c r="G41" s="28">
        <f>15975075.42-297650</f>
        <v>15677425.42</v>
      </c>
      <c r="H41" s="28">
        <f>6409676.05-309245</f>
        <v>6100431.0499999998</v>
      </c>
      <c r="I41" s="28">
        <v>14846925.880000001</v>
      </c>
      <c r="J41" s="28">
        <v>7253456.7400000002</v>
      </c>
      <c r="K41" s="28">
        <v>8327523.6399999997</v>
      </c>
      <c r="L41" s="28">
        <v>12565601.609999999</v>
      </c>
      <c r="M41" s="28">
        <v>14880796.99</v>
      </c>
      <c r="N41" s="28">
        <v>6174358.4800000004</v>
      </c>
      <c r="O41" s="28">
        <v>13317074.93</v>
      </c>
      <c r="P41" s="21">
        <f t="shared" ref="P41:P47" si="14">(C41+2*SUM(D41:N41)+O41)/24</f>
        <v>15765493.982916666</v>
      </c>
      <c r="Q41" s="21">
        <f t="shared" ref="Q41:Q73" si="15">AVERAGE(D41:O41)</f>
        <v>15976236.619166665</v>
      </c>
      <c r="R41" s="9">
        <f t="shared" ref="R41:R51" si="16">+Q41/P41-1</f>
        <v>1.3367334793210839E-2</v>
      </c>
      <c r="T41" s="21">
        <f>+P41</f>
        <v>15765493.982916666</v>
      </c>
      <c r="X41" s="7"/>
      <c r="Y41" s="7"/>
      <c r="Z41" s="7"/>
      <c r="AA41" s="7"/>
      <c r="AB41" s="7"/>
    </row>
    <row r="42" spans="1:28" s="20" customFormat="1">
      <c r="A42" s="20">
        <f t="shared" si="13"/>
        <v>36</v>
      </c>
      <c r="B42" s="17" t="s">
        <v>131</v>
      </c>
      <c r="C42" s="28">
        <v>714145.89</v>
      </c>
      <c r="D42" s="28">
        <v>745745.89</v>
      </c>
      <c r="E42" s="28">
        <v>745745.89</v>
      </c>
      <c r="F42" s="28">
        <v>745745.89</v>
      </c>
      <c r="G42" s="28">
        <v>774145.89</v>
      </c>
      <c r="H42" s="28">
        <v>774145.89</v>
      </c>
      <c r="I42" s="28">
        <v>774145.89</v>
      </c>
      <c r="J42" s="28">
        <v>603873.55000000005</v>
      </c>
      <c r="K42" s="28">
        <v>713728.55</v>
      </c>
      <c r="L42" s="28">
        <v>713728.55</v>
      </c>
      <c r="M42" s="28">
        <v>713728.55</v>
      </c>
      <c r="N42" s="28">
        <v>713728.55</v>
      </c>
      <c r="O42" s="28">
        <v>713728.55</v>
      </c>
      <c r="P42" s="21">
        <f t="shared" si="14"/>
        <v>727700.02583333326</v>
      </c>
      <c r="Q42" s="21">
        <f t="shared" si="15"/>
        <v>727682.6366666666</v>
      </c>
      <c r="R42" s="9">
        <f t="shared" si="16"/>
        <v>-2.3896064380024562E-5</v>
      </c>
      <c r="T42" s="21"/>
      <c r="V42" s="21">
        <f>+P42</f>
        <v>727700.02583333326</v>
      </c>
      <c r="X42" s="7"/>
      <c r="Y42" s="7"/>
      <c r="Z42" s="7">
        <f>+V42</f>
        <v>727700.02583333326</v>
      </c>
      <c r="AA42" s="7"/>
      <c r="AB42" s="7"/>
    </row>
    <row r="43" spans="1:28" s="20" customFormat="1">
      <c r="A43" s="20">
        <f t="shared" si="13"/>
        <v>37</v>
      </c>
      <c r="B43" s="17" t="s">
        <v>130</v>
      </c>
      <c r="C43" s="28">
        <v>1720</v>
      </c>
      <c r="D43" s="28">
        <v>1720</v>
      </c>
      <c r="E43" s="28">
        <v>1720</v>
      </c>
      <c r="F43" s="28">
        <v>1720</v>
      </c>
      <c r="G43" s="28">
        <v>1720</v>
      </c>
      <c r="H43" s="28">
        <v>1720</v>
      </c>
      <c r="I43" s="28">
        <v>1520</v>
      </c>
      <c r="J43" s="28">
        <v>1520</v>
      </c>
      <c r="K43" s="28">
        <v>1520</v>
      </c>
      <c r="L43" s="28">
        <v>1520</v>
      </c>
      <c r="M43" s="28">
        <v>1520</v>
      </c>
      <c r="N43" s="28">
        <v>1520</v>
      </c>
      <c r="O43" s="28">
        <v>1520</v>
      </c>
      <c r="P43" s="21">
        <f t="shared" si="14"/>
        <v>1611.6666666666667</v>
      </c>
      <c r="Q43" s="21">
        <f t="shared" si="15"/>
        <v>1603.3333333333333</v>
      </c>
      <c r="R43" s="9">
        <f t="shared" si="16"/>
        <v>-5.170630816959787E-3</v>
      </c>
      <c r="T43" s="21">
        <f>+P43</f>
        <v>1611.6666666666667</v>
      </c>
      <c r="X43" s="7"/>
      <c r="Y43" s="7"/>
      <c r="Z43" s="7"/>
      <c r="AA43" s="7"/>
      <c r="AB43" s="7"/>
    </row>
    <row r="44" spans="1:28" s="20" customFormat="1">
      <c r="A44" s="20">
        <f t="shared" si="13"/>
        <v>38</v>
      </c>
      <c r="B44" s="17" t="s">
        <v>129</v>
      </c>
      <c r="C44" s="28">
        <v>134856988.08000001</v>
      </c>
      <c r="D44" s="28">
        <v>46043</v>
      </c>
      <c r="E44" s="28">
        <v>63545752.82</v>
      </c>
      <c r="F44" s="28">
        <v>116946384.34999999</v>
      </c>
      <c r="G44" s="28">
        <v>110538746.97</v>
      </c>
      <c r="H44" s="28">
        <v>17539671.030000001</v>
      </c>
      <c r="I44" s="28">
        <v>7244794</v>
      </c>
      <c r="J44" s="28">
        <v>7946000.3300000001</v>
      </c>
      <c r="K44" s="28">
        <v>944058.16</v>
      </c>
      <c r="L44" s="28">
        <v>8443507.3699999992</v>
      </c>
      <c r="M44" s="28">
        <v>15143776.23</v>
      </c>
      <c r="N44" s="28">
        <v>11244035.25</v>
      </c>
      <c r="O44" s="28">
        <v>69144376.010000005</v>
      </c>
      <c r="P44" s="21">
        <f t="shared" si="14"/>
        <v>38465287.629583336</v>
      </c>
      <c r="Q44" s="21">
        <f t="shared" si="15"/>
        <v>35727262.126666665</v>
      </c>
      <c r="R44" s="9">
        <f t="shared" si="16"/>
        <v>-7.1181724397424762E-2</v>
      </c>
      <c r="S44" s="9"/>
      <c r="T44" s="21"/>
      <c r="V44" s="21">
        <f>+P44</f>
        <v>38465287.629583336</v>
      </c>
      <c r="X44" s="7"/>
      <c r="Y44" s="7"/>
      <c r="Z44" s="7">
        <f>+V44</f>
        <v>38465287.629583336</v>
      </c>
      <c r="AA44" s="7"/>
      <c r="AB44" s="7"/>
    </row>
    <row r="45" spans="1:28" s="20" customFormat="1">
      <c r="A45" s="20">
        <f t="shared" si="13"/>
        <v>39</v>
      </c>
      <c r="B45" s="17" t="s">
        <v>128</v>
      </c>
      <c r="C45" s="28">
        <v>352481.28000000003</v>
      </c>
      <c r="D45" s="28">
        <v>237601.05</v>
      </c>
      <c r="E45" s="28">
        <v>237744.01</v>
      </c>
      <c r="F45" s="28">
        <v>237905.24</v>
      </c>
      <c r="G45" s="28">
        <v>238029.4</v>
      </c>
      <c r="H45" s="28">
        <v>238168.31</v>
      </c>
      <c r="I45" s="28">
        <v>238518.94</v>
      </c>
      <c r="J45" s="28">
        <v>238875.26</v>
      </c>
      <c r="K45" s="28">
        <v>239187.59</v>
      </c>
      <c r="L45" s="28">
        <v>329897.68</v>
      </c>
      <c r="M45" s="28">
        <v>330154.38</v>
      </c>
      <c r="N45" s="28">
        <v>330337.61</v>
      </c>
      <c r="O45" s="28">
        <v>330489.83</v>
      </c>
      <c r="P45" s="21">
        <f t="shared" si="14"/>
        <v>269825.41875000001</v>
      </c>
      <c r="Q45" s="21">
        <f t="shared" si="15"/>
        <v>268909.10833333334</v>
      </c>
      <c r="R45" s="9">
        <f t="shared" si="16"/>
        <v>-3.3959380880852486E-3</v>
      </c>
      <c r="T45" s="21"/>
      <c r="V45" s="21">
        <f>+P45</f>
        <v>269825.41875000001</v>
      </c>
      <c r="X45" s="7"/>
      <c r="Y45" s="7"/>
      <c r="Z45" s="7">
        <f>+V45</f>
        <v>269825.41875000001</v>
      </c>
      <c r="AA45" s="7"/>
      <c r="AB45" s="7"/>
    </row>
    <row r="46" spans="1:28" s="20" customFormat="1">
      <c r="A46" s="20">
        <f t="shared" si="13"/>
        <v>40</v>
      </c>
      <c r="B46" s="17" t="s">
        <v>127</v>
      </c>
      <c r="C46" s="28">
        <v>289880719.57999998</v>
      </c>
      <c r="D46" s="28">
        <v>332037207.89999998</v>
      </c>
      <c r="E46" s="28">
        <v>334816117.38</v>
      </c>
      <c r="F46" s="28">
        <v>357355881.13</v>
      </c>
      <c r="G46" s="28">
        <v>311244954.76999998</v>
      </c>
      <c r="H46" s="28">
        <v>326425606.69</v>
      </c>
      <c r="I46" s="28">
        <v>373179153.54000002</v>
      </c>
      <c r="J46" s="28">
        <v>382965656.73000002</v>
      </c>
      <c r="K46" s="28">
        <v>366618555.08999997</v>
      </c>
      <c r="L46" s="28">
        <v>332197312.47000003</v>
      </c>
      <c r="M46" s="28">
        <v>300659351.04000002</v>
      </c>
      <c r="N46" s="28">
        <v>295302541.07999998</v>
      </c>
      <c r="O46" s="28">
        <v>324461106.97000003</v>
      </c>
      <c r="P46" s="21">
        <f t="shared" si="14"/>
        <v>334997770.92458332</v>
      </c>
      <c r="Q46" s="21">
        <f t="shared" si="15"/>
        <v>336438620.39916664</v>
      </c>
      <c r="R46" s="9">
        <f t="shared" si="16"/>
        <v>4.3010718268561288E-3</v>
      </c>
      <c r="T46" s="21">
        <f>+P46</f>
        <v>334997770.92458332</v>
      </c>
      <c r="X46" s="7"/>
      <c r="Y46" s="7"/>
      <c r="Z46" s="7"/>
      <c r="AA46" s="7"/>
      <c r="AB46" s="7"/>
    </row>
    <row r="47" spans="1:28" s="20" customFormat="1">
      <c r="A47" s="20">
        <f t="shared" si="13"/>
        <v>41</v>
      </c>
      <c r="B47" s="17" t="s">
        <v>126</v>
      </c>
      <c r="C47" s="28">
        <f>39483383.18-3483899</f>
        <v>35999484.18</v>
      </c>
      <c r="D47" s="28">
        <f>38678278.59-3351841</f>
        <v>35326437.590000004</v>
      </c>
      <c r="E47" s="28">
        <f>43533189.09-3193384</f>
        <v>40339805.090000004</v>
      </c>
      <c r="F47" s="28">
        <f>63115117.52-2556386</f>
        <v>60558731.520000003</v>
      </c>
      <c r="G47" s="28">
        <f>59834264.52-2423577</f>
        <v>57410687.520000003</v>
      </c>
      <c r="H47" s="28">
        <f>59510733.74-2286915</f>
        <v>57223818.740000002</v>
      </c>
      <c r="I47" s="28">
        <v>59610651.25</v>
      </c>
      <c r="J47" s="28">
        <v>57816712.829999998</v>
      </c>
      <c r="K47" s="28">
        <v>56960325.359999999</v>
      </c>
      <c r="L47" s="28">
        <v>55163959.200000003</v>
      </c>
      <c r="M47" s="28">
        <v>53547165.780000001</v>
      </c>
      <c r="N47" s="28">
        <v>52887909.799999997</v>
      </c>
      <c r="O47" s="28">
        <v>54757372.549999997</v>
      </c>
      <c r="P47" s="21">
        <f t="shared" si="14"/>
        <v>52685386.087083332</v>
      </c>
      <c r="Q47" s="21">
        <f t="shared" si="15"/>
        <v>53466964.769166656</v>
      </c>
      <c r="R47" s="9">
        <f t="shared" si="16"/>
        <v>1.4834828785186494E-2</v>
      </c>
      <c r="T47" s="21">
        <f>+P47</f>
        <v>52685386.087083332</v>
      </c>
      <c r="X47" s="7"/>
      <c r="Y47" s="7"/>
      <c r="Z47" s="7"/>
      <c r="AA47" s="7"/>
      <c r="AB47" s="7"/>
    </row>
    <row r="48" spans="1:28" s="20" customFormat="1">
      <c r="A48" s="20">
        <f t="shared" si="13"/>
        <v>42</v>
      </c>
      <c r="B48" s="17" t="s">
        <v>125</v>
      </c>
      <c r="C48" s="28">
        <v>9269355.3399999999</v>
      </c>
      <c r="D48" s="28">
        <v>9340212.6699999999</v>
      </c>
      <c r="E48" s="28">
        <v>9219447.1099999994</v>
      </c>
      <c r="F48" s="28">
        <v>8929812.8599999994</v>
      </c>
      <c r="G48" s="28">
        <v>8402801.7699999996</v>
      </c>
      <c r="H48" s="28">
        <v>8066505.6600000001</v>
      </c>
      <c r="I48" s="28">
        <v>8722761.8100000005</v>
      </c>
      <c r="J48" s="28">
        <v>9207854.2699999996</v>
      </c>
      <c r="K48" s="28">
        <v>9560464.5099999998</v>
      </c>
      <c r="L48" s="28">
        <v>9959862.7599999998</v>
      </c>
      <c r="M48" s="28">
        <v>10489957.59</v>
      </c>
      <c r="N48" s="28">
        <v>10584998.57</v>
      </c>
      <c r="O48" s="28">
        <v>10828868.67</v>
      </c>
      <c r="P48" s="21">
        <f>-(C48+2*SUM(D48:N48)+O48)/24</f>
        <v>-9377815.965416668</v>
      </c>
      <c r="Q48" s="21">
        <f t="shared" si="15"/>
        <v>9442795.6875000019</v>
      </c>
      <c r="R48" s="9">
        <f t="shared" si="16"/>
        <v>-2.006929089067536</v>
      </c>
      <c r="T48" s="21">
        <f>+P48</f>
        <v>-9377815.965416668</v>
      </c>
      <c r="X48" s="7"/>
      <c r="Y48" s="7"/>
      <c r="Z48" s="7"/>
      <c r="AA48" s="7"/>
      <c r="AB48" s="7"/>
    </row>
    <row r="49" spans="1:28" s="20" customFormat="1">
      <c r="A49" s="20">
        <f t="shared" si="13"/>
        <v>43</v>
      </c>
      <c r="B49" s="17" t="s">
        <v>124</v>
      </c>
      <c r="C49" s="28">
        <f>0+3269474</f>
        <v>3269474</v>
      </c>
      <c r="D49" s="28">
        <v>507</v>
      </c>
      <c r="E49" s="28">
        <v>2859805</v>
      </c>
      <c r="F49" s="28">
        <f>0+1559623</f>
        <v>1559623</v>
      </c>
      <c r="G49" s="28">
        <v>1304107</v>
      </c>
      <c r="H49" s="28">
        <v>11157918</v>
      </c>
      <c r="I49" s="28">
        <v>13897304.76</v>
      </c>
      <c r="J49" s="28">
        <v>8777683.6400000006</v>
      </c>
      <c r="K49" s="28">
        <v>3370651.61</v>
      </c>
      <c r="L49" s="28">
        <v>1410.04</v>
      </c>
      <c r="M49" s="28">
        <v>425.72</v>
      </c>
      <c r="N49" s="28">
        <v>5401546.8099999996</v>
      </c>
      <c r="O49" s="28">
        <v>7096790.3200000003</v>
      </c>
      <c r="P49" s="21">
        <f t="shared" ref="P49:P69" si="17">(C49+2*SUM(D49:N49)+O49)/24</f>
        <v>4459509.5616666665</v>
      </c>
      <c r="Q49" s="21">
        <f t="shared" si="15"/>
        <v>4618981.0750000002</v>
      </c>
      <c r="R49" s="9">
        <f t="shared" si="16"/>
        <v>3.5759876983812111E-2</v>
      </c>
      <c r="T49" s="21"/>
      <c r="V49" s="21">
        <f>+P49</f>
        <v>4459509.5616666665</v>
      </c>
      <c r="X49" s="7"/>
      <c r="Y49" s="7"/>
      <c r="Z49" s="7">
        <f>+V49</f>
        <v>4459509.5616666665</v>
      </c>
      <c r="AA49" s="7"/>
      <c r="AB49" s="7"/>
    </row>
    <row r="50" spans="1:28" s="20" customFormat="1">
      <c r="A50" s="20">
        <f t="shared" si="13"/>
        <v>44</v>
      </c>
      <c r="B50" s="17" t="s">
        <v>123</v>
      </c>
      <c r="C50" s="28">
        <f>17448003.59-3832658</f>
        <v>13615345.59</v>
      </c>
      <c r="D50" s="28">
        <f>18200640.45-4177598</f>
        <v>14023042.449999999</v>
      </c>
      <c r="E50" s="28">
        <f>16869698.42-2981313</f>
        <v>13888385.420000002</v>
      </c>
      <c r="F50" s="28">
        <f>26028906.65-3769561</f>
        <v>22259345.649999999</v>
      </c>
      <c r="G50" s="28">
        <f>26182537.25-3985539</f>
        <v>22196998.25</v>
      </c>
      <c r="H50" s="28">
        <f>26142421.03-3911954</f>
        <v>22230467.030000001</v>
      </c>
      <c r="I50" s="28">
        <v>7455751.9299999997</v>
      </c>
      <c r="J50" s="28">
        <v>11377449.02</v>
      </c>
      <c r="K50" s="28">
        <v>7568543.0800000001</v>
      </c>
      <c r="L50" s="28">
        <v>8458155.25</v>
      </c>
      <c r="M50" s="28">
        <v>8513686.5600000005</v>
      </c>
      <c r="N50" s="28">
        <v>8864716.2400000002</v>
      </c>
      <c r="O50" s="28">
        <v>8963216.2400000002</v>
      </c>
      <c r="P50" s="21">
        <f t="shared" si="17"/>
        <v>13177151.816249998</v>
      </c>
      <c r="Q50" s="21">
        <f t="shared" si="15"/>
        <v>12983313.093333334</v>
      </c>
      <c r="R50" s="9">
        <f t="shared" si="16"/>
        <v>-1.4710213983997966E-2</v>
      </c>
      <c r="T50" s="21">
        <f t="shared" ref="T50:T72" si="18">+P50</f>
        <v>13177151.816249998</v>
      </c>
      <c r="X50" s="7"/>
      <c r="Y50" s="7"/>
      <c r="Z50" s="7"/>
      <c r="AA50" s="7"/>
      <c r="AB50" s="7"/>
    </row>
    <row r="51" spans="1:28" s="20" customFormat="1">
      <c r="A51" s="20">
        <f t="shared" si="13"/>
        <v>45</v>
      </c>
      <c r="B51" s="17" t="s">
        <v>121</v>
      </c>
      <c r="C51" s="28">
        <v>223055023.03</v>
      </c>
      <c r="D51" s="28">
        <v>219515039.46000001</v>
      </c>
      <c r="E51" s="28">
        <v>221001653.46000001</v>
      </c>
      <c r="F51" s="28">
        <v>215461362.71000001</v>
      </c>
      <c r="G51" s="28">
        <v>217573738.69</v>
      </c>
      <c r="H51" s="28">
        <v>223404802.63</v>
      </c>
      <c r="I51" s="28">
        <v>236891213.87</v>
      </c>
      <c r="J51" s="28">
        <v>237788285.52000001</v>
      </c>
      <c r="K51" s="28">
        <v>248769937.15000001</v>
      </c>
      <c r="L51" s="28">
        <v>256520580.78</v>
      </c>
      <c r="M51" s="28">
        <v>262822496.34</v>
      </c>
      <c r="N51" s="28">
        <v>268040220.93000001</v>
      </c>
      <c r="O51" s="28">
        <v>269876271.56</v>
      </c>
      <c r="P51" s="21">
        <f t="shared" si="17"/>
        <v>237854581.5695833</v>
      </c>
      <c r="Q51" s="21">
        <f t="shared" si="15"/>
        <v>239805466.92499995</v>
      </c>
      <c r="R51" s="9">
        <f t="shared" si="16"/>
        <v>8.2020087338361414E-3</v>
      </c>
      <c r="T51" s="21">
        <f t="shared" si="18"/>
        <v>237854581.5695833</v>
      </c>
      <c r="V51" s="21"/>
      <c r="X51" s="7"/>
      <c r="Y51" s="7"/>
      <c r="Z51" s="7"/>
      <c r="AA51" s="7"/>
      <c r="AB51" s="7"/>
    </row>
    <row r="52" spans="1:28" s="20" customFormat="1">
      <c r="A52" s="20">
        <f t="shared" si="13"/>
        <v>46</v>
      </c>
      <c r="B52" s="17" t="s">
        <v>120</v>
      </c>
      <c r="C52" s="28"/>
      <c r="D52" s="28"/>
      <c r="E52" s="28"/>
      <c r="F52" s="28"/>
      <c r="G52" s="28"/>
      <c r="H52" s="28"/>
      <c r="I52" s="28"/>
      <c r="J52" s="28"/>
      <c r="K52" s="28"/>
      <c r="L52" s="28"/>
      <c r="M52" s="28"/>
      <c r="N52" s="28"/>
      <c r="O52" s="28"/>
      <c r="P52" s="21">
        <f t="shared" si="17"/>
        <v>0</v>
      </c>
      <c r="Q52" s="21" t="e">
        <f t="shared" si="15"/>
        <v>#DIV/0!</v>
      </c>
      <c r="R52" s="9"/>
      <c r="T52" s="21">
        <f t="shared" si="18"/>
        <v>0</v>
      </c>
      <c r="X52" s="7"/>
      <c r="Y52" s="7"/>
      <c r="Z52" s="7"/>
      <c r="AA52" s="7"/>
      <c r="AB52" s="7"/>
    </row>
    <row r="53" spans="1:28" s="20" customFormat="1">
      <c r="A53" s="20">
        <f t="shared" si="13"/>
        <v>47</v>
      </c>
      <c r="B53" s="17" t="s">
        <v>119</v>
      </c>
      <c r="C53" s="28"/>
      <c r="D53" s="28"/>
      <c r="E53" s="28"/>
      <c r="F53" s="28"/>
      <c r="G53" s="28"/>
      <c r="H53" s="28"/>
      <c r="I53" s="28"/>
      <c r="J53" s="28"/>
      <c r="K53" s="28"/>
      <c r="L53" s="28"/>
      <c r="M53" s="28"/>
      <c r="N53" s="28"/>
      <c r="O53" s="28"/>
      <c r="P53" s="21">
        <f t="shared" si="17"/>
        <v>0</v>
      </c>
      <c r="Q53" s="21" t="e">
        <f t="shared" si="15"/>
        <v>#DIV/0!</v>
      </c>
      <c r="R53" s="9"/>
      <c r="T53" s="21">
        <f t="shared" si="18"/>
        <v>0</v>
      </c>
      <c r="X53" s="7"/>
      <c r="Y53" s="7"/>
      <c r="Z53" s="7"/>
      <c r="AA53" s="7"/>
      <c r="AB53" s="7"/>
    </row>
    <row r="54" spans="1:28" s="20" customFormat="1">
      <c r="A54" s="20">
        <f t="shared" si="13"/>
        <v>48</v>
      </c>
      <c r="B54" s="17" t="s">
        <v>118</v>
      </c>
      <c r="C54" s="28">
        <v>191270513.40000001</v>
      </c>
      <c r="D54" s="28">
        <v>192533609.30000001</v>
      </c>
      <c r="E54" s="28">
        <v>193256203.62</v>
      </c>
      <c r="F54" s="28">
        <v>193195039.69</v>
      </c>
      <c r="G54" s="28">
        <v>193160297.68000001</v>
      </c>
      <c r="H54" s="28">
        <v>195887109.08000001</v>
      </c>
      <c r="I54" s="28">
        <v>196564767.27000001</v>
      </c>
      <c r="J54" s="28">
        <v>198165374.91999999</v>
      </c>
      <c r="K54" s="28">
        <v>198786081.30000001</v>
      </c>
      <c r="L54" s="28">
        <v>199643776.99000001</v>
      </c>
      <c r="M54" s="28">
        <v>198950803.88999999</v>
      </c>
      <c r="N54" s="28">
        <v>200138191.53</v>
      </c>
      <c r="O54" s="28">
        <v>200645004.03</v>
      </c>
      <c r="P54" s="21">
        <f t="shared" si="17"/>
        <v>196353251.16541669</v>
      </c>
      <c r="Q54" s="21">
        <f t="shared" si="15"/>
        <v>196743854.94166672</v>
      </c>
      <c r="R54" s="9">
        <f>+Q54/P54-1</f>
        <v>1.9892911063692509E-3</v>
      </c>
      <c r="T54" s="21">
        <f t="shared" si="18"/>
        <v>196353251.16541669</v>
      </c>
      <c r="V54" s="21"/>
      <c r="X54" s="7"/>
      <c r="Y54" s="7"/>
      <c r="Z54" s="7"/>
      <c r="AA54" s="7"/>
      <c r="AB54" s="7"/>
    </row>
    <row r="55" spans="1:28" s="20" customFormat="1">
      <c r="A55" s="20">
        <f t="shared" si="13"/>
        <v>49</v>
      </c>
      <c r="B55" s="17" t="s">
        <v>117</v>
      </c>
      <c r="C55" s="28"/>
      <c r="D55" s="28"/>
      <c r="E55" s="28"/>
      <c r="F55" s="28"/>
      <c r="G55" s="28"/>
      <c r="H55" s="28"/>
      <c r="I55" s="28"/>
      <c r="J55" s="28"/>
      <c r="K55" s="28"/>
      <c r="L55" s="28"/>
      <c r="M55" s="28"/>
      <c r="N55" s="28"/>
      <c r="O55" s="28"/>
      <c r="P55" s="21">
        <f t="shared" si="17"/>
        <v>0</v>
      </c>
      <c r="Q55" s="21" t="e">
        <f t="shared" si="15"/>
        <v>#DIV/0!</v>
      </c>
      <c r="R55" s="9"/>
      <c r="T55" s="21">
        <f t="shared" si="18"/>
        <v>0</v>
      </c>
      <c r="X55" s="7"/>
      <c r="Y55" s="7"/>
      <c r="Z55" s="7"/>
      <c r="AA55" s="7"/>
      <c r="AB55" s="7"/>
    </row>
    <row r="56" spans="1:28" s="20" customFormat="1">
      <c r="A56" s="20">
        <f t="shared" si="13"/>
        <v>50</v>
      </c>
      <c r="B56" s="17" t="s">
        <v>116</v>
      </c>
      <c r="C56" s="28"/>
      <c r="D56" s="28"/>
      <c r="E56" s="28"/>
      <c r="F56" s="28"/>
      <c r="G56" s="28"/>
      <c r="H56" s="28"/>
      <c r="I56" s="28"/>
      <c r="J56" s="28"/>
      <c r="K56" s="28"/>
      <c r="L56" s="28"/>
      <c r="M56" s="28"/>
      <c r="N56" s="28"/>
      <c r="O56" s="28"/>
      <c r="P56" s="21">
        <f t="shared" si="17"/>
        <v>0</v>
      </c>
      <c r="Q56" s="21" t="e">
        <f t="shared" si="15"/>
        <v>#DIV/0!</v>
      </c>
      <c r="R56" s="9"/>
      <c r="T56" s="21">
        <f t="shared" si="18"/>
        <v>0</v>
      </c>
      <c r="X56" s="7"/>
      <c r="Y56" s="7"/>
      <c r="Z56" s="7"/>
      <c r="AA56" s="7"/>
      <c r="AB56" s="7"/>
    </row>
    <row r="57" spans="1:28" s="20" customFormat="1">
      <c r="A57" s="20">
        <f t="shared" si="13"/>
        <v>51</v>
      </c>
      <c r="B57" s="17" t="s">
        <v>115</v>
      </c>
      <c r="C57" s="28"/>
      <c r="D57" s="28"/>
      <c r="E57" s="28"/>
      <c r="F57" s="28"/>
      <c r="G57" s="28"/>
      <c r="H57" s="28"/>
      <c r="I57" s="28"/>
      <c r="J57" s="28"/>
      <c r="K57" s="28"/>
      <c r="L57" s="28"/>
      <c r="M57" s="28"/>
      <c r="N57" s="28"/>
      <c r="O57" s="28"/>
      <c r="P57" s="21">
        <f t="shared" si="17"/>
        <v>0</v>
      </c>
      <c r="Q57" s="21" t="e">
        <f t="shared" si="15"/>
        <v>#DIV/0!</v>
      </c>
      <c r="R57" s="9"/>
      <c r="T57" s="21">
        <f t="shared" si="18"/>
        <v>0</v>
      </c>
      <c r="X57" s="7"/>
      <c r="Y57" s="7"/>
      <c r="Z57" s="7"/>
      <c r="AA57" s="7"/>
      <c r="AB57" s="7"/>
    </row>
    <row r="58" spans="1:28" s="20" customFormat="1">
      <c r="A58" s="20">
        <f t="shared" si="13"/>
        <v>52</v>
      </c>
      <c r="B58" s="17" t="s">
        <v>114</v>
      </c>
      <c r="C58" s="28"/>
      <c r="D58" s="28"/>
      <c r="E58" s="28"/>
      <c r="F58" s="28"/>
      <c r="G58" s="28"/>
      <c r="H58" s="28"/>
      <c r="I58" s="28"/>
      <c r="J58" s="28"/>
      <c r="K58" s="28"/>
      <c r="L58" s="28"/>
      <c r="M58" s="28"/>
      <c r="N58" s="28"/>
      <c r="O58" s="28"/>
      <c r="P58" s="21">
        <f t="shared" si="17"/>
        <v>0</v>
      </c>
      <c r="Q58" s="21" t="e">
        <f t="shared" si="15"/>
        <v>#DIV/0!</v>
      </c>
      <c r="R58" s="9"/>
      <c r="T58" s="21">
        <f t="shared" si="18"/>
        <v>0</v>
      </c>
      <c r="X58" s="7"/>
      <c r="Y58" s="7"/>
      <c r="Z58" s="7"/>
      <c r="AA58" s="7"/>
      <c r="AB58" s="7"/>
    </row>
    <row r="59" spans="1:28" s="20" customFormat="1">
      <c r="A59" s="20">
        <f t="shared" si="13"/>
        <v>53</v>
      </c>
      <c r="B59" s="17" t="s">
        <v>113</v>
      </c>
      <c r="C59" s="28"/>
      <c r="D59" s="28"/>
      <c r="E59" s="28"/>
      <c r="F59" s="28"/>
      <c r="G59" s="28"/>
      <c r="H59" s="28"/>
      <c r="I59" s="28"/>
      <c r="J59" s="28"/>
      <c r="K59" s="28"/>
      <c r="L59" s="28"/>
      <c r="M59" s="28"/>
      <c r="N59" s="28"/>
      <c r="O59" s="28"/>
      <c r="P59" s="21">
        <f t="shared" si="17"/>
        <v>0</v>
      </c>
      <c r="Q59" s="21" t="e">
        <f t="shared" si="15"/>
        <v>#DIV/0!</v>
      </c>
      <c r="R59" s="9"/>
      <c r="T59" s="21">
        <f t="shared" si="18"/>
        <v>0</v>
      </c>
      <c r="X59" s="7"/>
      <c r="Y59" s="7"/>
      <c r="Z59" s="7"/>
      <c r="AA59" s="7"/>
      <c r="AB59" s="7"/>
    </row>
    <row r="60" spans="1:28" s="20" customFormat="1">
      <c r="A60" s="20">
        <f t="shared" si="13"/>
        <v>54</v>
      </c>
      <c r="B60" s="17" t="s">
        <v>112</v>
      </c>
      <c r="C60" s="28"/>
      <c r="D60" s="28"/>
      <c r="E60" s="28"/>
      <c r="F60" s="28"/>
      <c r="G60" s="28"/>
      <c r="H60" s="28"/>
      <c r="I60" s="28"/>
      <c r="J60" s="28"/>
      <c r="K60" s="28"/>
      <c r="L60" s="28"/>
      <c r="M60" s="28"/>
      <c r="N60" s="28"/>
      <c r="O60" s="28"/>
      <c r="P60" s="21">
        <f t="shared" si="17"/>
        <v>0</v>
      </c>
      <c r="Q60" s="21" t="e">
        <f t="shared" si="15"/>
        <v>#DIV/0!</v>
      </c>
      <c r="R60" s="9"/>
      <c r="T60" s="21">
        <f t="shared" si="18"/>
        <v>0</v>
      </c>
      <c r="X60" s="7"/>
      <c r="Y60" s="7"/>
      <c r="Z60" s="7"/>
      <c r="AA60" s="7"/>
      <c r="AB60" s="7"/>
    </row>
    <row r="61" spans="1:28" s="20" customFormat="1">
      <c r="A61" s="20">
        <f t="shared" si="13"/>
        <v>55</v>
      </c>
      <c r="B61" s="17" t="s">
        <v>111</v>
      </c>
      <c r="C61" s="28"/>
      <c r="D61" s="28"/>
      <c r="E61" s="28"/>
      <c r="F61" s="28"/>
      <c r="G61" s="28"/>
      <c r="H61" s="28"/>
      <c r="I61" s="28"/>
      <c r="J61" s="28"/>
      <c r="K61" s="28"/>
      <c r="L61" s="28"/>
      <c r="M61" s="28"/>
      <c r="N61" s="28"/>
      <c r="O61" s="28"/>
      <c r="P61" s="21">
        <f t="shared" si="17"/>
        <v>0</v>
      </c>
      <c r="Q61" s="21" t="e">
        <f t="shared" si="15"/>
        <v>#DIV/0!</v>
      </c>
      <c r="R61" s="9"/>
      <c r="T61" s="21">
        <f t="shared" si="18"/>
        <v>0</v>
      </c>
      <c r="X61" s="7"/>
      <c r="Y61" s="7"/>
      <c r="Z61" s="7"/>
      <c r="AA61" s="7"/>
      <c r="AB61" s="7"/>
    </row>
    <row r="62" spans="1:28" s="20" customFormat="1">
      <c r="A62" s="20">
        <f t="shared" si="13"/>
        <v>56</v>
      </c>
      <c r="B62" s="17" t="s">
        <v>110</v>
      </c>
      <c r="C62" s="28"/>
      <c r="D62" s="28"/>
      <c r="E62" s="28"/>
      <c r="F62" s="28"/>
      <c r="G62" s="28"/>
      <c r="H62" s="28"/>
      <c r="I62" s="28"/>
      <c r="J62" s="28"/>
      <c r="K62" s="28"/>
      <c r="L62" s="28"/>
      <c r="M62" s="28"/>
      <c r="N62" s="28"/>
      <c r="O62" s="28"/>
      <c r="P62" s="21">
        <f t="shared" si="17"/>
        <v>0</v>
      </c>
      <c r="Q62" s="21" t="e">
        <f t="shared" si="15"/>
        <v>#DIV/0!</v>
      </c>
      <c r="R62" s="9"/>
      <c r="T62" s="21">
        <f t="shared" si="18"/>
        <v>0</v>
      </c>
      <c r="X62" s="7"/>
      <c r="Y62" s="7"/>
      <c r="Z62" s="7"/>
      <c r="AA62" s="7"/>
      <c r="AB62" s="7"/>
    </row>
    <row r="63" spans="1:28" s="20" customFormat="1">
      <c r="A63" s="20">
        <f t="shared" si="13"/>
        <v>57</v>
      </c>
      <c r="B63" s="17" t="s">
        <v>109</v>
      </c>
      <c r="C63" s="28">
        <f>87921903.63-249129</f>
        <v>87672774.629999995</v>
      </c>
      <c r="D63" s="28">
        <f>59298455.16-220048</f>
        <v>59078407.159999996</v>
      </c>
      <c r="E63" s="28">
        <f>34609797.12-189047</f>
        <v>34420750.119999997</v>
      </c>
      <c r="F63" s="28">
        <f>39397352.91-162805</f>
        <v>39234547.909999996</v>
      </c>
      <c r="G63" s="28">
        <f>30305514.98-133766</f>
        <v>30171748.98</v>
      </c>
      <c r="H63" s="28">
        <f>42623205.56-101519</f>
        <v>42521686.560000002</v>
      </c>
      <c r="I63" s="28">
        <v>113503387.98999999</v>
      </c>
      <c r="J63" s="28">
        <v>84230593.150000006</v>
      </c>
      <c r="K63" s="28">
        <v>63891087.710000001</v>
      </c>
      <c r="L63" s="28">
        <v>125176629.81</v>
      </c>
      <c r="M63" s="28">
        <v>33824015.210000001</v>
      </c>
      <c r="N63" s="28">
        <v>28959637.969999999</v>
      </c>
      <c r="O63" s="28">
        <v>27465999.329999998</v>
      </c>
      <c r="P63" s="21">
        <f t="shared" si="17"/>
        <v>59381823.295833327</v>
      </c>
      <c r="Q63" s="21">
        <f t="shared" si="15"/>
        <v>56873207.658333339</v>
      </c>
      <c r="R63" s="9">
        <f>+Q63/P63-1</f>
        <v>-4.2245513833456316E-2</v>
      </c>
      <c r="T63" s="21">
        <f t="shared" si="18"/>
        <v>59381823.295833327</v>
      </c>
      <c r="X63" s="7"/>
      <c r="Y63" s="7"/>
      <c r="Z63" s="7"/>
      <c r="AA63" s="7"/>
      <c r="AB63" s="7"/>
    </row>
    <row r="64" spans="1:28" s="20" customFormat="1">
      <c r="A64" s="20">
        <f t="shared" si="13"/>
        <v>58</v>
      </c>
      <c r="B64" s="17" t="s">
        <v>108</v>
      </c>
      <c r="C64" s="28"/>
      <c r="D64" s="28"/>
      <c r="E64" s="28"/>
      <c r="F64" s="28"/>
      <c r="G64" s="28"/>
      <c r="H64" s="28"/>
      <c r="I64" s="28"/>
      <c r="J64" s="28"/>
      <c r="K64" s="28"/>
      <c r="L64" s="28"/>
      <c r="M64" s="28"/>
      <c r="N64" s="28"/>
      <c r="O64" s="28"/>
      <c r="P64" s="21">
        <f t="shared" si="17"/>
        <v>0</v>
      </c>
      <c r="Q64" s="21" t="e">
        <f t="shared" si="15"/>
        <v>#DIV/0!</v>
      </c>
      <c r="R64" s="9"/>
      <c r="T64" s="21">
        <f t="shared" si="18"/>
        <v>0</v>
      </c>
      <c r="X64" s="7"/>
      <c r="Y64" s="7"/>
      <c r="Z64" s="7"/>
      <c r="AA64" s="7"/>
      <c r="AB64" s="7"/>
    </row>
    <row r="65" spans="1:28" s="20" customFormat="1">
      <c r="A65" s="20">
        <f t="shared" si="13"/>
        <v>59</v>
      </c>
      <c r="B65" s="17" t="s">
        <v>107</v>
      </c>
      <c r="C65" s="28">
        <v>12559.41</v>
      </c>
      <c r="D65" s="28">
        <v>14321.84</v>
      </c>
      <c r="E65" s="28">
        <v>24953.23</v>
      </c>
      <c r="F65" s="28">
        <v>24421.53</v>
      </c>
      <c r="G65" s="28">
        <v>26169.599999999999</v>
      </c>
      <c r="H65" s="28">
        <v>27787.09</v>
      </c>
      <c r="I65" s="28">
        <v>26886.799999999999</v>
      </c>
      <c r="J65" s="28">
        <v>16660.55</v>
      </c>
      <c r="K65" s="28">
        <v>18496</v>
      </c>
      <c r="L65" s="28">
        <v>19132.57</v>
      </c>
      <c r="M65" s="28">
        <v>-173483.88</v>
      </c>
      <c r="N65" s="28">
        <v>-164301.82999999999</v>
      </c>
      <c r="O65" s="28">
        <v>12909.74</v>
      </c>
      <c r="P65" s="21">
        <f t="shared" si="17"/>
        <v>-10518.493750000001</v>
      </c>
      <c r="Q65" s="21">
        <f t="shared" si="15"/>
        <v>-10503.896666666666</v>
      </c>
      <c r="R65" s="9">
        <f t="shared" ref="R65:R71" si="19">+Q65/P65-1</f>
        <v>-1.3877541481008837E-3</v>
      </c>
      <c r="T65" s="21">
        <f t="shared" si="18"/>
        <v>-10518.493750000001</v>
      </c>
      <c r="X65" s="7"/>
      <c r="Y65" s="7"/>
      <c r="Z65" s="7"/>
      <c r="AA65" s="7"/>
      <c r="AB65" s="7"/>
    </row>
    <row r="66" spans="1:28" s="20" customFormat="1">
      <c r="A66" s="20">
        <f t="shared" si="13"/>
        <v>60</v>
      </c>
      <c r="B66" s="17" t="s">
        <v>106</v>
      </c>
      <c r="C66" s="28">
        <v>1722621.89</v>
      </c>
      <c r="D66" s="28">
        <v>6060244.2599999998</v>
      </c>
      <c r="E66" s="28">
        <v>5235372.54</v>
      </c>
      <c r="F66" s="28">
        <v>1937962.18</v>
      </c>
      <c r="G66" s="28">
        <v>4163049.42</v>
      </c>
      <c r="H66" s="28">
        <v>2526726.4500000002</v>
      </c>
      <c r="I66" s="28">
        <v>2237540.79</v>
      </c>
      <c r="J66" s="28">
        <v>2428841</v>
      </c>
      <c r="K66" s="28">
        <v>2273451.9</v>
      </c>
      <c r="L66" s="28">
        <v>1981371.63</v>
      </c>
      <c r="M66" s="28">
        <v>2574624.5</v>
      </c>
      <c r="N66" s="28">
        <v>2487207.39</v>
      </c>
      <c r="O66" s="28">
        <v>1794821.98</v>
      </c>
      <c r="P66" s="21">
        <f t="shared" si="17"/>
        <v>2972092.8329166663</v>
      </c>
      <c r="Q66" s="21">
        <f t="shared" si="15"/>
        <v>2975101.1699999995</v>
      </c>
      <c r="R66" s="9">
        <f t="shared" si="19"/>
        <v>1.0121948581198748E-3</v>
      </c>
      <c r="T66" s="21">
        <f t="shared" si="18"/>
        <v>2972092.8329166663</v>
      </c>
      <c r="X66" s="7"/>
      <c r="Y66" s="7"/>
      <c r="Z66" s="7"/>
      <c r="AA66" s="7"/>
      <c r="AB66" s="7"/>
    </row>
    <row r="67" spans="1:28" s="20" customFormat="1">
      <c r="A67" s="20">
        <f t="shared" si="13"/>
        <v>61</v>
      </c>
      <c r="B67" s="17" t="s">
        <v>105</v>
      </c>
      <c r="C67" s="28">
        <v>214855971.06</v>
      </c>
      <c r="D67" s="28">
        <v>244604417.74000001</v>
      </c>
      <c r="E67" s="28">
        <v>251369995.72999999</v>
      </c>
      <c r="F67" s="28">
        <v>223160800</v>
      </c>
      <c r="G67" s="28">
        <v>233798100</v>
      </c>
      <c r="H67" s="28">
        <v>235272000</v>
      </c>
      <c r="I67" s="28">
        <v>236917500</v>
      </c>
      <c r="J67" s="28">
        <v>220973400</v>
      </c>
      <c r="K67" s="28">
        <v>211113100</v>
      </c>
      <c r="L67" s="28">
        <v>209913700</v>
      </c>
      <c r="M67" s="28">
        <v>202715100</v>
      </c>
      <c r="N67" s="28">
        <v>230254600</v>
      </c>
      <c r="O67" s="28">
        <v>258866700</v>
      </c>
      <c r="P67" s="21">
        <f t="shared" si="17"/>
        <v>228079504.08333337</v>
      </c>
      <c r="Q67" s="21">
        <f t="shared" si="15"/>
        <v>229913284.45583335</v>
      </c>
      <c r="R67" s="9">
        <f t="shared" si="19"/>
        <v>8.0400927732198202E-3</v>
      </c>
      <c r="T67" s="21">
        <f t="shared" si="18"/>
        <v>228079504.08333337</v>
      </c>
      <c r="X67" s="7"/>
      <c r="Y67" s="7"/>
      <c r="Z67" s="7"/>
      <c r="AA67" s="7"/>
      <c r="AB67" s="7"/>
    </row>
    <row r="68" spans="1:28" s="20" customFormat="1">
      <c r="A68" s="20">
        <f t="shared" si="13"/>
        <v>62</v>
      </c>
      <c r="B68" s="17" t="s">
        <v>104</v>
      </c>
      <c r="C68" s="28"/>
      <c r="D68" s="28"/>
      <c r="E68" s="28"/>
      <c r="F68" s="28"/>
      <c r="G68" s="28"/>
      <c r="H68" s="28"/>
      <c r="I68" s="28">
        <v>2574464</v>
      </c>
      <c r="J68" s="28">
        <v>2757414</v>
      </c>
      <c r="K68" s="28">
        <v>2558291</v>
      </c>
      <c r="L68" s="28">
        <v>2334726</v>
      </c>
      <c r="M68" s="28">
        <v>1977025</v>
      </c>
      <c r="N68" s="28">
        <v>1935890</v>
      </c>
      <c r="O68" s="28">
        <v>1743859</v>
      </c>
      <c r="P68" s="21">
        <f t="shared" si="17"/>
        <v>1250811.625</v>
      </c>
      <c r="Q68" s="21">
        <f t="shared" si="15"/>
        <v>2268809.8571428573</v>
      </c>
      <c r="R68" s="9">
        <f t="shared" si="19"/>
        <v>0.81387013983249257</v>
      </c>
      <c r="T68" s="21">
        <f t="shared" si="18"/>
        <v>1250811.625</v>
      </c>
      <c r="X68" s="7"/>
      <c r="Y68" s="7"/>
      <c r="Z68" s="7"/>
      <c r="AA68" s="7"/>
      <c r="AB68" s="7"/>
    </row>
    <row r="69" spans="1:28" s="20" customFormat="1">
      <c r="A69" s="20">
        <f t="shared" si="13"/>
        <v>63</v>
      </c>
      <c r="B69" s="17" t="s">
        <v>103</v>
      </c>
      <c r="C69" s="28">
        <v>52111171.880000003</v>
      </c>
      <c r="D69" s="28">
        <v>45411149.880000003</v>
      </c>
      <c r="E69" s="28">
        <v>37750575.880000003</v>
      </c>
      <c r="F69" s="28">
        <v>38177416</v>
      </c>
      <c r="G69" s="28">
        <v>35737478</v>
      </c>
      <c r="H69" s="28">
        <v>27422573</v>
      </c>
      <c r="I69" s="28">
        <v>15812193</v>
      </c>
      <c r="J69" s="28">
        <v>18436824</v>
      </c>
      <c r="K69" s="28">
        <v>21259908.309999999</v>
      </c>
      <c r="L69" s="28">
        <v>19653080.600000001</v>
      </c>
      <c r="M69" s="28">
        <v>18819517.260000002</v>
      </c>
      <c r="N69" s="28">
        <v>13113864.380000001</v>
      </c>
      <c r="O69" s="28">
        <v>12486971.060000001</v>
      </c>
      <c r="P69" s="21">
        <f t="shared" si="17"/>
        <v>26991137.64833333</v>
      </c>
      <c r="Q69" s="21">
        <f t="shared" si="15"/>
        <v>25340129.280833334</v>
      </c>
      <c r="R69" s="9">
        <f t="shared" si="19"/>
        <v>-6.1168535724982487E-2</v>
      </c>
      <c r="T69" s="21">
        <f t="shared" si="18"/>
        <v>26991137.64833333</v>
      </c>
      <c r="U69" s="280"/>
      <c r="W69" s="21"/>
      <c r="X69" s="7"/>
      <c r="Y69" s="7"/>
      <c r="Z69" s="7"/>
      <c r="AA69" s="7"/>
      <c r="AB69" s="7"/>
    </row>
    <row r="70" spans="1:28" s="20" customFormat="1">
      <c r="A70" s="20">
        <f t="shared" si="13"/>
        <v>64</v>
      </c>
      <c r="B70" s="17" t="s">
        <v>102</v>
      </c>
      <c r="C70" s="28">
        <v>5904320.1699999999</v>
      </c>
      <c r="D70" s="28">
        <v>5347478.17</v>
      </c>
      <c r="E70" s="28">
        <v>5702291.1699999999</v>
      </c>
      <c r="F70" s="28">
        <v>6297562</v>
      </c>
      <c r="G70" s="28">
        <v>6123786</v>
      </c>
      <c r="H70" s="28">
        <v>5637366</v>
      </c>
      <c r="I70" s="28">
        <v>4472312</v>
      </c>
      <c r="J70" s="28">
        <v>3800307</v>
      </c>
      <c r="K70" s="28">
        <v>2747187.72</v>
      </c>
      <c r="L70" s="28">
        <v>1068525.1100000001</v>
      </c>
      <c r="M70" s="28">
        <v>1057610.7</v>
      </c>
      <c r="N70" s="28">
        <v>953643.83</v>
      </c>
      <c r="O70" s="28">
        <v>843218.75</v>
      </c>
      <c r="P70" s="21">
        <f>-(C70+2*SUM(D70:N70)+O70)/24</f>
        <v>-3881819.93</v>
      </c>
      <c r="Q70" s="21">
        <f t="shared" si="15"/>
        <v>3670940.7041666671</v>
      </c>
      <c r="R70" s="9">
        <f t="shared" si="19"/>
        <v>-1.9456751653512858</v>
      </c>
      <c r="T70" s="21">
        <f t="shared" si="18"/>
        <v>-3881819.93</v>
      </c>
      <c r="W70" s="21"/>
      <c r="X70" s="7"/>
      <c r="Y70" s="7"/>
      <c r="Z70" s="7"/>
      <c r="AA70" s="7"/>
      <c r="AB70" s="7"/>
    </row>
    <row r="71" spans="1:28" s="20" customFormat="1">
      <c r="A71" s="20">
        <f t="shared" si="13"/>
        <v>65</v>
      </c>
      <c r="B71" s="17" t="s">
        <v>101</v>
      </c>
      <c r="C71" s="28"/>
      <c r="D71" s="28"/>
      <c r="E71" s="28"/>
      <c r="F71" s="28"/>
      <c r="G71" s="28"/>
      <c r="H71" s="28"/>
      <c r="I71" s="28"/>
      <c r="J71" s="28"/>
      <c r="K71" s="28"/>
      <c r="L71" s="28"/>
      <c r="M71" s="28"/>
      <c r="N71" s="28"/>
      <c r="O71" s="28"/>
      <c r="P71" s="21">
        <f>(C71+2*SUM(D71:N71)+O71)/24</f>
        <v>0</v>
      </c>
      <c r="Q71" s="21" t="e">
        <f t="shared" si="15"/>
        <v>#DIV/0!</v>
      </c>
      <c r="R71" s="9" t="e">
        <f t="shared" si="19"/>
        <v>#DIV/0!</v>
      </c>
      <c r="T71" s="21">
        <f t="shared" si="18"/>
        <v>0</v>
      </c>
      <c r="W71" s="21"/>
      <c r="X71" s="7"/>
      <c r="Y71" s="7"/>
      <c r="Z71" s="7"/>
      <c r="AA71" s="7"/>
      <c r="AB71" s="7"/>
    </row>
    <row r="72" spans="1:28" s="20" customFormat="1">
      <c r="A72" s="20">
        <f t="shared" ref="A72:A103" si="20">+A71+1</f>
        <v>66</v>
      </c>
      <c r="B72" s="17" t="s">
        <v>100</v>
      </c>
      <c r="C72" s="28"/>
      <c r="D72" s="28"/>
      <c r="E72" s="28"/>
      <c r="F72" s="28"/>
      <c r="G72" s="28"/>
      <c r="H72" s="28"/>
      <c r="I72" s="28"/>
      <c r="J72" s="28"/>
      <c r="K72" s="28"/>
      <c r="L72" s="28"/>
      <c r="M72" s="28"/>
      <c r="N72" s="28"/>
      <c r="O72" s="28"/>
      <c r="P72" s="21">
        <f>(C72+2*SUM(D72:N72)+O72)/24</f>
        <v>0</v>
      </c>
      <c r="Q72" s="21" t="e">
        <f t="shared" si="15"/>
        <v>#DIV/0!</v>
      </c>
      <c r="R72" s="9"/>
      <c r="T72" s="21">
        <f t="shared" si="18"/>
        <v>0</v>
      </c>
      <c r="X72" s="7"/>
      <c r="Y72" s="7"/>
      <c r="Z72" s="7"/>
      <c r="AA72" s="7"/>
      <c r="AB72" s="7"/>
    </row>
    <row r="73" spans="1:28" s="20" customFormat="1">
      <c r="A73" s="20">
        <f t="shared" si="20"/>
        <v>67</v>
      </c>
      <c r="B73" s="17" t="s">
        <v>99</v>
      </c>
      <c r="C73" s="28">
        <f t="shared" ref="C73:O73" si="21">SUM(C41:C47,C49:C58,C60:C69,C71)-SUM(C48,C59,C70,C72)</f>
        <v>1242476570.05</v>
      </c>
      <c r="D73" s="28">
        <f t="shared" si="21"/>
        <v>1212186052.4400001</v>
      </c>
      <c r="E73" s="28">
        <f t="shared" si="21"/>
        <v>1191414452.5500002</v>
      </c>
      <c r="F73" s="28">
        <f t="shared" si="21"/>
        <v>1264120897.23</v>
      </c>
      <c r="G73" s="28">
        <f t="shared" si="21"/>
        <v>1219490809.8199999</v>
      </c>
      <c r="H73" s="28">
        <f t="shared" si="21"/>
        <v>1155050759.8900001</v>
      </c>
      <c r="I73" s="28">
        <f t="shared" si="21"/>
        <v>1268581646.0999999</v>
      </c>
      <c r="J73" s="28">
        <f t="shared" si="21"/>
        <v>1228770459.9699998</v>
      </c>
      <c r="K73" s="28">
        <f t="shared" si="21"/>
        <v>1181106794.2199998</v>
      </c>
      <c r="L73" s="28">
        <f t="shared" si="21"/>
        <v>1222089702.6800001</v>
      </c>
      <c r="M73" s="28">
        <f t="shared" si="21"/>
        <v>1103753135.28</v>
      </c>
      <c r="N73" s="28">
        <f t="shared" si="21"/>
        <v>1114147361.79</v>
      </c>
      <c r="O73" s="28">
        <f t="shared" si="21"/>
        <v>1240006124.6799998</v>
      </c>
      <c r="P73" s="41">
        <f>SUBTOTAL(9,P41:P72)</f>
        <v>1200162784.9445834</v>
      </c>
      <c r="Q73" s="21">
        <f t="shared" si="15"/>
        <v>1200059849.7208335</v>
      </c>
      <c r="R73" s="9">
        <f>+Q73/P73-1</f>
        <v>-8.5767718380536095E-5</v>
      </c>
      <c r="T73" s="41">
        <f>SUBTOTAL(9,T41:T72)</f>
        <v>1156240462.3087502</v>
      </c>
      <c r="V73" s="41">
        <f>SUBTOTAL(9,V41:V72)</f>
        <v>43922322.635833338</v>
      </c>
      <c r="X73" s="41">
        <f>SUBTOTAL(9,X41:X72)</f>
        <v>0</v>
      </c>
      <c r="Y73" s="41">
        <f>SUBTOTAL(9,Y41:Y72)</f>
        <v>0</v>
      </c>
      <c r="Z73" s="41">
        <f>SUBTOTAL(9,Z41:Z72)</f>
        <v>43922322.635833338</v>
      </c>
      <c r="AA73" s="7"/>
      <c r="AB73" s="7"/>
    </row>
    <row r="74" spans="1:28" s="20" customFormat="1">
      <c r="A74" s="20">
        <f t="shared" si="20"/>
        <v>68</v>
      </c>
      <c r="B74" s="17"/>
      <c r="C74" s="32"/>
      <c r="D74" s="32"/>
      <c r="E74" s="32"/>
      <c r="F74" s="32"/>
      <c r="G74" s="32"/>
      <c r="H74" s="32"/>
      <c r="I74" s="32"/>
      <c r="J74" s="32"/>
      <c r="K74" s="32"/>
      <c r="L74" s="32"/>
      <c r="M74" s="32"/>
      <c r="N74" s="32"/>
      <c r="O74" s="32"/>
      <c r="P74" s="40"/>
      <c r="Q74" s="21"/>
      <c r="R74" s="9"/>
      <c r="T74" s="40"/>
      <c r="V74" s="40"/>
      <c r="X74" s="40"/>
      <c r="Y74" s="40"/>
      <c r="Z74" s="40"/>
      <c r="AA74" s="7"/>
      <c r="AB74" s="7"/>
    </row>
    <row r="75" spans="1:28" s="20" customFormat="1">
      <c r="A75" s="20">
        <f t="shared" si="20"/>
        <v>69</v>
      </c>
      <c r="B75" s="17" t="s">
        <v>98</v>
      </c>
      <c r="C75" s="47"/>
      <c r="D75" s="47"/>
      <c r="E75" s="47"/>
      <c r="F75" s="47"/>
      <c r="G75" s="47"/>
      <c r="H75" s="47"/>
      <c r="I75" s="47"/>
      <c r="J75" s="47"/>
      <c r="K75" s="47"/>
      <c r="L75" s="47"/>
      <c r="M75" s="47"/>
      <c r="N75" s="47"/>
      <c r="O75" s="47"/>
      <c r="P75" s="21"/>
      <c r="Q75" s="21"/>
      <c r="R75" s="9"/>
      <c r="X75" s="7"/>
      <c r="Y75" s="7"/>
      <c r="Z75" s="7"/>
      <c r="AA75" s="7"/>
      <c r="AB75" s="7"/>
    </row>
    <row r="76" spans="1:28" s="20" customFormat="1">
      <c r="A76" s="20">
        <f t="shared" si="20"/>
        <v>70</v>
      </c>
      <c r="B76" s="17" t="s">
        <v>97</v>
      </c>
      <c r="C76" s="28">
        <v>34637123.829999998</v>
      </c>
      <c r="D76" s="28">
        <v>34541541.789999999</v>
      </c>
      <c r="E76" s="28">
        <v>34415758.329999998</v>
      </c>
      <c r="F76" s="28">
        <v>34181877.619999997</v>
      </c>
      <c r="G76" s="28">
        <v>33935949.840000004</v>
      </c>
      <c r="H76" s="28">
        <v>33690021.890000001</v>
      </c>
      <c r="I76" s="28">
        <v>33449340.809999999</v>
      </c>
      <c r="J76" s="28">
        <v>37726980.609999999</v>
      </c>
      <c r="K76" s="28">
        <v>37717993.310000002</v>
      </c>
      <c r="L76" s="28">
        <v>36290380.920000002</v>
      </c>
      <c r="M76" s="28">
        <v>36286705.590000004</v>
      </c>
      <c r="N76" s="28">
        <v>36391742.439999998</v>
      </c>
      <c r="O76" s="28">
        <v>36154416.020000003</v>
      </c>
      <c r="P76" s="21">
        <f t="shared" ref="P76:P90" si="22">(C76+2*SUM(D76:N76)+O76)/24</f>
        <v>35335338.589583337</v>
      </c>
      <c r="Q76" s="21">
        <f t="shared" ref="Q76:Q91" si="23">AVERAGE(D76:O76)</f>
        <v>35398559.097500004</v>
      </c>
      <c r="R76" s="9">
        <f>+Q76/P76-1</f>
        <v>1.7891581187594596E-3</v>
      </c>
      <c r="V76" s="21"/>
      <c r="W76" s="21">
        <f>-P76</f>
        <v>-35335338.589583337</v>
      </c>
      <c r="X76" s="7"/>
      <c r="Y76" s="7"/>
      <c r="Z76" s="7"/>
      <c r="AA76" s="7"/>
      <c r="AB76" s="7"/>
    </row>
    <row r="77" spans="1:28" s="20" customFormat="1">
      <c r="A77" s="20">
        <f t="shared" si="20"/>
        <v>71</v>
      </c>
      <c r="B77" s="17" t="s">
        <v>96</v>
      </c>
      <c r="C77" s="28"/>
      <c r="D77" s="28"/>
      <c r="E77" s="28"/>
      <c r="F77" s="28"/>
      <c r="G77" s="28"/>
      <c r="H77" s="28"/>
      <c r="I77" s="28"/>
      <c r="J77" s="28"/>
      <c r="K77" s="28"/>
      <c r="L77" s="28"/>
      <c r="M77" s="28"/>
      <c r="N77" s="28"/>
      <c r="O77" s="28"/>
      <c r="P77" s="21">
        <f t="shared" si="22"/>
        <v>0</v>
      </c>
      <c r="Q77" s="21" t="e">
        <f t="shared" si="23"/>
        <v>#DIV/0!</v>
      </c>
      <c r="R77" s="9"/>
      <c r="V77" s="21">
        <f t="shared" ref="V77:V87" si="24">+P77</f>
        <v>0</v>
      </c>
      <c r="X77" s="7"/>
      <c r="Y77" s="7"/>
      <c r="Z77" s="7"/>
      <c r="AA77" s="7"/>
      <c r="AB77" s="7"/>
    </row>
    <row r="78" spans="1:28" s="20" customFormat="1">
      <c r="A78" s="20">
        <f t="shared" si="20"/>
        <v>72</v>
      </c>
      <c r="B78" s="17" t="s">
        <v>95</v>
      </c>
      <c r="C78" s="28"/>
      <c r="D78" s="28"/>
      <c r="E78" s="28"/>
      <c r="F78" s="28"/>
      <c r="G78" s="28"/>
      <c r="H78" s="28"/>
      <c r="I78" s="28"/>
      <c r="J78" s="28"/>
      <c r="K78" s="28"/>
      <c r="L78" s="28"/>
      <c r="M78" s="28"/>
      <c r="N78" s="28"/>
      <c r="O78" s="28"/>
      <c r="P78" s="21">
        <f t="shared" si="22"/>
        <v>0</v>
      </c>
      <c r="Q78" s="21" t="e">
        <f t="shared" si="23"/>
        <v>#DIV/0!</v>
      </c>
      <c r="R78" s="9" t="e">
        <f>+Q78/P78-1</f>
        <v>#DIV/0!</v>
      </c>
      <c r="V78" s="21">
        <f t="shared" si="24"/>
        <v>0</v>
      </c>
      <c r="X78" s="7">
        <f>+[4]Report!$K$2626</f>
        <v>0</v>
      </c>
      <c r="Y78" s="7">
        <f>+[4]Report!$J$2626</f>
        <v>0</v>
      </c>
      <c r="Z78" s="7">
        <f>+P78-X78-Y78</f>
        <v>0</v>
      </c>
      <c r="AA78" s="7">
        <f>+Z78+X78+Y78</f>
        <v>0</v>
      </c>
      <c r="AB78" s="7"/>
    </row>
    <row r="79" spans="1:28" s="20" customFormat="1">
      <c r="A79" s="20">
        <f t="shared" si="20"/>
        <v>73</v>
      </c>
      <c r="B79" s="17" t="s">
        <v>94</v>
      </c>
      <c r="C79" s="28">
        <v>1734854643.03</v>
      </c>
      <c r="D79" s="28">
        <v>1792493711.3599999</v>
      </c>
      <c r="E79" s="28">
        <v>1761310118.45</v>
      </c>
      <c r="F79" s="28">
        <v>1750711757.6600001</v>
      </c>
      <c r="G79" s="28">
        <v>1722826104.52</v>
      </c>
      <c r="H79" s="28">
        <v>1736666394.3800001</v>
      </c>
      <c r="I79" s="28">
        <v>1874535670.9200001</v>
      </c>
      <c r="J79" s="28">
        <v>1894207267.27</v>
      </c>
      <c r="K79" s="28">
        <v>1867152369.53</v>
      </c>
      <c r="L79" s="28">
        <v>1896130240.8599999</v>
      </c>
      <c r="M79" s="28">
        <v>1877281334.51</v>
      </c>
      <c r="N79" s="28">
        <v>1846018075.21</v>
      </c>
      <c r="O79" s="28">
        <v>1819877305.8199999</v>
      </c>
      <c r="P79" s="21">
        <f t="shared" si="22"/>
        <v>1816391584.9245832</v>
      </c>
      <c r="Q79" s="21">
        <f t="shared" si="23"/>
        <v>1819934195.8741665</v>
      </c>
      <c r="R79" s="9">
        <f>+Q79/P79-1</f>
        <v>1.9503563983591654E-3</v>
      </c>
      <c r="V79" s="21">
        <f t="shared" si="24"/>
        <v>1816391584.9245832</v>
      </c>
      <c r="X79" s="7">
        <f>+[4]Report!$K$2463+[4]Report!$K$2567</f>
        <v>13830508.039840424</v>
      </c>
      <c r="Y79" s="7">
        <f>+[4]Report!$J$2463+[4]Report!$J$2567</f>
        <v>168336505.04307589</v>
      </c>
      <c r="Z79" s="7">
        <f>+P79-X79-Y79</f>
        <v>1634224571.8416669</v>
      </c>
      <c r="AA79" s="7">
        <f>+Z79+X79+Y79</f>
        <v>1816391584.9245832</v>
      </c>
      <c r="AB79" s="7"/>
    </row>
    <row r="80" spans="1:28" s="20" customFormat="1">
      <c r="A80" s="20">
        <f t="shared" si="20"/>
        <v>74</v>
      </c>
      <c r="B80" s="17" t="s">
        <v>93</v>
      </c>
      <c r="C80" s="28">
        <v>3037151.89</v>
      </c>
      <c r="D80" s="28">
        <v>2983030.97</v>
      </c>
      <c r="E80" s="28">
        <v>3349423.32</v>
      </c>
      <c r="F80" s="28">
        <v>3024702.33</v>
      </c>
      <c r="G80" s="28">
        <v>3019844.81</v>
      </c>
      <c r="H80" s="28">
        <v>3056444.79</v>
      </c>
      <c r="I80" s="28">
        <v>3115356.43</v>
      </c>
      <c r="J80" s="28">
        <v>3156779.52</v>
      </c>
      <c r="K80" s="28">
        <v>3240548.66</v>
      </c>
      <c r="L80" s="28">
        <v>3431846.32</v>
      </c>
      <c r="M80" s="28">
        <v>4068428.84</v>
      </c>
      <c r="N80" s="28">
        <v>4074045.74</v>
      </c>
      <c r="O80" s="28">
        <v>4987809.3099999996</v>
      </c>
      <c r="P80" s="21">
        <f t="shared" si="22"/>
        <v>3377744.3608333338</v>
      </c>
      <c r="Q80" s="21">
        <f t="shared" si="23"/>
        <v>3459021.7533333339</v>
      </c>
      <c r="R80" s="9">
        <f>+Q80/P80-1</f>
        <v>2.4062623993234222E-2</v>
      </c>
      <c r="V80" s="21">
        <f t="shared" si="24"/>
        <v>3377744.3608333338</v>
      </c>
      <c r="X80" s="7">
        <v>0</v>
      </c>
      <c r="Y80" s="7">
        <v>0</v>
      </c>
      <c r="Z80" s="7">
        <f>+V80</f>
        <v>3377744.3608333338</v>
      </c>
      <c r="AA80" s="7">
        <f>+Z80+X80+Y80</f>
        <v>3377744.3608333338</v>
      </c>
      <c r="AB80" s="7"/>
    </row>
    <row r="81" spans="1:28" s="20" customFormat="1">
      <c r="A81" s="20">
        <f t="shared" si="20"/>
        <v>75</v>
      </c>
      <c r="B81" s="17" t="s">
        <v>92</v>
      </c>
      <c r="C81" s="28"/>
      <c r="D81" s="28"/>
      <c r="E81" s="28"/>
      <c r="F81" s="28"/>
      <c r="G81" s="28"/>
      <c r="H81" s="28"/>
      <c r="I81" s="28"/>
      <c r="J81" s="28"/>
      <c r="K81" s="28"/>
      <c r="L81" s="28"/>
      <c r="M81" s="28"/>
      <c r="N81" s="28"/>
      <c r="O81" s="28"/>
      <c r="P81" s="21">
        <f t="shared" si="22"/>
        <v>0</v>
      </c>
      <c r="Q81" s="21" t="e">
        <f t="shared" si="23"/>
        <v>#DIV/0!</v>
      </c>
      <c r="R81" s="9"/>
      <c r="V81" s="21">
        <f t="shared" si="24"/>
        <v>0</v>
      </c>
      <c r="X81" s="7"/>
      <c r="Y81" s="7"/>
      <c r="Z81" s="7"/>
      <c r="AA81" s="7"/>
      <c r="AB81" s="7"/>
    </row>
    <row r="82" spans="1:28" s="20" customFormat="1">
      <c r="A82" s="20">
        <f t="shared" si="20"/>
        <v>76</v>
      </c>
      <c r="B82" s="17" t="s">
        <v>91</v>
      </c>
      <c r="C82" s="28"/>
      <c r="D82" s="28"/>
      <c r="E82" s="28"/>
      <c r="F82" s="28"/>
      <c r="G82" s="28"/>
      <c r="H82" s="28"/>
      <c r="I82" s="28"/>
      <c r="J82" s="28"/>
      <c r="K82" s="28"/>
      <c r="L82" s="28"/>
      <c r="M82" s="28"/>
      <c r="N82" s="28"/>
      <c r="O82" s="28"/>
      <c r="P82" s="21">
        <f t="shared" si="22"/>
        <v>0</v>
      </c>
      <c r="Q82" s="21" t="e">
        <f t="shared" si="23"/>
        <v>#DIV/0!</v>
      </c>
      <c r="R82" s="9"/>
      <c r="V82" s="21">
        <f t="shared" si="24"/>
        <v>0</v>
      </c>
      <c r="X82" s="7"/>
      <c r="Y82" s="7"/>
      <c r="Z82" s="7"/>
      <c r="AA82" s="7"/>
      <c r="AB82" s="7"/>
    </row>
    <row r="83" spans="1:28" s="20" customFormat="1">
      <c r="A83" s="20">
        <f t="shared" si="20"/>
        <v>77</v>
      </c>
      <c r="B83" s="17" t="s">
        <v>90</v>
      </c>
      <c r="C83" s="28">
        <v>-214512.86</v>
      </c>
      <c r="D83" s="28">
        <v>128507.14</v>
      </c>
      <c r="E83" s="28">
        <v>-167498.88</v>
      </c>
      <c r="F83" s="28">
        <v>-167077.38</v>
      </c>
      <c r="G83" s="28">
        <v>-163096.39000000001</v>
      </c>
      <c r="H83" s="28">
        <v>340274.45</v>
      </c>
      <c r="I83" s="28"/>
      <c r="J83" s="28">
        <v>-48232.54</v>
      </c>
      <c r="K83" s="28">
        <v>-95146.81</v>
      </c>
      <c r="L83" s="28">
        <v>-173339.33</v>
      </c>
      <c r="M83" s="28">
        <v>-183723.69</v>
      </c>
      <c r="N83" s="28">
        <v>-176411.57</v>
      </c>
      <c r="O83" s="28">
        <v>-115896.56</v>
      </c>
      <c r="P83" s="21">
        <f t="shared" si="22"/>
        <v>-72579.142500000002</v>
      </c>
      <c r="Q83" s="21">
        <f t="shared" si="23"/>
        <v>-74694.687272727271</v>
      </c>
      <c r="R83" s="9"/>
      <c r="V83" s="21">
        <f t="shared" si="24"/>
        <v>-72579.142500000002</v>
      </c>
      <c r="X83" s="7"/>
      <c r="Y83" s="7"/>
      <c r="Z83" s="7">
        <f>+V83</f>
        <v>-72579.142500000002</v>
      </c>
      <c r="AA83" s="7">
        <f>+Z83+X83+Y83</f>
        <v>-72579.142500000002</v>
      </c>
      <c r="AB83" s="7"/>
    </row>
    <row r="84" spans="1:28" s="20" customFormat="1">
      <c r="A84" s="20">
        <f t="shared" si="20"/>
        <v>78</v>
      </c>
      <c r="B84" s="17" t="s">
        <v>89</v>
      </c>
      <c r="C84" s="28">
        <v>89719.83</v>
      </c>
      <c r="D84" s="28">
        <v>90509.05</v>
      </c>
      <c r="E84" s="28">
        <v>101892.9</v>
      </c>
      <c r="F84" s="28">
        <v>110494.66</v>
      </c>
      <c r="G84" s="28">
        <v>81932.39</v>
      </c>
      <c r="H84" s="28">
        <v>52246.99</v>
      </c>
      <c r="I84" s="28">
        <v>66905.259999999995</v>
      </c>
      <c r="J84" s="28">
        <v>81157.94</v>
      </c>
      <c r="K84" s="28">
        <v>45669.84</v>
      </c>
      <c r="L84" s="28">
        <v>40431.64</v>
      </c>
      <c r="M84" s="28">
        <v>37356.480000000003</v>
      </c>
      <c r="N84" s="28">
        <v>18822.490000000002</v>
      </c>
      <c r="O84" s="28">
        <v>56151.65</v>
      </c>
      <c r="P84" s="21">
        <f t="shared" si="22"/>
        <v>66696.281666666662</v>
      </c>
      <c r="Q84" s="21">
        <f t="shared" si="23"/>
        <v>65297.607499999991</v>
      </c>
      <c r="R84" s="9">
        <f>+Q84/P84-1</f>
        <v>-2.0970796747814768E-2</v>
      </c>
      <c r="V84" s="21">
        <f t="shared" si="24"/>
        <v>66696.281666666662</v>
      </c>
      <c r="X84" s="7">
        <v>0</v>
      </c>
      <c r="Y84" s="7">
        <v>0</v>
      </c>
      <c r="Z84" s="7">
        <f>+V84</f>
        <v>66696.281666666662</v>
      </c>
      <c r="AA84" s="7">
        <f>+Z84+X84+Y84</f>
        <v>66696.281666666662</v>
      </c>
      <c r="AB84" s="7"/>
    </row>
    <row r="85" spans="1:28" s="20" customFormat="1">
      <c r="A85" s="20">
        <f t="shared" si="20"/>
        <v>79</v>
      </c>
      <c r="B85" s="17" t="s">
        <v>88</v>
      </c>
      <c r="C85" s="28">
        <f>77886299.32-70296</f>
        <v>77816003.319999993</v>
      </c>
      <c r="D85" s="28">
        <f>78489308.8-21032</f>
        <v>78468276.799999997</v>
      </c>
      <c r="E85" s="28">
        <f>79723472.36-10334</f>
        <v>79713138.359999999</v>
      </c>
      <c r="F85" s="28">
        <f>86094472.84-58984</f>
        <v>86035488.840000004</v>
      </c>
      <c r="G85" s="28">
        <f>86509758.32-59743</f>
        <v>86450015.319999993</v>
      </c>
      <c r="H85" s="28">
        <f>85626652.23-65682</f>
        <v>85560970.230000004</v>
      </c>
      <c r="I85" s="28">
        <v>88864233.069999993</v>
      </c>
      <c r="J85" s="28">
        <v>90143100.909999996</v>
      </c>
      <c r="K85" s="28">
        <v>91035900.159999996</v>
      </c>
      <c r="L85" s="28">
        <v>92309599.370000005</v>
      </c>
      <c r="M85" s="28">
        <v>92462258.879999995</v>
      </c>
      <c r="N85" s="28">
        <v>92403595.709999993</v>
      </c>
      <c r="O85" s="28">
        <v>95646917.120000005</v>
      </c>
      <c r="P85" s="21">
        <f t="shared" si="22"/>
        <v>87514836.489166662</v>
      </c>
      <c r="Q85" s="21">
        <f t="shared" si="23"/>
        <v>88257791.230833337</v>
      </c>
      <c r="R85" s="9">
        <f>+Q85/P85-1</f>
        <v>8.4894718595360796E-3</v>
      </c>
      <c r="V85" s="21">
        <f t="shared" si="24"/>
        <v>87514836.489166662</v>
      </c>
      <c r="X85" s="7">
        <f>+[4]Report!$K$2582</f>
        <v>4213626.3067053072</v>
      </c>
      <c r="Y85" s="7">
        <f>+[4]Report!$J$2582</f>
        <v>81548519.994961098</v>
      </c>
      <c r="Z85" s="7">
        <f>+P85-X85-Y85</f>
        <v>1752690.1875002533</v>
      </c>
      <c r="AA85" s="7">
        <f>+Z85+X85+Y85</f>
        <v>87514836.489166662</v>
      </c>
      <c r="AB85" s="7"/>
    </row>
    <row r="86" spans="1:28" s="20" customFormat="1">
      <c r="A86" s="20">
        <f t="shared" si="20"/>
        <v>80</v>
      </c>
      <c r="B86" s="17" t="s">
        <v>87</v>
      </c>
      <c r="C86" s="28"/>
      <c r="D86" s="28"/>
      <c r="E86" s="28"/>
      <c r="F86" s="28"/>
      <c r="G86" s="28"/>
      <c r="H86" s="28"/>
      <c r="I86" s="28"/>
      <c r="J86" s="28"/>
      <c r="K86" s="28"/>
      <c r="L86" s="28"/>
      <c r="M86" s="28"/>
      <c r="N86" s="28"/>
      <c r="O86" s="28"/>
      <c r="P86" s="21">
        <f t="shared" si="22"/>
        <v>0</v>
      </c>
      <c r="Q86" s="21" t="e">
        <f t="shared" si="23"/>
        <v>#DIV/0!</v>
      </c>
      <c r="R86" s="9"/>
      <c r="V86" s="21">
        <f t="shared" si="24"/>
        <v>0</v>
      </c>
      <c r="X86" s="7"/>
      <c r="Y86" s="7"/>
      <c r="Z86" s="7"/>
      <c r="AA86" s="7"/>
      <c r="AB86" s="7"/>
    </row>
    <row r="87" spans="1:28" s="20" customFormat="1">
      <c r="A87" s="20">
        <f t="shared" si="20"/>
        <v>81</v>
      </c>
      <c r="B87" s="17" t="s">
        <v>86</v>
      </c>
      <c r="C87" s="28"/>
      <c r="D87" s="28"/>
      <c r="E87" s="28"/>
      <c r="F87" s="28"/>
      <c r="G87" s="28"/>
      <c r="H87" s="28"/>
      <c r="I87" s="28"/>
      <c r="J87" s="28"/>
      <c r="K87" s="28"/>
      <c r="L87" s="28"/>
      <c r="M87" s="28"/>
      <c r="N87" s="28"/>
      <c r="O87" s="28"/>
      <c r="P87" s="21">
        <f t="shared" si="22"/>
        <v>0</v>
      </c>
      <c r="Q87" s="21" t="e">
        <f t="shared" si="23"/>
        <v>#DIV/0!</v>
      </c>
      <c r="R87" s="9"/>
      <c r="V87" s="21">
        <f t="shared" si="24"/>
        <v>0</v>
      </c>
      <c r="X87" s="7"/>
      <c r="Y87" s="7"/>
      <c r="Z87" s="7"/>
      <c r="AA87" s="7"/>
      <c r="AB87" s="7"/>
    </row>
    <row r="88" spans="1:28" s="20" customFormat="1">
      <c r="A88" s="20">
        <f t="shared" si="20"/>
        <v>82</v>
      </c>
      <c r="B88" s="17" t="s">
        <v>85</v>
      </c>
      <c r="C88" s="28">
        <v>10559054.24</v>
      </c>
      <c r="D88" s="28">
        <v>10411105.83</v>
      </c>
      <c r="E88" s="28">
        <v>10263157.529999999</v>
      </c>
      <c r="F88" s="28">
        <v>10115209.119999999</v>
      </c>
      <c r="G88" s="28">
        <v>9967260.8300000001</v>
      </c>
      <c r="H88" s="28">
        <v>9819312.4100000001</v>
      </c>
      <c r="I88" s="28">
        <v>9676901.3300000001</v>
      </c>
      <c r="J88" s="28">
        <v>9534490.1099999994</v>
      </c>
      <c r="K88" s="28">
        <v>9392079.0500000007</v>
      </c>
      <c r="L88" s="28">
        <v>10869558.51</v>
      </c>
      <c r="M88" s="28">
        <v>10715001.050000001</v>
      </c>
      <c r="N88" s="28">
        <v>10558848.43</v>
      </c>
      <c r="O88" s="28">
        <v>10402695.970000001</v>
      </c>
      <c r="P88" s="21">
        <f t="shared" si="22"/>
        <v>10150316.608749999</v>
      </c>
      <c r="Q88" s="21">
        <f t="shared" si="23"/>
        <v>10143801.680833332</v>
      </c>
      <c r="R88" s="9">
        <f>+Q88/P88-1</f>
        <v>-6.4184479832385399E-4</v>
      </c>
      <c r="V88" s="21"/>
      <c r="W88" s="21">
        <f>-P88</f>
        <v>-10150316.608749999</v>
      </c>
      <c r="X88" s="7"/>
      <c r="Y88" s="7"/>
      <c r="Z88" s="7"/>
      <c r="AA88" s="7"/>
      <c r="AB88" s="7"/>
    </row>
    <row r="89" spans="1:28" s="20" customFormat="1">
      <c r="A89" s="20">
        <f t="shared" si="20"/>
        <v>83</v>
      </c>
      <c r="B89" s="17" t="s">
        <v>84</v>
      </c>
      <c r="C89" s="28">
        <v>563674504.14999998</v>
      </c>
      <c r="D89" s="28">
        <v>563674504.14999998</v>
      </c>
      <c r="E89" s="28">
        <v>563674504.14999998</v>
      </c>
      <c r="F89" s="28">
        <v>570961967.14999998</v>
      </c>
      <c r="G89" s="28">
        <v>570977554.14999998</v>
      </c>
      <c r="H89" s="28">
        <v>570977554.14999998</v>
      </c>
      <c r="I89" s="28">
        <v>639645755</v>
      </c>
      <c r="J89" s="28">
        <v>639645755</v>
      </c>
      <c r="K89" s="28">
        <v>639645755</v>
      </c>
      <c r="L89" s="28">
        <v>641098330</v>
      </c>
      <c r="M89" s="28">
        <v>641098330</v>
      </c>
      <c r="N89" s="28">
        <v>641098330</v>
      </c>
      <c r="O89" s="28">
        <v>623424543</v>
      </c>
      <c r="P89" s="21">
        <f t="shared" si="22"/>
        <v>606337321.86041665</v>
      </c>
      <c r="Q89" s="21">
        <f t="shared" si="23"/>
        <v>608826906.8125</v>
      </c>
      <c r="R89" s="9">
        <f>+Q89/P89-1</f>
        <v>4.1059404762429086E-3</v>
      </c>
      <c r="V89" s="21">
        <f>+P89</f>
        <v>606337321.86041665</v>
      </c>
      <c r="X89" s="7">
        <f>+[4]Report!$K$2704</f>
        <v>7023759.1323354822</v>
      </c>
      <c r="Y89" s="7">
        <f>+[4]Report!$J$2704</f>
        <v>145585178.76974773</v>
      </c>
      <c r="Z89" s="7">
        <f>+P89-X89-Y89</f>
        <v>453728383.95833349</v>
      </c>
      <c r="AA89" s="7">
        <f>+Z89+X89+Y89</f>
        <v>606337321.86041665</v>
      </c>
      <c r="AB89" s="7"/>
    </row>
    <row r="90" spans="1:28" s="20" customFormat="1">
      <c r="A90" s="20">
        <f t="shared" si="20"/>
        <v>84</v>
      </c>
      <c r="B90" s="17" t="s">
        <v>83</v>
      </c>
      <c r="C90" s="28"/>
      <c r="D90" s="28"/>
      <c r="E90" s="28"/>
      <c r="F90" s="28"/>
      <c r="G90" s="28"/>
      <c r="H90" s="28"/>
      <c r="I90" s="28"/>
      <c r="J90" s="28"/>
      <c r="K90" s="28"/>
      <c r="L90" s="28"/>
      <c r="M90" s="28"/>
      <c r="N90" s="28"/>
      <c r="O90" s="28"/>
      <c r="P90" s="21">
        <f t="shared" si="22"/>
        <v>0</v>
      </c>
      <c r="Q90" s="21" t="e">
        <f t="shared" si="23"/>
        <v>#DIV/0!</v>
      </c>
      <c r="R90" s="9"/>
      <c r="V90" s="21">
        <f>+P90</f>
        <v>0</v>
      </c>
      <c r="X90" s="7"/>
      <c r="Y90" s="7"/>
      <c r="Z90" s="7"/>
      <c r="AA90" s="7"/>
      <c r="AB90" s="7"/>
    </row>
    <row r="91" spans="1:28" s="20" customFormat="1">
      <c r="A91" s="20">
        <f t="shared" si="20"/>
        <v>85</v>
      </c>
      <c r="B91" s="17" t="s">
        <v>82</v>
      </c>
      <c r="C91" s="28">
        <f t="shared" ref="C91:O91" si="25">SUM(C76:C90)</f>
        <v>2424453687.4299998</v>
      </c>
      <c r="D91" s="28">
        <f t="shared" si="25"/>
        <v>2482791187.0899997</v>
      </c>
      <c r="E91" s="28">
        <f t="shared" si="25"/>
        <v>2452660494.1599998</v>
      </c>
      <c r="F91" s="28">
        <f t="shared" si="25"/>
        <v>2454974419.9999995</v>
      </c>
      <c r="G91" s="28">
        <f t="shared" si="25"/>
        <v>2427095565.4699998</v>
      </c>
      <c r="H91" s="28">
        <f t="shared" si="25"/>
        <v>2440163219.2900004</v>
      </c>
      <c r="I91" s="28">
        <f t="shared" si="25"/>
        <v>2649354162.8199997</v>
      </c>
      <c r="J91" s="28">
        <f t="shared" si="25"/>
        <v>2674447298.8199997</v>
      </c>
      <c r="K91" s="28">
        <f t="shared" si="25"/>
        <v>2648135168.7399998</v>
      </c>
      <c r="L91" s="28">
        <f t="shared" si="25"/>
        <v>2679997048.29</v>
      </c>
      <c r="M91" s="28">
        <f t="shared" si="25"/>
        <v>2661765691.6599998</v>
      </c>
      <c r="N91" s="28">
        <f t="shared" si="25"/>
        <v>2630387048.4500003</v>
      </c>
      <c r="O91" s="28">
        <f t="shared" si="25"/>
        <v>2590433942.3299999</v>
      </c>
      <c r="P91" s="41">
        <f>SUBTOTAL(9,P76:P90)</f>
        <v>2559101259.9725003</v>
      </c>
      <c r="Q91" s="21">
        <f t="shared" si="23"/>
        <v>2566017103.9266667</v>
      </c>
      <c r="R91" s="9">
        <f>+Q91/P91-1</f>
        <v>2.702450294694847E-3</v>
      </c>
      <c r="T91" s="41">
        <f>SUBTOTAL(9,T76:T90)</f>
        <v>0</v>
      </c>
      <c r="V91" s="41">
        <f t="shared" ref="V91:AA91" si="26">SUBTOTAL(9,V76:V90)</f>
        <v>2513615604.7741671</v>
      </c>
      <c r="W91" s="41">
        <f t="shared" si="26"/>
        <v>-45485655.198333338</v>
      </c>
      <c r="X91" s="41">
        <f t="shared" si="26"/>
        <v>25067893.478881218</v>
      </c>
      <c r="Y91" s="41">
        <f t="shared" si="26"/>
        <v>395470203.80778474</v>
      </c>
      <c r="Z91" s="41">
        <f t="shared" si="26"/>
        <v>2093077507.4875009</v>
      </c>
      <c r="AA91" s="41">
        <f t="shared" si="26"/>
        <v>2513615604.7741671</v>
      </c>
      <c r="AB91" s="7"/>
    </row>
    <row r="92" spans="1:28" s="20" customFormat="1">
      <c r="A92" s="20">
        <f t="shared" si="20"/>
        <v>86</v>
      </c>
      <c r="B92" s="17"/>
      <c r="C92" s="28"/>
      <c r="D92" s="28"/>
      <c r="E92" s="28"/>
      <c r="F92" s="28"/>
      <c r="G92" s="28"/>
      <c r="H92" s="28"/>
      <c r="I92" s="28"/>
      <c r="J92" s="28"/>
      <c r="K92" s="28"/>
      <c r="L92" s="28"/>
      <c r="M92" s="28"/>
      <c r="N92" s="28"/>
      <c r="O92" s="28"/>
      <c r="P92" s="40"/>
      <c r="Q92" s="21"/>
      <c r="R92" s="9"/>
      <c r="T92" s="281"/>
      <c r="V92" s="281"/>
      <c r="W92" s="281"/>
      <c r="X92" s="281"/>
      <c r="Y92" s="281"/>
      <c r="Z92" s="281"/>
      <c r="AA92" s="40"/>
      <c r="AB92" s="7"/>
    </row>
    <row r="93" spans="1:28" s="20" customFormat="1">
      <c r="A93" s="20">
        <f t="shared" si="20"/>
        <v>87</v>
      </c>
      <c r="B93" s="18" t="s">
        <v>81</v>
      </c>
      <c r="C93" s="26">
        <f t="shared" ref="C93:O93" si="27">SUM(C91,C73,C38,C21,)</f>
        <v>19953307084.610001</v>
      </c>
      <c r="D93" s="26">
        <f t="shared" si="27"/>
        <v>20075921717.970001</v>
      </c>
      <c r="E93" s="26">
        <f t="shared" si="27"/>
        <v>20096986112.93</v>
      </c>
      <c r="F93" s="26">
        <f t="shared" si="27"/>
        <v>20235602915.330002</v>
      </c>
      <c r="G93" s="26">
        <f t="shared" si="27"/>
        <v>20263532743.540001</v>
      </c>
      <c r="H93" s="26">
        <f t="shared" si="27"/>
        <v>20309775369.610001</v>
      </c>
      <c r="I93" s="26">
        <f t="shared" si="27"/>
        <v>20818161762.669994</v>
      </c>
      <c r="J93" s="26">
        <f t="shared" si="27"/>
        <v>20859021609.669998</v>
      </c>
      <c r="K93" s="26">
        <f t="shared" si="27"/>
        <v>20854899034.559998</v>
      </c>
      <c r="L93" s="26">
        <f t="shared" si="27"/>
        <v>21005250463.389996</v>
      </c>
      <c r="M93" s="26">
        <f t="shared" si="27"/>
        <v>20965882945.720001</v>
      </c>
      <c r="N93" s="26">
        <f t="shared" si="27"/>
        <v>21008000084.280003</v>
      </c>
      <c r="O93" s="26">
        <f t="shared" si="27"/>
        <v>21141063731.310001</v>
      </c>
      <c r="P93" s="25">
        <f>(C93+2*SUM(D93:N93)+O93)/24</f>
        <v>20586685013.969166</v>
      </c>
      <c r="Q93" s="25">
        <f>AVERAGE(D93:O93)</f>
        <v>20636174874.248333</v>
      </c>
      <c r="R93" s="9">
        <f>+Q93/P93-1</f>
        <v>2.4039742311880996E-3</v>
      </c>
      <c r="T93" s="37">
        <f>SUBTOTAL(9,T7:T91)</f>
        <v>1199405263.2618055</v>
      </c>
      <c r="V93" s="37">
        <f>SUBTOTAL(9,V7:V91)</f>
        <v>19341794095.509022</v>
      </c>
      <c r="W93" s="37">
        <f>SUBTOTAL(9,W7:W91)</f>
        <v>-45485655.198333338</v>
      </c>
      <c r="X93" s="37">
        <f>SUBTOTAL(9,X7:X91)</f>
        <v>1003526688.1831921</v>
      </c>
      <c r="Y93" s="37">
        <f>SUBTOTAL(9,Y7:Y91)</f>
        <v>14739267647.406822</v>
      </c>
      <c r="Z93" s="37">
        <f>SUBTOTAL(9,Z7:Z91)</f>
        <v>3598999759.9190121</v>
      </c>
      <c r="AA93" s="7">
        <f>+Z93+Y93+X93</f>
        <v>19341794095.509029</v>
      </c>
      <c r="AB93" s="7"/>
    </row>
    <row r="94" spans="1:28" s="20" customFormat="1">
      <c r="A94" s="20">
        <f t="shared" si="20"/>
        <v>88</v>
      </c>
      <c r="B94" s="282" t="s">
        <v>80</v>
      </c>
      <c r="C94" s="16">
        <f>C93-C169</f>
        <v>0</v>
      </c>
      <c r="D94" s="16">
        <f t="shared" ref="D94:O94" si="28">D93-D169</f>
        <v>0</v>
      </c>
      <c r="E94" s="16">
        <f t="shared" si="28"/>
        <v>0</v>
      </c>
      <c r="F94" s="16">
        <f t="shared" si="28"/>
        <v>0</v>
      </c>
      <c r="G94" s="16">
        <f t="shared" si="28"/>
        <v>0</v>
      </c>
      <c r="H94" s="16">
        <f t="shared" si="28"/>
        <v>0</v>
      </c>
      <c r="I94" s="16">
        <f t="shared" si="28"/>
        <v>0</v>
      </c>
      <c r="J94" s="16">
        <f t="shared" si="28"/>
        <v>0</v>
      </c>
      <c r="K94" s="16">
        <f t="shared" si="28"/>
        <v>0</v>
      </c>
      <c r="L94" s="16">
        <f t="shared" si="28"/>
        <v>0</v>
      </c>
      <c r="M94" s="16">
        <f t="shared" si="28"/>
        <v>0</v>
      </c>
      <c r="N94" s="16">
        <f t="shared" si="28"/>
        <v>0</v>
      </c>
      <c r="O94" s="16">
        <f t="shared" si="28"/>
        <v>0</v>
      </c>
      <c r="P94" s="11">
        <f>+T93+V93-W93</f>
        <v>20586685013.969162</v>
      </c>
      <c r="Q94" s="25"/>
      <c r="R94" s="9"/>
      <c r="V94" s="21"/>
      <c r="X94" s="277"/>
      <c r="Y94" s="277"/>
      <c r="Z94" s="277"/>
      <c r="AA94" s="7"/>
      <c r="AB94" s="7"/>
    </row>
    <row r="95" spans="1:28" s="20" customFormat="1">
      <c r="A95" s="20">
        <f t="shared" si="20"/>
        <v>89</v>
      </c>
      <c r="B95" s="18"/>
      <c r="C95" s="16"/>
      <c r="D95" s="16"/>
      <c r="E95" s="16"/>
      <c r="F95" s="16"/>
      <c r="G95" s="16"/>
      <c r="H95" s="16"/>
      <c r="I95" s="16"/>
      <c r="J95" s="16"/>
      <c r="K95" s="16"/>
      <c r="L95" s="16"/>
      <c r="M95" s="16"/>
      <c r="N95" s="16"/>
      <c r="O95" s="16"/>
      <c r="P95" s="25"/>
      <c r="Q95" s="25"/>
      <c r="R95" s="9"/>
      <c r="T95" s="21"/>
      <c r="V95" s="21"/>
      <c r="X95" s="7"/>
      <c r="Y95" s="7"/>
      <c r="Z95" s="7"/>
      <c r="AA95" s="7"/>
      <c r="AB95" s="7"/>
    </row>
    <row r="96" spans="1:28" s="20" customFormat="1">
      <c r="A96" s="20">
        <f t="shared" si="20"/>
        <v>90</v>
      </c>
      <c r="B96" s="18"/>
      <c r="C96" s="16"/>
      <c r="D96" s="16"/>
      <c r="E96" s="16"/>
      <c r="F96" s="16"/>
      <c r="G96" s="16"/>
      <c r="H96" s="16"/>
      <c r="I96" s="16"/>
      <c r="J96" s="16"/>
      <c r="K96" s="16"/>
      <c r="L96" s="16"/>
      <c r="M96" s="16"/>
      <c r="N96" s="16"/>
      <c r="O96" s="16"/>
      <c r="P96" s="25"/>
      <c r="Q96" s="25"/>
      <c r="R96" s="9"/>
      <c r="T96" s="21"/>
      <c r="V96" s="21"/>
      <c r="X96" s="7"/>
      <c r="Y96" s="7"/>
      <c r="Z96" s="7"/>
      <c r="AA96" s="7"/>
      <c r="AB96" s="7"/>
    </row>
    <row r="97" spans="1:28" s="20" customFormat="1">
      <c r="A97" s="20">
        <f t="shared" si="20"/>
        <v>91</v>
      </c>
      <c r="B97" s="17" t="s">
        <v>79</v>
      </c>
      <c r="C97" s="47"/>
      <c r="D97" s="47"/>
      <c r="E97" s="47"/>
      <c r="F97" s="47"/>
      <c r="G97" s="47"/>
      <c r="H97" s="47"/>
      <c r="I97" s="47"/>
      <c r="J97" s="47"/>
      <c r="K97" s="47"/>
      <c r="L97" s="47"/>
      <c r="M97" s="47"/>
      <c r="N97" s="47"/>
      <c r="O97" s="47"/>
      <c r="P97" s="21"/>
      <c r="Q97" s="21"/>
      <c r="R97" s="9"/>
      <c r="X97" s="7"/>
      <c r="Y97" s="7"/>
      <c r="Z97" s="7"/>
      <c r="AA97" s="7"/>
      <c r="AB97" s="7"/>
    </row>
    <row r="98" spans="1:28" s="20" customFormat="1">
      <c r="A98" s="20">
        <f t="shared" si="20"/>
        <v>92</v>
      </c>
      <c r="B98" s="17" t="s">
        <v>78</v>
      </c>
      <c r="C98" s="28">
        <v>3417945896.2399998</v>
      </c>
      <c r="D98" s="28">
        <v>3417945896.2399998</v>
      </c>
      <c r="E98" s="28">
        <v>3417945896.2399998</v>
      </c>
      <c r="F98" s="28">
        <v>3417945896.2399998</v>
      </c>
      <c r="G98" s="28">
        <v>3417945896.2399998</v>
      </c>
      <c r="H98" s="28">
        <v>3417945896.2399998</v>
      </c>
      <c r="I98" s="28">
        <v>3417945896.2399998</v>
      </c>
      <c r="J98" s="28">
        <v>3417945896.2399998</v>
      </c>
      <c r="K98" s="28">
        <v>3417945896.2399998</v>
      </c>
      <c r="L98" s="28">
        <v>3417945896.2399998</v>
      </c>
      <c r="M98" s="28">
        <v>3417945896.2399998</v>
      </c>
      <c r="N98" s="28">
        <v>3417945896.2399998</v>
      </c>
      <c r="O98" s="28">
        <v>3417945896.2399998</v>
      </c>
      <c r="P98" s="21">
        <f t="shared" ref="P98:P104" si="29">(C98+2*SUM(D98:N98)+O98)/24</f>
        <v>3417945896.2399998</v>
      </c>
      <c r="Q98" s="21">
        <f t="shared" ref="Q98:Q114" si="30">AVERAGE(D98:O98)</f>
        <v>3417945896.2399993</v>
      </c>
      <c r="R98" s="9">
        <f>+Q98/P98-1</f>
        <v>0</v>
      </c>
      <c r="W98" s="21">
        <f t="shared" ref="W98:W113" si="31">+P98</f>
        <v>3417945896.2399998</v>
      </c>
      <c r="X98" s="7"/>
      <c r="Y98" s="7"/>
      <c r="Z98" s="7"/>
      <c r="AA98" s="7"/>
      <c r="AB98" s="7"/>
    </row>
    <row r="99" spans="1:28" s="20" customFormat="1">
      <c r="A99" s="20">
        <f t="shared" si="20"/>
        <v>93</v>
      </c>
      <c r="B99" s="17" t="s">
        <v>77</v>
      </c>
      <c r="C99" s="28">
        <v>40733100</v>
      </c>
      <c r="D99" s="28">
        <v>40733100</v>
      </c>
      <c r="E99" s="28">
        <v>40733100</v>
      </c>
      <c r="F99" s="28">
        <v>40733100</v>
      </c>
      <c r="G99" s="28">
        <v>40733100</v>
      </c>
      <c r="H99" s="28">
        <v>40733100</v>
      </c>
      <c r="I99" s="28">
        <v>40733100</v>
      </c>
      <c r="J99" s="28">
        <v>40733100</v>
      </c>
      <c r="K99" s="28">
        <v>40733100</v>
      </c>
      <c r="L99" s="28">
        <v>40733100</v>
      </c>
      <c r="M99" s="28">
        <v>40733100</v>
      </c>
      <c r="N99" s="28">
        <v>40733100</v>
      </c>
      <c r="O99" s="28">
        <v>40733100</v>
      </c>
      <c r="P99" s="21">
        <f t="shared" si="29"/>
        <v>40733100</v>
      </c>
      <c r="Q99" s="21">
        <f t="shared" si="30"/>
        <v>40733100</v>
      </c>
      <c r="R99" s="9">
        <f>+Q99/P99-1</f>
        <v>0</v>
      </c>
      <c r="W99" s="21">
        <f t="shared" si="31"/>
        <v>40733100</v>
      </c>
      <c r="X99" s="7"/>
      <c r="Y99" s="7"/>
      <c r="Z99" s="7"/>
      <c r="AA99" s="7"/>
      <c r="AB99" s="7"/>
    </row>
    <row r="100" spans="1:28" s="20" customFormat="1">
      <c r="A100" s="20">
        <f t="shared" si="20"/>
        <v>94</v>
      </c>
      <c r="B100" s="17" t="s">
        <v>76</v>
      </c>
      <c r="C100" s="28">
        <v>0</v>
      </c>
      <c r="D100" s="28">
        <v>0</v>
      </c>
      <c r="E100" s="28">
        <v>0</v>
      </c>
      <c r="F100" s="28">
        <v>0</v>
      </c>
      <c r="G100" s="28">
        <v>0</v>
      </c>
      <c r="H100" s="28">
        <v>0</v>
      </c>
      <c r="I100" s="28">
        <v>0</v>
      </c>
      <c r="J100" s="28">
        <v>0</v>
      </c>
      <c r="K100" s="28">
        <v>0</v>
      </c>
      <c r="L100" s="28">
        <v>0</v>
      </c>
      <c r="M100" s="28">
        <v>0</v>
      </c>
      <c r="N100" s="28">
        <v>0</v>
      </c>
      <c r="O100" s="28">
        <v>0</v>
      </c>
      <c r="P100" s="21">
        <f t="shared" si="29"/>
        <v>0</v>
      </c>
      <c r="Q100" s="21">
        <f t="shared" si="30"/>
        <v>0</v>
      </c>
      <c r="R100" s="9"/>
      <c r="W100" s="21">
        <f t="shared" si="31"/>
        <v>0</v>
      </c>
      <c r="X100" s="7"/>
      <c r="Y100" s="7"/>
      <c r="Z100" s="7"/>
      <c r="AA100" s="7"/>
      <c r="AB100" s="7"/>
    </row>
    <row r="101" spans="1:28" s="20" customFormat="1">
      <c r="A101" s="20">
        <f t="shared" si="20"/>
        <v>95</v>
      </c>
      <c r="B101" s="17" t="s">
        <v>75</v>
      </c>
      <c r="C101" s="28">
        <v>0</v>
      </c>
      <c r="D101" s="28">
        <v>0</v>
      </c>
      <c r="E101" s="28">
        <v>0</v>
      </c>
      <c r="F101" s="28">
        <v>0</v>
      </c>
      <c r="G101" s="28">
        <v>0</v>
      </c>
      <c r="H101" s="28">
        <v>0</v>
      </c>
      <c r="I101" s="28">
        <v>0</v>
      </c>
      <c r="J101" s="28">
        <v>0</v>
      </c>
      <c r="K101" s="28">
        <v>0</v>
      </c>
      <c r="L101" s="28">
        <v>0</v>
      </c>
      <c r="M101" s="28">
        <v>0</v>
      </c>
      <c r="N101" s="28">
        <v>0</v>
      </c>
      <c r="O101" s="28">
        <v>0</v>
      </c>
      <c r="P101" s="21">
        <f t="shared" si="29"/>
        <v>0</v>
      </c>
      <c r="Q101" s="21">
        <f t="shared" si="30"/>
        <v>0</v>
      </c>
      <c r="R101" s="9"/>
      <c r="W101" s="21">
        <f t="shared" si="31"/>
        <v>0</v>
      </c>
      <c r="X101" s="7"/>
      <c r="Y101" s="7"/>
      <c r="Z101" s="7"/>
      <c r="AA101" s="7"/>
      <c r="AB101" s="7"/>
    </row>
    <row r="102" spans="1:28" s="20" customFormat="1">
      <c r="A102" s="20">
        <f t="shared" si="20"/>
        <v>96</v>
      </c>
      <c r="B102" s="17" t="s">
        <v>74</v>
      </c>
      <c r="C102" s="28">
        <v>0</v>
      </c>
      <c r="D102" s="28">
        <v>0</v>
      </c>
      <c r="E102" s="28">
        <v>0</v>
      </c>
      <c r="F102" s="28">
        <v>0</v>
      </c>
      <c r="G102" s="28">
        <v>0</v>
      </c>
      <c r="H102" s="28">
        <v>0</v>
      </c>
      <c r="I102" s="28">
        <v>0</v>
      </c>
      <c r="J102" s="28">
        <v>0</v>
      </c>
      <c r="K102" s="28">
        <v>0</v>
      </c>
      <c r="L102" s="28">
        <v>0</v>
      </c>
      <c r="M102" s="28">
        <v>0</v>
      </c>
      <c r="N102" s="28">
        <v>0</v>
      </c>
      <c r="O102" s="28">
        <v>0</v>
      </c>
      <c r="P102" s="21">
        <f t="shared" si="29"/>
        <v>0</v>
      </c>
      <c r="Q102" s="21">
        <f t="shared" si="30"/>
        <v>0</v>
      </c>
      <c r="R102" s="9"/>
      <c r="W102" s="21">
        <f t="shared" si="31"/>
        <v>0</v>
      </c>
      <c r="X102" s="7"/>
      <c r="Y102" s="7"/>
      <c r="Z102" s="7"/>
      <c r="AA102" s="7"/>
      <c r="AB102" s="7"/>
    </row>
    <row r="103" spans="1:28" s="20" customFormat="1">
      <c r="A103" s="20">
        <f t="shared" si="20"/>
        <v>97</v>
      </c>
      <c r="B103" s="17" t="s">
        <v>73</v>
      </c>
      <c r="C103" s="28">
        <v>1102229981.23</v>
      </c>
      <c r="D103" s="28">
        <v>1102229981.23</v>
      </c>
      <c r="E103" s="28">
        <v>1102229981.23</v>
      </c>
      <c r="F103" s="28">
        <v>1102229981.23</v>
      </c>
      <c r="G103" s="28">
        <v>1102229981.23</v>
      </c>
      <c r="H103" s="28">
        <v>1102229981.23</v>
      </c>
      <c r="I103" s="28">
        <v>1102229981.23</v>
      </c>
      <c r="J103" s="28">
        <v>1102229981.23</v>
      </c>
      <c r="K103" s="28">
        <v>1102229981.23</v>
      </c>
      <c r="L103" s="28">
        <v>1102229981.23</v>
      </c>
      <c r="M103" s="28">
        <v>1102229981.23</v>
      </c>
      <c r="N103" s="28">
        <v>1102229981.23</v>
      </c>
      <c r="O103" s="28">
        <v>1102229981.23</v>
      </c>
      <c r="P103" s="21">
        <f t="shared" si="29"/>
        <v>1102229981.2299998</v>
      </c>
      <c r="Q103" s="21">
        <f t="shared" si="30"/>
        <v>1102229981.2299998</v>
      </c>
      <c r="R103" s="9">
        <f>+Q103/P103-1</f>
        <v>0</v>
      </c>
      <c r="W103" s="21">
        <f t="shared" si="31"/>
        <v>1102229981.2299998</v>
      </c>
      <c r="X103" s="7"/>
      <c r="Y103" s="7"/>
      <c r="Z103" s="7"/>
      <c r="AA103" s="7"/>
      <c r="AB103" s="7"/>
    </row>
    <row r="104" spans="1:28" s="20" customFormat="1">
      <c r="A104" s="20">
        <f t="shared" ref="A104:A135" si="32">+A103+1</f>
        <v>98</v>
      </c>
      <c r="B104" s="17" t="s">
        <v>72</v>
      </c>
      <c r="C104" s="28">
        <v>0</v>
      </c>
      <c r="D104" s="28">
        <v>0</v>
      </c>
      <c r="E104" s="28">
        <v>0</v>
      </c>
      <c r="F104" s="28">
        <v>0</v>
      </c>
      <c r="G104" s="28">
        <v>0</v>
      </c>
      <c r="H104" s="28">
        <v>0</v>
      </c>
      <c r="I104" s="28">
        <v>0</v>
      </c>
      <c r="J104" s="28">
        <v>0</v>
      </c>
      <c r="K104" s="28">
        <v>0</v>
      </c>
      <c r="L104" s="28">
        <v>0</v>
      </c>
      <c r="M104" s="28">
        <v>0</v>
      </c>
      <c r="N104" s="28">
        <v>0</v>
      </c>
      <c r="O104" s="28">
        <v>0</v>
      </c>
      <c r="P104" s="21">
        <f t="shared" si="29"/>
        <v>0</v>
      </c>
      <c r="Q104" s="21">
        <f t="shared" si="30"/>
        <v>0</v>
      </c>
      <c r="R104" s="9"/>
      <c r="W104" s="21">
        <f t="shared" si="31"/>
        <v>0</v>
      </c>
      <c r="X104" s="7"/>
      <c r="Y104" s="7"/>
      <c r="Z104" s="7"/>
      <c r="AA104" s="7"/>
      <c r="AB104" s="7"/>
    </row>
    <row r="105" spans="1:28" s="20" customFormat="1">
      <c r="A105" s="20">
        <f t="shared" si="32"/>
        <v>99</v>
      </c>
      <c r="B105" s="17" t="s">
        <v>71</v>
      </c>
      <c r="C105" s="28">
        <v>0</v>
      </c>
      <c r="D105" s="28">
        <v>0</v>
      </c>
      <c r="E105" s="28">
        <v>0</v>
      </c>
      <c r="F105" s="28">
        <v>0</v>
      </c>
      <c r="G105" s="28">
        <v>0</v>
      </c>
      <c r="H105" s="28">
        <v>0</v>
      </c>
      <c r="I105" s="28">
        <v>0</v>
      </c>
      <c r="J105" s="28">
        <v>0</v>
      </c>
      <c r="K105" s="28">
        <v>0</v>
      </c>
      <c r="L105" s="28">
        <v>0</v>
      </c>
      <c r="M105" s="28">
        <v>0</v>
      </c>
      <c r="N105" s="28">
        <v>0</v>
      </c>
      <c r="O105" s="28">
        <v>0</v>
      </c>
      <c r="P105" s="21">
        <f>-(C105+2*SUM(D105:N105)+O105)/24</f>
        <v>0</v>
      </c>
      <c r="Q105" s="21">
        <f t="shared" si="30"/>
        <v>0</v>
      </c>
      <c r="R105" s="9"/>
      <c r="W105" s="21">
        <f t="shared" si="31"/>
        <v>0</v>
      </c>
      <c r="X105" s="7"/>
      <c r="Y105" s="7"/>
      <c r="Z105" s="7"/>
      <c r="AA105" s="7"/>
      <c r="AB105" s="7"/>
    </row>
    <row r="106" spans="1:28" s="20" customFormat="1">
      <c r="A106" s="20">
        <f t="shared" si="32"/>
        <v>100</v>
      </c>
      <c r="B106" s="17" t="s">
        <v>70</v>
      </c>
      <c r="C106" s="28">
        <v>41284559.600000001</v>
      </c>
      <c r="D106" s="28">
        <v>41284559.600000001</v>
      </c>
      <c r="E106" s="28">
        <v>41284559.600000001</v>
      </c>
      <c r="F106" s="28">
        <v>41284559.600000001</v>
      </c>
      <c r="G106" s="28">
        <v>41284559.600000001</v>
      </c>
      <c r="H106" s="28">
        <v>41284559.600000001</v>
      </c>
      <c r="I106" s="28">
        <v>41284559.600000001</v>
      </c>
      <c r="J106" s="28">
        <v>41284559.600000001</v>
      </c>
      <c r="K106" s="28">
        <v>41284559.600000001</v>
      </c>
      <c r="L106" s="28">
        <v>41284559.600000001</v>
      </c>
      <c r="M106" s="28">
        <v>41284559.600000001</v>
      </c>
      <c r="N106" s="28">
        <v>41284559.600000001</v>
      </c>
      <c r="O106" s="28">
        <v>41284559.600000001</v>
      </c>
      <c r="P106" s="21">
        <f>-(C106+2*SUM(D106:N106)+O106)/24</f>
        <v>-41284559.600000009</v>
      </c>
      <c r="Q106" s="21">
        <f t="shared" si="30"/>
        <v>41284559.600000009</v>
      </c>
      <c r="R106" s="9">
        <f>+Q106/P106-1</f>
        <v>-2</v>
      </c>
      <c r="W106" s="21">
        <f t="shared" si="31"/>
        <v>-41284559.600000009</v>
      </c>
      <c r="X106" s="7"/>
      <c r="Y106" s="7"/>
      <c r="Z106" s="7"/>
      <c r="AA106" s="7"/>
      <c r="AB106" s="7"/>
    </row>
    <row r="107" spans="1:28" s="20" customFormat="1">
      <c r="A107" s="20">
        <f t="shared" si="32"/>
        <v>101</v>
      </c>
      <c r="B107" s="17" t="s">
        <v>69</v>
      </c>
      <c r="C107" s="28"/>
      <c r="D107" s="28"/>
      <c r="E107" s="28"/>
      <c r="F107" s="28"/>
      <c r="G107" s="28"/>
      <c r="H107" s="28"/>
      <c r="I107" s="28"/>
      <c r="J107" s="28"/>
      <c r="K107" s="28"/>
      <c r="L107" s="28"/>
      <c r="M107" s="28"/>
      <c r="N107" s="28"/>
      <c r="O107" s="28"/>
      <c r="P107" s="21">
        <f>(C107+2*SUM(D107:N107)+O107)/24</f>
        <v>0</v>
      </c>
      <c r="Q107" s="21" t="e">
        <f t="shared" si="30"/>
        <v>#DIV/0!</v>
      </c>
      <c r="R107" s="9"/>
      <c r="W107" s="21">
        <f t="shared" si="31"/>
        <v>0</v>
      </c>
      <c r="X107" s="7"/>
      <c r="Y107" s="7"/>
      <c r="Z107" s="7"/>
      <c r="AA107" s="7"/>
      <c r="AB107" s="7"/>
    </row>
    <row r="108" spans="1:28" s="20" customFormat="1">
      <c r="A108" s="20">
        <f t="shared" si="32"/>
        <v>102</v>
      </c>
      <c r="B108" s="17" t="s">
        <v>68</v>
      </c>
      <c r="C108" s="28"/>
      <c r="D108" s="28"/>
      <c r="E108" s="28"/>
      <c r="F108" s="28"/>
      <c r="G108" s="28"/>
      <c r="H108" s="28"/>
      <c r="I108" s="28"/>
      <c r="J108" s="28"/>
      <c r="K108" s="28"/>
      <c r="L108" s="28"/>
      <c r="M108" s="28"/>
      <c r="N108" s="28"/>
      <c r="O108" s="28"/>
      <c r="P108" s="21">
        <f>(C108+2*SUM(D108:N108)+O108)/24</f>
        <v>0</v>
      </c>
      <c r="Q108" s="21" t="e">
        <f t="shared" si="30"/>
        <v>#DIV/0!</v>
      </c>
      <c r="R108" s="9"/>
      <c r="W108" s="21">
        <f t="shared" si="31"/>
        <v>0</v>
      </c>
      <c r="X108" s="7"/>
      <c r="Y108" s="7"/>
      <c r="Z108" s="7"/>
      <c r="AA108" s="7"/>
      <c r="AB108" s="7"/>
    </row>
    <row r="109" spans="1:28" s="20" customFormat="1">
      <c r="A109" s="20">
        <f t="shared" si="32"/>
        <v>103</v>
      </c>
      <c r="B109" s="17" t="s">
        <v>67</v>
      </c>
      <c r="C109" s="28"/>
      <c r="D109" s="28"/>
      <c r="E109" s="28"/>
      <c r="F109" s="28"/>
      <c r="G109" s="28"/>
      <c r="H109" s="28"/>
      <c r="I109" s="28"/>
      <c r="J109" s="28"/>
      <c r="K109" s="28"/>
      <c r="L109" s="28"/>
      <c r="M109" s="28"/>
      <c r="N109" s="28"/>
      <c r="O109" s="28"/>
      <c r="P109" s="21">
        <f>(C109+2*SUM(D109:N109)+O109)/24</f>
        <v>0</v>
      </c>
      <c r="Q109" s="21" t="e">
        <f t="shared" si="30"/>
        <v>#DIV/0!</v>
      </c>
      <c r="R109" s="9"/>
      <c r="W109" s="21">
        <f t="shared" si="31"/>
        <v>0</v>
      </c>
      <c r="X109" s="7"/>
      <c r="Y109" s="7"/>
      <c r="Z109" s="7"/>
      <c r="AA109" s="7"/>
      <c r="AB109" s="7"/>
    </row>
    <row r="110" spans="1:28" s="20" customFormat="1">
      <c r="A110" s="20">
        <f t="shared" si="32"/>
        <v>104</v>
      </c>
      <c r="B110" s="17" t="s">
        <v>66</v>
      </c>
      <c r="C110" s="28">
        <f>2497602627.69-131513944</f>
        <v>2366088683.6900001</v>
      </c>
      <c r="D110" s="28">
        <f>2575340250.46-133661343</f>
        <v>2441678907.46</v>
      </c>
      <c r="E110" s="28">
        <f>2625629894.3-135784298</f>
        <v>2489845596.3000002</v>
      </c>
      <c r="F110" s="28">
        <f>2666460213.71-136886360</f>
        <v>2529573853.71</v>
      </c>
      <c r="G110" s="28">
        <f>2710116247.7-141177624</f>
        <v>2568938623.6999998</v>
      </c>
      <c r="H110" s="28">
        <f>2751351275.69-146641306</f>
        <v>2604709969.6900001</v>
      </c>
      <c r="I110" s="28">
        <v>2649231265.7000003</v>
      </c>
      <c r="J110" s="28">
        <v>2655174175.4799995</v>
      </c>
      <c r="K110" s="28">
        <v>2697122608.4599996</v>
      </c>
      <c r="L110" s="28">
        <v>2742817321.8299999</v>
      </c>
      <c r="M110" s="28">
        <v>2773194013.0699997</v>
      </c>
      <c r="N110" s="28">
        <v>2823317007.4200001</v>
      </c>
      <c r="O110" s="28">
        <v>2874133189.3899999</v>
      </c>
      <c r="P110" s="21">
        <f>(C110+2*SUM(D110:N110)+O110)/24</f>
        <v>2632976189.9466667</v>
      </c>
      <c r="Q110" s="21">
        <f t="shared" si="30"/>
        <v>2654144711.0174999</v>
      </c>
      <c r="R110" s="9">
        <f>+Q110/P110-1</f>
        <v>8.0397692738960469E-3</v>
      </c>
      <c r="W110" s="21">
        <f t="shared" si="31"/>
        <v>2632976189.9466667</v>
      </c>
      <c r="X110" s="7"/>
      <c r="Y110" s="7"/>
      <c r="Z110" s="7"/>
      <c r="AA110" s="7"/>
      <c r="AB110" s="7"/>
    </row>
    <row r="111" spans="1:28" s="20" customFormat="1">
      <c r="A111" s="20">
        <f t="shared" si="32"/>
        <v>105</v>
      </c>
      <c r="B111" s="17" t="s">
        <v>65</v>
      </c>
      <c r="C111" s="28">
        <f>6021120.21+131513944</f>
        <v>137535064.21000001</v>
      </c>
      <c r="D111" s="28">
        <f>5972439.04+133661343</f>
        <v>139633782.03999999</v>
      </c>
      <c r="E111" s="28">
        <f>5926727.96+135784298</f>
        <v>141711025.96000001</v>
      </c>
      <c r="F111" s="28">
        <f>5863788.39+136886360</f>
        <v>142750148.38999999</v>
      </c>
      <c r="G111" s="28">
        <f>5815453.78+141177624</f>
        <v>146993077.78</v>
      </c>
      <c r="H111" s="28">
        <f>5768388.13+146641306</f>
        <v>152409694.13</v>
      </c>
      <c r="I111" s="28">
        <v>151915641.18000001</v>
      </c>
      <c r="J111" s="28">
        <v>153120440.46000001</v>
      </c>
      <c r="K111" s="28">
        <v>156357865.37</v>
      </c>
      <c r="L111" s="28">
        <v>158352609.31</v>
      </c>
      <c r="M111" s="28">
        <v>157830848.56</v>
      </c>
      <c r="N111" s="28">
        <v>157173071.19999999</v>
      </c>
      <c r="O111" s="28">
        <v>156873370.63999999</v>
      </c>
      <c r="P111" s="21">
        <f>(C111+2*SUM(D111:N111)+O111)/24</f>
        <v>150454368.48374999</v>
      </c>
      <c r="Q111" s="21">
        <f t="shared" si="30"/>
        <v>151260131.25166667</v>
      </c>
      <c r="R111" s="9">
        <f>+Q111/P111-1</f>
        <v>5.3555292281439737E-3</v>
      </c>
      <c r="W111" s="21">
        <f t="shared" si="31"/>
        <v>150454368.48374999</v>
      </c>
      <c r="X111" s="7"/>
      <c r="Y111" s="7"/>
      <c r="Z111" s="7"/>
      <c r="AA111" s="7"/>
      <c r="AB111" s="7"/>
    </row>
    <row r="112" spans="1:28" s="20" customFormat="1">
      <c r="A112" s="20">
        <f t="shared" si="32"/>
        <v>106</v>
      </c>
      <c r="B112" s="17" t="s">
        <v>64</v>
      </c>
      <c r="C112" s="28">
        <v>0</v>
      </c>
      <c r="D112" s="28">
        <v>0</v>
      </c>
      <c r="E112" s="28">
        <v>0</v>
      </c>
      <c r="F112" s="28">
        <v>0</v>
      </c>
      <c r="G112" s="28">
        <v>0</v>
      </c>
      <c r="H112" s="28">
        <v>0</v>
      </c>
      <c r="I112" s="28">
        <v>0</v>
      </c>
      <c r="J112" s="28">
        <v>0</v>
      </c>
      <c r="K112" s="28">
        <v>0</v>
      </c>
      <c r="L112" s="28">
        <v>0</v>
      </c>
      <c r="M112" s="28">
        <v>0</v>
      </c>
      <c r="N112" s="28">
        <v>0</v>
      </c>
      <c r="O112" s="28">
        <v>0</v>
      </c>
      <c r="P112" s="21">
        <f>-(C112+2*SUM(D112:N112)+O112)/24</f>
        <v>0</v>
      </c>
      <c r="Q112" s="21">
        <f t="shared" si="30"/>
        <v>0</v>
      </c>
      <c r="R112" s="9"/>
      <c r="W112" s="21">
        <f t="shared" si="31"/>
        <v>0</v>
      </c>
      <c r="X112" s="7"/>
      <c r="Y112" s="7"/>
      <c r="Z112" s="7"/>
      <c r="AA112" s="7"/>
      <c r="AB112" s="7"/>
    </row>
    <row r="113" spans="1:28" s="20" customFormat="1">
      <c r="A113" s="20">
        <f t="shared" si="32"/>
        <v>107</v>
      </c>
      <c r="B113" s="17" t="s">
        <v>63</v>
      </c>
      <c r="C113" s="28">
        <v>-6854242.9800000004</v>
      </c>
      <c r="D113" s="28">
        <v>-6825326.3099999996</v>
      </c>
      <c r="E113" s="28">
        <v>-6796410.6399999997</v>
      </c>
      <c r="F113" s="28">
        <v>-6800415.9699999997</v>
      </c>
      <c r="G113" s="28">
        <v>-6771499.2999999998</v>
      </c>
      <c r="H113" s="28">
        <v>-6742582.6299999999</v>
      </c>
      <c r="I113" s="28">
        <v>-9055432</v>
      </c>
      <c r="J113" s="28">
        <v>-9012848.6600000001</v>
      </c>
      <c r="K113" s="28">
        <v>-8970265.3200000003</v>
      </c>
      <c r="L113" s="28">
        <v>-8976163.9800000004</v>
      </c>
      <c r="M113" s="28">
        <v>-8933580.6400000006</v>
      </c>
      <c r="N113" s="28">
        <v>-8890997.3000000007</v>
      </c>
      <c r="O113" s="28">
        <v>-8896896.9600000009</v>
      </c>
      <c r="P113" s="21">
        <f>(C113+2*SUM(D113:N113)+O113)/24</f>
        <v>-7970924.3933333335</v>
      </c>
      <c r="Q113" s="21">
        <f t="shared" si="30"/>
        <v>-8056034.975833334</v>
      </c>
      <c r="R113" s="9">
        <f>+Q113/P113-1</f>
        <v>1.0677630134239502E-2</v>
      </c>
      <c r="T113" s="21"/>
      <c r="W113" s="21">
        <f t="shared" si="31"/>
        <v>-7970924.3933333335</v>
      </c>
      <c r="X113" s="7"/>
      <c r="Y113" s="7"/>
      <c r="Z113" s="7"/>
      <c r="AA113" s="7"/>
      <c r="AB113" s="7"/>
    </row>
    <row r="114" spans="1:28" s="20" customFormat="1">
      <c r="A114" s="20">
        <f t="shared" si="32"/>
        <v>108</v>
      </c>
      <c r="B114" s="17" t="s">
        <v>62</v>
      </c>
      <c r="C114" s="28">
        <f>SUM(C98:C104,C110:C111,C113)-SUM(C105,C106,C112)</f>
        <v>7016393922.79</v>
      </c>
      <c r="D114" s="28">
        <f t="shared" ref="D114:O114" si="33">SUM(D98:D104,D110:D111,D113)-SUM(D105,D106,D112)</f>
        <v>7094111781.0599985</v>
      </c>
      <c r="E114" s="28">
        <f t="shared" si="33"/>
        <v>7144384629.4899988</v>
      </c>
      <c r="F114" s="28">
        <f t="shared" si="33"/>
        <v>7185148003.999999</v>
      </c>
      <c r="G114" s="28">
        <f t="shared" si="33"/>
        <v>7228784620.0499983</v>
      </c>
      <c r="H114" s="28">
        <f t="shared" si="33"/>
        <v>7270001499.0599995</v>
      </c>
      <c r="I114" s="28">
        <f t="shared" si="33"/>
        <v>7311715892.75</v>
      </c>
      <c r="J114" s="28">
        <f t="shared" si="33"/>
        <v>7318906185.1499987</v>
      </c>
      <c r="K114" s="28">
        <f t="shared" si="33"/>
        <v>7364134626.3799982</v>
      </c>
      <c r="L114" s="28">
        <f t="shared" si="33"/>
        <v>7411818185.0299997</v>
      </c>
      <c r="M114" s="28">
        <f t="shared" si="33"/>
        <v>7441715698.8599987</v>
      </c>
      <c r="N114" s="28">
        <f t="shared" si="33"/>
        <v>7491223499.1899986</v>
      </c>
      <c r="O114" s="28">
        <f t="shared" si="33"/>
        <v>7541734080.9399986</v>
      </c>
      <c r="P114" s="41">
        <f>SUBTOTAL(9,P98:P113)</f>
        <v>7295084051.9070826</v>
      </c>
      <c r="Q114" s="21">
        <f t="shared" si="30"/>
        <v>7316973225.1633329</v>
      </c>
      <c r="R114" s="9">
        <f>+Q114/P114-1</f>
        <v>3.0005374990200728E-3</v>
      </c>
      <c r="T114" s="41">
        <f>SUBTOTAL(9,T98:T113)</f>
        <v>0</v>
      </c>
      <c r="W114" s="41">
        <f>SUBTOTAL(9,W98:W113)</f>
        <v>7295084051.9070826</v>
      </c>
      <c r="X114" s="7"/>
      <c r="Y114" s="7"/>
      <c r="Z114" s="7"/>
      <c r="AA114" s="7"/>
      <c r="AB114" s="7"/>
    </row>
    <row r="115" spans="1:28" s="20" customFormat="1">
      <c r="A115" s="20">
        <f t="shared" si="32"/>
        <v>109</v>
      </c>
      <c r="B115" s="17"/>
      <c r="C115" s="32"/>
      <c r="D115" s="32"/>
      <c r="E115" s="32"/>
      <c r="F115" s="32"/>
      <c r="G115" s="32"/>
      <c r="H115" s="32"/>
      <c r="I115" s="32"/>
      <c r="J115" s="32"/>
      <c r="K115" s="32"/>
      <c r="L115" s="32"/>
      <c r="M115" s="32"/>
      <c r="N115" s="32"/>
      <c r="O115" s="32"/>
      <c r="P115" s="40"/>
      <c r="Q115" s="21"/>
      <c r="R115" s="9"/>
      <c r="W115" s="40"/>
      <c r="X115" s="7"/>
      <c r="Y115" s="7"/>
      <c r="Z115" s="7"/>
      <c r="AA115" s="7"/>
      <c r="AB115" s="7"/>
    </row>
    <row r="116" spans="1:28" s="20" customFormat="1">
      <c r="A116" s="20">
        <f t="shared" si="32"/>
        <v>110</v>
      </c>
      <c r="B116" s="17" t="s">
        <v>61</v>
      </c>
      <c r="C116" s="47"/>
      <c r="D116" s="47"/>
      <c r="E116" s="47"/>
      <c r="F116" s="47"/>
      <c r="G116" s="47"/>
      <c r="H116" s="47"/>
      <c r="I116" s="47"/>
      <c r="J116" s="47"/>
      <c r="K116" s="47"/>
      <c r="L116" s="47"/>
      <c r="M116" s="47"/>
      <c r="N116" s="47"/>
      <c r="O116" s="47"/>
      <c r="P116" s="21"/>
      <c r="Q116" s="21"/>
      <c r="R116" s="9"/>
      <c r="X116" s="7"/>
      <c r="Y116" s="7"/>
      <c r="Z116" s="7"/>
      <c r="AA116" s="7"/>
      <c r="AB116" s="7"/>
    </row>
    <row r="117" spans="1:28" s="20" customFormat="1">
      <c r="A117" s="20">
        <f t="shared" si="32"/>
        <v>111</v>
      </c>
      <c r="B117" s="17" t="s">
        <v>60</v>
      </c>
      <c r="C117" s="28">
        <v>6757741000</v>
      </c>
      <c r="D117" s="28">
        <v>6757741000</v>
      </c>
      <c r="E117" s="28">
        <v>6749741000</v>
      </c>
      <c r="F117" s="28">
        <v>6684741000</v>
      </c>
      <c r="G117" s="28">
        <v>6674055000</v>
      </c>
      <c r="H117" s="28">
        <v>6174055000</v>
      </c>
      <c r="I117" s="28">
        <v>6171055000</v>
      </c>
      <c r="J117" s="28">
        <v>6818055000</v>
      </c>
      <c r="K117" s="28">
        <v>6815055000</v>
      </c>
      <c r="L117" s="28">
        <v>6831180000</v>
      </c>
      <c r="M117" s="28">
        <v>6831180000</v>
      </c>
      <c r="N117" s="28">
        <v>6831180000</v>
      </c>
      <c r="O117" s="28">
        <v>6831180000</v>
      </c>
      <c r="P117" s="21">
        <f>(C117+2*SUM(D117:N117)+O117)/24</f>
        <v>6677708208.333333</v>
      </c>
      <c r="Q117" s="21">
        <f t="shared" ref="Q117:Q123" si="34">AVERAGE(D117:O117)</f>
        <v>6680768166.666667</v>
      </c>
      <c r="R117" s="9">
        <f>+Q117/P117-1</f>
        <v>4.5823480719264786E-4</v>
      </c>
      <c r="W117" s="21">
        <f t="shared" ref="W117:W122" si="35">+P117</f>
        <v>6677708208.333333</v>
      </c>
      <c r="X117" s="7"/>
      <c r="Y117" s="7"/>
      <c r="Z117" s="7"/>
      <c r="AA117" s="7"/>
      <c r="AB117" s="7"/>
    </row>
    <row r="118" spans="1:28" s="20" customFormat="1">
      <c r="A118" s="20">
        <f t="shared" si="32"/>
        <v>112</v>
      </c>
      <c r="B118" s="17" t="s">
        <v>59</v>
      </c>
      <c r="C118" s="28">
        <v>0</v>
      </c>
      <c r="D118" s="28">
        <v>0</v>
      </c>
      <c r="E118" s="28">
        <v>0</v>
      </c>
      <c r="F118" s="28">
        <v>0</v>
      </c>
      <c r="G118" s="28">
        <v>0</v>
      </c>
      <c r="H118" s="28">
        <v>0</v>
      </c>
      <c r="I118" s="28">
        <v>0</v>
      </c>
      <c r="J118" s="28">
        <v>0</v>
      </c>
      <c r="K118" s="28">
        <v>0</v>
      </c>
      <c r="L118" s="28">
        <v>0</v>
      </c>
      <c r="M118" s="28">
        <v>0</v>
      </c>
      <c r="N118" s="28">
        <v>0</v>
      </c>
      <c r="O118" s="28">
        <v>0</v>
      </c>
      <c r="P118" s="21">
        <f>(C118+2*SUM(D118:N118)+O118)/24</f>
        <v>0</v>
      </c>
      <c r="Q118" s="21">
        <f t="shared" si="34"/>
        <v>0</v>
      </c>
      <c r="R118" s="9"/>
      <c r="W118" s="21">
        <f t="shared" si="35"/>
        <v>0</v>
      </c>
      <c r="X118" s="7"/>
      <c r="Y118" s="7"/>
      <c r="Z118" s="7"/>
      <c r="AA118" s="7"/>
      <c r="AB118" s="7"/>
    </row>
    <row r="119" spans="1:28" s="20" customFormat="1">
      <c r="A119" s="20">
        <f t="shared" si="32"/>
        <v>113</v>
      </c>
      <c r="B119" s="17" t="s">
        <v>58</v>
      </c>
      <c r="C119" s="28">
        <v>0</v>
      </c>
      <c r="D119" s="28">
        <v>0</v>
      </c>
      <c r="E119" s="28">
        <v>0</v>
      </c>
      <c r="F119" s="28">
        <v>0</v>
      </c>
      <c r="G119" s="28">
        <v>0</v>
      </c>
      <c r="H119" s="28">
        <v>0</v>
      </c>
      <c r="I119" s="28">
        <v>0</v>
      </c>
      <c r="J119" s="28">
        <v>0</v>
      </c>
      <c r="K119" s="28">
        <v>0</v>
      </c>
      <c r="L119" s="28">
        <v>0</v>
      </c>
      <c r="M119" s="28">
        <v>0</v>
      </c>
      <c r="N119" s="28">
        <v>0</v>
      </c>
      <c r="O119" s="28">
        <v>0</v>
      </c>
      <c r="P119" s="21">
        <f>(C119+2*SUM(D119:N119)+O119)/24</f>
        <v>0</v>
      </c>
      <c r="Q119" s="21">
        <f t="shared" si="34"/>
        <v>0</v>
      </c>
      <c r="R119" s="9"/>
      <c r="W119" s="21">
        <f t="shared" si="35"/>
        <v>0</v>
      </c>
      <c r="X119" s="7"/>
      <c r="Y119" s="7"/>
      <c r="Z119" s="7"/>
      <c r="AA119" s="7"/>
      <c r="AB119" s="7"/>
    </row>
    <row r="120" spans="1:28" s="20" customFormat="1">
      <c r="A120" s="20">
        <f t="shared" si="32"/>
        <v>114</v>
      </c>
      <c r="B120" s="17" t="s">
        <v>57</v>
      </c>
      <c r="C120" s="28">
        <v>0</v>
      </c>
      <c r="D120" s="28">
        <v>0</v>
      </c>
      <c r="E120" s="28">
        <v>0</v>
      </c>
      <c r="F120" s="28">
        <v>0</v>
      </c>
      <c r="G120" s="28">
        <v>0</v>
      </c>
      <c r="H120" s="28">
        <v>0</v>
      </c>
      <c r="I120" s="28">
        <v>0</v>
      </c>
      <c r="J120" s="28">
        <v>0</v>
      </c>
      <c r="K120" s="28">
        <v>0</v>
      </c>
      <c r="L120" s="28">
        <v>0</v>
      </c>
      <c r="M120" s="28">
        <v>0</v>
      </c>
      <c r="N120" s="28">
        <v>0</v>
      </c>
      <c r="O120" s="28">
        <v>0</v>
      </c>
      <c r="P120" s="21">
        <f>(C120+2*SUM(D120:N120)+O120)/24</f>
        <v>0</v>
      </c>
      <c r="Q120" s="21">
        <f t="shared" si="34"/>
        <v>0</v>
      </c>
      <c r="R120" s="9"/>
      <c r="W120" s="21">
        <f t="shared" si="35"/>
        <v>0</v>
      </c>
      <c r="X120" s="7"/>
      <c r="Y120" s="7"/>
      <c r="Z120" s="7"/>
      <c r="AA120" s="7"/>
      <c r="AB120" s="7"/>
    </row>
    <row r="121" spans="1:28" s="20" customFormat="1">
      <c r="A121" s="20">
        <f t="shared" si="32"/>
        <v>115</v>
      </c>
      <c r="B121" s="17" t="s">
        <v>56</v>
      </c>
      <c r="C121" s="28">
        <v>31485.58</v>
      </c>
      <c r="D121" s="28">
        <v>31259.07</v>
      </c>
      <c r="E121" s="28">
        <v>31032.55</v>
      </c>
      <c r="F121" s="28">
        <v>30806.04</v>
      </c>
      <c r="G121" s="28">
        <v>30579.52</v>
      </c>
      <c r="H121" s="28">
        <v>30353.01</v>
      </c>
      <c r="I121" s="28">
        <v>30126.49</v>
      </c>
      <c r="J121" s="28">
        <v>29899.98</v>
      </c>
      <c r="K121" s="28">
        <v>29673.46</v>
      </c>
      <c r="L121" s="28">
        <v>110446.95</v>
      </c>
      <c r="M121" s="28">
        <v>109528.12</v>
      </c>
      <c r="N121" s="28">
        <v>108609.3</v>
      </c>
      <c r="O121" s="28">
        <v>107690.47</v>
      </c>
      <c r="P121" s="21">
        <f>(C121+2*SUM(D121:N121)+O121)/24</f>
        <v>53491.876250000001</v>
      </c>
      <c r="Q121" s="21">
        <f t="shared" si="34"/>
        <v>56667.079999999994</v>
      </c>
      <c r="R121" s="9">
        <f>+Q121/P121-1</f>
        <v>5.9358616159963073E-2</v>
      </c>
      <c r="W121" s="21">
        <f t="shared" si="35"/>
        <v>53491.876250000001</v>
      </c>
      <c r="X121" s="7"/>
      <c r="Y121" s="7"/>
      <c r="Z121" s="7"/>
      <c r="AA121" s="7"/>
      <c r="AB121" s="7"/>
    </row>
    <row r="122" spans="1:28" s="20" customFormat="1">
      <c r="A122" s="20">
        <f t="shared" si="32"/>
        <v>116</v>
      </c>
      <c r="B122" s="17" t="s">
        <v>55</v>
      </c>
      <c r="C122" s="28">
        <v>14596709.640000001</v>
      </c>
      <c r="D122" s="28">
        <v>14504488.890000001</v>
      </c>
      <c r="E122" s="28">
        <v>14412268.15</v>
      </c>
      <c r="F122" s="28">
        <v>14320047.4</v>
      </c>
      <c r="G122" s="28">
        <v>14227826.66</v>
      </c>
      <c r="H122" s="28">
        <v>14150064.25</v>
      </c>
      <c r="I122" s="28">
        <v>14072301.85</v>
      </c>
      <c r="J122" s="28">
        <v>15284231.09</v>
      </c>
      <c r="K122" s="28">
        <v>15201160.35</v>
      </c>
      <c r="L122" s="28">
        <v>14802705.6</v>
      </c>
      <c r="M122" s="28">
        <v>14721746.73</v>
      </c>
      <c r="N122" s="28">
        <v>14640787.869999999</v>
      </c>
      <c r="O122" s="28">
        <v>14559829</v>
      </c>
      <c r="P122" s="21">
        <f>-(C122+2*SUM(D122:N122)+O122)/24</f>
        <v>-14576324.846666664</v>
      </c>
      <c r="Q122" s="21">
        <f t="shared" si="34"/>
        <v>14574788.153333331</v>
      </c>
      <c r="R122" s="9">
        <f>+Q122/P122-1</f>
        <v>-1.9998945760780238</v>
      </c>
      <c r="W122" s="21">
        <f t="shared" si="35"/>
        <v>-14576324.846666664</v>
      </c>
      <c r="X122" s="7"/>
      <c r="Y122" s="7"/>
      <c r="Z122" s="7"/>
      <c r="AA122" s="7"/>
      <c r="AB122" s="7"/>
    </row>
    <row r="123" spans="1:28" s="20" customFormat="1">
      <c r="A123" s="20">
        <f t="shared" si="32"/>
        <v>117</v>
      </c>
      <c r="B123" s="17" t="s">
        <v>54</v>
      </c>
      <c r="C123" s="28">
        <f t="shared" ref="C123:O123" si="36">SUM(C117,C119:C121)-SUM(C118,C122)</f>
        <v>6743175775.9399996</v>
      </c>
      <c r="D123" s="28">
        <f t="shared" si="36"/>
        <v>6743267770.1799994</v>
      </c>
      <c r="E123" s="28">
        <f t="shared" si="36"/>
        <v>6735359764.4000006</v>
      </c>
      <c r="F123" s="28">
        <f t="shared" si="36"/>
        <v>6670451758.6400003</v>
      </c>
      <c r="G123" s="28">
        <f t="shared" si="36"/>
        <v>6659857752.8600006</v>
      </c>
      <c r="H123" s="28">
        <f t="shared" si="36"/>
        <v>6159935288.7600002</v>
      </c>
      <c r="I123" s="28">
        <f t="shared" si="36"/>
        <v>6157012824.6399994</v>
      </c>
      <c r="J123" s="28">
        <f t="shared" si="36"/>
        <v>6802800668.8899994</v>
      </c>
      <c r="K123" s="28">
        <f t="shared" si="36"/>
        <v>6799883513.1099997</v>
      </c>
      <c r="L123" s="28">
        <f t="shared" si="36"/>
        <v>6816487741.3499994</v>
      </c>
      <c r="M123" s="28">
        <f t="shared" si="36"/>
        <v>6816567781.3900003</v>
      </c>
      <c r="N123" s="28">
        <f t="shared" si="36"/>
        <v>6816647821.4300003</v>
      </c>
      <c r="O123" s="28">
        <f t="shared" si="36"/>
        <v>6816727861.4700003</v>
      </c>
      <c r="P123" s="41">
        <f>SUBTOTAL(9,P117:P122)</f>
        <v>6663185375.3629169</v>
      </c>
      <c r="Q123" s="21">
        <f t="shared" si="34"/>
        <v>6666250045.5933332</v>
      </c>
      <c r="R123" s="9">
        <f>+Q123/P123-1</f>
        <v>4.5994071270305525E-4</v>
      </c>
      <c r="T123" s="41">
        <f>SUBTOTAL(9,T117:T122)</f>
        <v>0</v>
      </c>
      <c r="W123" s="41">
        <f>SUBTOTAL(9,W117:W122)</f>
        <v>6663185375.3629169</v>
      </c>
      <c r="X123" s="7"/>
      <c r="Y123" s="7"/>
      <c r="Z123" s="7"/>
      <c r="AA123" s="7"/>
      <c r="AB123" s="7"/>
    </row>
    <row r="124" spans="1:28" s="20" customFormat="1">
      <c r="A124" s="20">
        <f t="shared" si="32"/>
        <v>118</v>
      </c>
      <c r="B124" s="17"/>
      <c r="C124" s="32"/>
      <c r="D124" s="32"/>
      <c r="E124" s="32"/>
      <c r="F124" s="32"/>
      <c r="G124" s="32"/>
      <c r="H124" s="32"/>
      <c r="I124" s="32"/>
      <c r="J124" s="32"/>
      <c r="K124" s="32"/>
      <c r="L124" s="32"/>
      <c r="M124" s="32"/>
      <c r="N124" s="32"/>
      <c r="O124" s="32"/>
      <c r="P124" s="40"/>
      <c r="Q124" s="21"/>
      <c r="R124" s="9"/>
      <c r="W124" s="40"/>
      <c r="X124" s="7"/>
      <c r="Y124" s="7"/>
      <c r="Z124" s="7"/>
      <c r="AA124" s="7"/>
      <c r="AB124" s="7"/>
    </row>
    <row r="125" spans="1:28" s="20" customFormat="1">
      <c r="A125" s="20">
        <f t="shared" si="32"/>
        <v>119</v>
      </c>
      <c r="B125" s="17" t="s">
        <v>53</v>
      </c>
      <c r="C125" s="47"/>
      <c r="D125" s="47"/>
      <c r="E125" s="47"/>
      <c r="F125" s="47"/>
      <c r="G125" s="47"/>
      <c r="H125" s="47"/>
      <c r="I125" s="47"/>
      <c r="J125" s="47"/>
      <c r="K125" s="47"/>
      <c r="L125" s="47"/>
      <c r="M125" s="47"/>
      <c r="N125" s="47"/>
      <c r="O125" s="47"/>
      <c r="P125" s="21"/>
      <c r="Q125" s="21"/>
      <c r="R125" s="9"/>
      <c r="X125" s="7"/>
      <c r="Y125" s="7"/>
      <c r="Z125" s="7"/>
      <c r="AA125" s="7"/>
      <c r="AB125" s="7"/>
    </row>
    <row r="126" spans="1:28" s="20" customFormat="1">
      <c r="A126" s="20">
        <f t="shared" si="32"/>
        <v>120</v>
      </c>
      <c r="B126" s="17" t="s">
        <v>52</v>
      </c>
      <c r="C126" s="28">
        <v>55279101.810000002</v>
      </c>
      <c r="D126" s="28">
        <v>55224369.43</v>
      </c>
      <c r="E126" s="28">
        <v>55168825.109999999</v>
      </c>
      <c r="F126" s="28">
        <v>54941005.439999998</v>
      </c>
      <c r="G126" s="28">
        <v>54036338.119999997</v>
      </c>
      <c r="H126" s="28">
        <v>53970518.43</v>
      </c>
      <c r="I126" s="28">
        <v>53732331.350000001</v>
      </c>
      <c r="J126" s="28">
        <v>53663077.649999999</v>
      </c>
      <c r="K126" s="28">
        <v>53167526.93</v>
      </c>
      <c r="L126" s="28">
        <v>52495953.149999999</v>
      </c>
      <c r="M126" s="28">
        <v>52200262</v>
      </c>
      <c r="N126" s="28">
        <v>51761525.850000001</v>
      </c>
      <c r="O126" s="28">
        <v>51147667.280000001</v>
      </c>
      <c r="P126" s="21">
        <f t="shared" ref="P126:P134" si="37">(C126+2*SUM(D126:N126)+O126)/24</f>
        <v>53631259.833749987</v>
      </c>
      <c r="Q126" s="21">
        <f t="shared" ref="Q126:Q135" si="38">AVERAGE(D126:O126)</f>
        <v>53459116.728333324</v>
      </c>
      <c r="R126" s="9">
        <f>+Q126/P126-1</f>
        <v>-3.2097531542291113E-3</v>
      </c>
      <c r="V126" s="21"/>
      <c r="W126" s="21">
        <f>+P126</f>
        <v>53631259.833749987</v>
      </c>
      <c r="X126" s="7"/>
      <c r="Y126" s="7"/>
      <c r="Z126" s="7"/>
      <c r="AA126" s="7"/>
      <c r="AB126" s="7"/>
    </row>
    <row r="127" spans="1:28" s="20" customFormat="1">
      <c r="A127" s="20">
        <f t="shared" si="32"/>
        <v>121</v>
      </c>
      <c r="B127" s="17" t="s">
        <v>51</v>
      </c>
      <c r="C127" s="28">
        <v>0</v>
      </c>
      <c r="D127" s="28">
        <v>0</v>
      </c>
      <c r="E127" s="28">
        <v>0</v>
      </c>
      <c r="F127" s="28">
        <v>0</v>
      </c>
      <c r="G127" s="28">
        <v>0</v>
      </c>
      <c r="H127" s="28">
        <v>0</v>
      </c>
      <c r="I127" s="28">
        <v>0</v>
      </c>
      <c r="J127" s="28">
        <v>0</v>
      </c>
      <c r="K127" s="28">
        <v>0</v>
      </c>
      <c r="L127" s="28">
        <v>0</v>
      </c>
      <c r="M127" s="28">
        <v>0</v>
      </c>
      <c r="N127" s="28">
        <v>0</v>
      </c>
      <c r="O127" s="28">
        <v>0</v>
      </c>
      <c r="P127" s="21">
        <f t="shared" si="37"/>
        <v>0</v>
      </c>
      <c r="Q127" s="21">
        <f t="shared" si="38"/>
        <v>0</v>
      </c>
      <c r="R127" s="9"/>
      <c r="V127" s="21">
        <f>-P127</f>
        <v>0</v>
      </c>
      <c r="W127" s="21"/>
      <c r="X127" s="7"/>
      <c r="Y127" s="7"/>
      <c r="Z127" s="7"/>
      <c r="AA127" s="7"/>
      <c r="AB127" s="7"/>
    </row>
    <row r="128" spans="1:28" s="20" customFormat="1">
      <c r="A128" s="20">
        <f t="shared" si="32"/>
        <v>122</v>
      </c>
      <c r="B128" s="17" t="s">
        <v>50</v>
      </c>
      <c r="C128" s="28">
        <v>6485000</v>
      </c>
      <c r="D128" s="28">
        <v>7832000</v>
      </c>
      <c r="E128" s="28">
        <v>7790500</v>
      </c>
      <c r="F128" s="28">
        <v>7098500</v>
      </c>
      <c r="G128" s="28">
        <v>7137500</v>
      </c>
      <c r="H128" s="28">
        <v>6238000</v>
      </c>
      <c r="I128" s="28">
        <v>5468000</v>
      </c>
      <c r="J128" s="28">
        <v>4928000</v>
      </c>
      <c r="K128" s="28">
        <v>4787000</v>
      </c>
      <c r="L128" s="28">
        <v>6382000</v>
      </c>
      <c r="M128" s="28">
        <v>6311500</v>
      </c>
      <c r="N128" s="28">
        <v>6306500</v>
      </c>
      <c r="O128" s="28">
        <v>12639000</v>
      </c>
      <c r="P128" s="21">
        <f t="shared" si="37"/>
        <v>6653458.333333333</v>
      </c>
      <c r="Q128" s="21">
        <f t="shared" si="38"/>
        <v>6909875</v>
      </c>
      <c r="R128" s="9">
        <f>+Q128/P128-1</f>
        <v>3.8538855106680092E-2</v>
      </c>
      <c r="T128" s="21"/>
      <c r="U128" s="21"/>
      <c r="V128" s="21">
        <f>-P128</f>
        <v>-6653458.333333333</v>
      </c>
      <c r="W128" s="21"/>
      <c r="X128" s="7">
        <f>+[4]Report!$K$2644</f>
        <v>-455561.04037006554</v>
      </c>
      <c r="Y128" s="7">
        <f>+[4]Report!$J$2644</f>
        <v>-6197897.2929632645</v>
      </c>
      <c r="Z128" s="7">
        <f>-P128-X128-Y128</f>
        <v>0</v>
      </c>
      <c r="AA128" s="7">
        <f>+Z128+Y128+X128</f>
        <v>-6653458.3333333302</v>
      </c>
      <c r="AB128" s="7" t="s">
        <v>49</v>
      </c>
    </row>
    <row r="129" spans="1:28" s="20" customFormat="1">
      <c r="A129" s="20">
        <f t="shared" si="32"/>
        <v>123</v>
      </c>
      <c r="B129" s="17" t="s">
        <v>48</v>
      </c>
      <c r="C129" s="28">
        <f>440039605.66-8605654</f>
        <v>431433951.66000003</v>
      </c>
      <c r="D129" s="28">
        <f>432808214.33-8605606</f>
        <v>424202608.32999998</v>
      </c>
      <c r="E129" s="28">
        <f>424350299.21-8605606</f>
        <v>415744693.20999998</v>
      </c>
      <c r="F129" s="28">
        <f>417673627.48-8109069</f>
        <v>409564558.48000002</v>
      </c>
      <c r="G129" s="28">
        <f>418031960.61-8109069</f>
        <v>409922891.61000001</v>
      </c>
      <c r="H129" s="28">
        <v>412947643.81999999</v>
      </c>
      <c r="I129" s="28">
        <v>580877622.84000003</v>
      </c>
      <c r="J129" s="28">
        <v>580774842.45000005</v>
      </c>
      <c r="K129" s="28">
        <v>575824860.84000003</v>
      </c>
      <c r="L129" s="28">
        <v>567777957.41999996</v>
      </c>
      <c r="M129" s="28">
        <v>561561403.12</v>
      </c>
      <c r="N129" s="28">
        <v>554743819.07000005</v>
      </c>
      <c r="O129" s="28">
        <v>545632591.19000006</v>
      </c>
      <c r="P129" s="21">
        <f t="shared" si="37"/>
        <v>498539681.05124998</v>
      </c>
      <c r="Q129" s="21">
        <f t="shared" si="38"/>
        <v>503297957.69833326</v>
      </c>
      <c r="R129" s="9">
        <f>+Q129/P129-1</f>
        <v>9.5444291155515337E-3</v>
      </c>
      <c r="U129" s="21"/>
      <c r="V129" s="21">
        <f>-P129</f>
        <v>-498539681.05124998</v>
      </c>
      <c r="W129" s="21"/>
      <c r="X129" s="7">
        <f>+[4]Report!$K$2645+[4]Report!$K$2646</f>
        <v>-232739.14412963449</v>
      </c>
      <c r="Y129" s="7">
        <f>+[4]Report!$J$2645+[4]Report!$J$2646</f>
        <v>-3166410.6092036958</v>
      </c>
      <c r="Z129" s="7">
        <f>-P129-X129-Y129</f>
        <v>-495140531.29791665</v>
      </c>
      <c r="AA129" s="7">
        <f>+Z129+X129+Y129</f>
        <v>-498539681.05124998</v>
      </c>
      <c r="AB129" s="7"/>
    </row>
    <row r="130" spans="1:28" s="20" customFormat="1">
      <c r="A130" s="20">
        <f t="shared" si="32"/>
        <v>124</v>
      </c>
      <c r="B130" s="17" t="s">
        <v>47</v>
      </c>
      <c r="C130" s="28">
        <v>38008577.960000001</v>
      </c>
      <c r="D130" s="28">
        <v>38103419.869999997</v>
      </c>
      <c r="E130" s="28">
        <v>37971820.359999999</v>
      </c>
      <c r="F130" s="28">
        <v>37995795.159999996</v>
      </c>
      <c r="G130" s="28">
        <v>38130572.100000001</v>
      </c>
      <c r="H130" s="28">
        <v>38250278.979999997</v>
      </c>
      <c r="I130" s="28">
        <v>38369540.359999999</v>
      </c>
      <c r="J130" s="28">
        <v>37907645.170000002</v>
      </c>
      <c r="K130" s="28">
        <v>38123222.170000002</v>
      </c>
      <c r="L130" s="28">
        <v>38267720.960000001</v>
      </c>
      <c r="M130" s="28">
        <v>38246722.609999999</v>
      </c>
      <c r="N130" s="28">
        <v>38373196.240000002</v>
      </c>
      <c r="O130" s="28">
        <v>38258246.969999999</v>
      </c>
      <c r="P130" s="21">
        <f t="shared" si="37"/>
        <v>38156112.203750007</v>
      </c>
      <c r="Q130" s="21">
        <f t="shared" si="38"/>
        <v>38166515.079166673</v>
      </c>
      <c r="R130" s="9">
        <f>+Q130/P130-1</f>
        <v>2.7263981616143518E-4</v>
      </c>
      <c r="U130" s="21"/>
      <c r="V130" s="21">
        <f>-P130</f>
        <v>-38156112.203750007</v>
      </c>
      <c r="W130" s="21"/>
      <c r="X130" s="7">
        <f>+[4]Report!$K$2653+[4]Report!$K$2656</f>
        <v>-335802.44440276822</v>
      </c>
      <c r="Y130" s="7">
        <f>+[4]Report!$J$2653+[4]Report!$J$2656</f>
        <v>-1148309.5097638918</v>
      </c>
      <c r="Z130" s="7">
        <f>-P130-X130-Y130</f>
        <v>-36672000.249583349</v>
      </c>
      <c r="AA130" s="7">
        <f>+Z130+X130+Y130</f>
        <v>-38156112.203750007</v>
      </c>
      <c r="AB130" s="7"/>
    </row>
    <row r="131" spans="1:28" s="20" customFormat="1">
      <c r="A131" s="20">
        <f t="shared" si="32"/>
        <v>125</v>
      </c>
      <c r="B131" s="17" t="s">
        <v>46</v>
      </c>
      <c r="C131" s="28">
        <v>0</v>
      </c>
      <c r="D131" s="28">
        <v>0</v>
      </c>
      <c r="E131" s="28">
        <v>0</v>
      </c>
      <c r="F131" s="28">
        <v>0</v>
      </c>
      <c r="G131" s="28">
        <v>0</v>
      </c>
      <c r="H131" s="28">
        <v>0</v>
      </c>
      <c r="I131" s="28">
        <v>0</v>
      </c>
      <c r="J131" s="28">
        <v>295320.40000000002</v>
      </c>
      <c r="K131" s="28">
        <v>603043.47</v>
      </c>
      <c r="L131" s="28">
        <v>1034114.64</v>
      </c>
      <c r="M131" s="28">
        <v>1596285.26</v>
      </c>
      <c r="N131" s="28">
        <v>1514157.85</v>
      </c>
      <c r="O131" s="28">
        <v>2070370.49</v>
      </c>
      <c r="P131" s="21">
        <f t="shared" si="37"/>
        <v>506508.9054166667</v>
      </c>
      <c r="Q131" s="21">
        <f t="shared" si="38"/>
        <v>592774.34250000003</v>
      </c>
      <c r="R131" s="9"/>
      <c r="V131" s="21">
        <f>-P131</f>
        <v>-506508.9054166667</v>
      </c>
      <c r="W131" s="21"/>
      <c r="X131" s="7"/>
      <c r="Y131" s="7"/>
      <c r="Z131" s="7">
        <f>-P131-X131-Y131</f>
        <v>-506508.9054166667</v>
      </c>
      <c r="AA131" s="7">
        <f>+Z131+X131+Y131</f>
        <v>-506508.9054166667</v>
      </c>
      <c r="AB131" s="7"/>
    </row>
    <row r="132" spans="1:28" s="20" customFormat="1">
      <c r="A132" s="20">
        <f t="shared" si="32"/>
        <v>126</v>
      </c>
      <c r="B132" s="17" t="s">
        <v>45</v>
      </c>
      <c r="C132" s="28">
        <v>304885084.47000003</v>
      </c>
      <c r="D132" s="28">
        <v>305572526.47000003</v>
      </c>
      <c r="E132" s="28">
        <v>276732229.47000003</v>
      </c>
      <c r="F132" s="28">
        <v>265989975</v>
      </c>
      <c r="G132" s="28">
        <v>234844947</v>
      </c>
      <c r="H132" s="28">
        <v>231435370</v>
      </c>
      <c r="I132" s="28">
        <v>66449954</v>
      </c>
      <c r="J132" s="28">
        <v>66104295</v>
      </c>
      <c r="K132" s="28">
        <v>56996587.560000002</v>
      </c>
      <c r="L132" s="28">
        <v>97761532.900000006</v>
      </c>
      <c r="M132" s="28">
        <v>46504412.530000001</v>
      </c>
      <c r="N132" s="28">
        <v>53823002.57</v>
      </c>
      <c r="O132" s="28">
        <v>48165171.43</v>
      </c>
      <c r="P132" s="21">
        <f t="shared" si="37"/>
        <v>156561663.37083334</v>
      </c>
      <c r="Q132" s="21">
        <f t="shared" si="38"/>
        <v>145865000.32750002</v>
      </c>
      <c r="R132" s="9">
        <f>+Q132/P132-1</f>
        <v>-6.832236457527352E-2</v>
      </c>
      <c r="U132" s="21">
        <f>P132</f>
        <v>156561663.37083334</v>
      </c>
      <c r="W132" s="21"/>
      <c r="X132" s="7"/>
      <c r="Y132" s="7"/>
      <c r="Z132" s="7"/>
      <c r="AA132" s="7"/>
      <c r="AB132" s="7"/>
    </row>
    <row r="133" spans="1:28" s="20" customFormat="1">
      <c r="A133" s="20">
        <f t="shared" si="32"/>
        <v>127</v>
      </c>
      <c r="B133" s="17" t="s">
        <v>44</v>
      </c>
      <c r="C133" s="28">
        <v>0</v>
      </c>
      <c r="D133" s="28">
        <v>0</v>
      </c>
      <c r="E133" s="28">
        <v>0</v>
      </c>
      <c r="F133" s="28">
        <v>0</v>
      </c>
      <c r="G133" s="28">
        <v>0</v>
      </c>
      <c r="H133" s="28">
        <v>0</v>
      </c>
      <c r="I133" s="28">
        <v>0</v>
      </c>
      <c r="J133" s="28">
        <v>0</v>
      </c>
      <c r="K133" s="28">
        <v>0</v>
      </c>
      <c r="L133" s="28">
        <v>0</v>
      </c>
      <c r="M133" s="28">
        <v>0</v>
      </c>
      <c r="N133" s="28">
        <v>0</v>
      </c>
      <c r="O133" s="28">
        <v>0</v>
      </c>
      <c r="P133" s="21">
        <f t="shared" si="37"/>
        <v>0</v>
      </c>
      <c r="Q133" s="21">
        <f t="shared" si="38"/>
        <v>0</v>
      </c>
      <c r="R133" s="9"/>
      <c r="W133" s="21"/>
      <c r="X133" s="7"/>
      <c r="Y133" s="7"/>
      <c r="Z133" s="7"/>
      <c r="AA133" s="7"/>
      <c r="AB133" s="7"/>
    </row>
    <row r="134" spans="1:28" s="20" customFormat="1">
      <c r="A134" s="20">
        <f t="shared" si="32"/>
        <v>128</v>
      </c>
      <c r="B134" s="17" t="s">
        <v>43</v>
      </c>
      <c r="C134" s="28">
        <v>131612876.81</v>
      </c>
      <c r="D134" s="28">
        <v>131645398.25</v>
      </c>
      <c r="E134" s="28">
        <v>131645193.11</v>
      </c>
      <c r="F134" s="28">
        <v>125852740.73999999</v>
      </c>
      <c r="G134" s="28">
        <v>125832556.42</v>
      </c>
      <c r="H134" s="28">
        <v>125803113.87</v>
      </c>
      <c r="I134" s="28">
        <v>123312478.81999999</v>
      </c>
      <c r="J134" s="28">
        <v>123287773.90000001</v>
      </c>
      <c r="K134" s="28">
        <v>123278086.69</v>
      </c>
      <c r="L134" s="28">
        <v>133651626.56999999</v>
      </c>
      <c r="M134" s="28">
        <v>133616731.84</v>
      </c>
      <c r="N134" s="28">
        <v>133621788.91</v>
      </c>
      <c r="O134" s="28">
        <v>127837665</v>
      </c>
      <c r="P134" s="21">
        <f t="shared" si="37"/>
        <v>128439396.66874999</v>
      </c>
      <c r="Q134" s="21">
        <f t="shared" si="38"/>
        <v>128282096.17666666</v>
      </c>
      <c r="R134" s="9">
        <f>+Q134/P134-1</f>
        <v>-1.2247059404133509E-3</v>
      </c>
      <c r="V134" s="21">
        <f>-P134</f>
        <v>-128439396.66874999</v>
      </c>
      <c r="W134" s="21"/>
      <c r="X134" s="7">
        <f>+[4]Report!$K$2604+[4]Report!$K$2605+[4]Report!$K$2606</f>
        <v>0</v>
      </c>
      <c r="Y134" s="7">
        <f>+[4]Report!$J$2604+[4]Report!$J$2605+[4]Report!$J$2606</f>
        <v>-2849851.2324999939</v>
      </c>
      <c r="Z134" s="7">
        <f>-P134-X134-Y134</f>
        <v>-125589545.43625</v>
      </c>
      <c r="AA134" s="7">
        <f>+Z134+X134+Y134</f>
        <v>-128439396.66874999</v>
      </c>
      <c r="AB134" s="7"/>
    </row>
    <row r="135" spans="1:28" s="20" customFormat="1">
      <c r="A135" s="20">
        <f t="shared" si="32"/>
        <v>129</v>
      </c>
      <c r="B135" s="17" t="s">
        <v>42</v>
      </c>
      <c r="C135" s="28">
        <f t="shared" ref="C135:O135" si="39">SUM(C126:C134)</f>
        <v>967704592.71000004</v>
      </c>
      <c r="D135" s="28">
        <f t="shared" si="39"/>
        <v>962580322.35000002</v>
      </c>
      <c r="E135" s="28">
        <f t="shared" si="39"/>
        <v>925053261.26000011</v>
      </c>
      <c r="F135" s="28">
        <f t="shared" si="39"/>
        <v>901442574.82000005</v>
      </c>
      <c r="G135" s="28">
        <f t="shared" si="39"/>
        <v>869904805.25</v>
      </c>
      <c r="H135" s="28">
        <f t="shared" si="39"/>
        <v>868644925.10000002</v>
      </c>
      <c r="I135" s="28">
        <f t="shared" si="39"/>
        <v>868209927.37000012</v>
      </c>
      <c r="J135" s="28">
        <f t="shared" si="39"/>
        <v>866960954.56999993</v>
      </c>
      <c r="K135" s="28">
        <f t="shared" si="39"/>
        <v>852780327.66000009</v>
      </c>
      <c r="L135" s="28">
        <f t="shared" si="39"/>
        <v>897370905.63999987</v>
      </c>
      <c r="M135" s="28">
        <f t="shared" si="39"/>
        <v>840037317.36000001</v>
      </c>
      <c r="N135" s="28">
        <f t="shared" si="39"/>
        <v>840143990.49000013</v>
      </c>
      <c r="O135" s="28">
        <f t="shared" si="39"/>
        <v>825750712.36000001</v>
      </c>
      <c r="P135" s="41">
        <f>SUBTOTAL(9,P126:P134)</f>
        <v>882488080.36708331</v>
      </c>
      <c r="Q135" s="21">
        <f t="shared" si="38"/>
        <v>876573335.35250008</v>
      </c>
      <c r="R135" s="9">
        <f>+Q135/P135-1</f>
        <v>-6.7023511661742363E-3</v>
      </c>
      <c r="S135" s="274"/>
      <c r="T135" s="41">
        <f t="shared" ref="T135:Z135" si="40">SUBTOTAL(9,T126:T134)</f>
        <v>0</v>
      </c>
      <c r="U135" s="41">
        <f t="shared" si="40"/>
        <v>156561663.37083334</v>
      </c>
      <c r="V135" s="41">
        <f t="shared" si="40"/>
        <v>-672295157.1624999</v>
      </c>
      <c r="W135" s="41">
        <f t="shared" si="40"/>
        <v>53631259.833749987</v>
      </c>
      <c r="X135" s="41">
        <f t="shared" si="40"/>
        <v>-1024102.6289024684</v>
      </c>
      <c r="Y135" s="41">
        <f t="shared" si="40"/>
        <v>-13362468.644430846</v>
      </c>
      <c r="Z135" s="41">
        <f t="shared" si="40"/>
        <v>-657908585.88916671</v>
      </c>
      <c r="AA135" s="7"/>
      <c r="AB135" s="7"/>
    </row>
    <row r="136" spans="1:28" s="20" customFormat="1">
      <c r="A136" s="20">
        <f t="shared" ref="A136:A167" si="41">+A135+1</f>
        <v>130</v>
      </c>
      <c r="B136" s="17"/>
      <c r="C136" s="32"/>
      <c r="D136" s="32"/>
      <c r="E136" s="32"/>
      <c r="F136" s="32"/>
      <c r="G136" s="32"/>
      <c r="H136" s="32"/>
      <c r="I136" s="32"/>
      <c r="J136" s="32"/>
      <c r="K136" s="32"/>
      <c r="L136" s="32"/>
      <c r="M136" s="32"/>
      <c r="N136" s="32"/>
      <c r="O136" s="32"/>
      <c r="P136" s="40"/>
      <c r="Q136" s="21"/>
      <c r="R136" s="9"/>
      <c r="S136" s="274"/>
      <c r="U136" s="40"/>
      <c r="V136" s="40"/>
      <c r="W136" s="40"/>
      <c r="X136" s="40"/>
      <c r="Y136" s="40"/>
      <c r="Z136" s="40"/>
      <c r="AA136" s="7"/>
      <c r="AB136" s="7"/>
    </row>
    <row r="137" spans="1:28" s="20" customFormat="1">
      <c r="A137" s="20">
        <f t="shared" si="41"/>
        <v>131</v>
      </c>
      <c r="B137" s="17" t="s">
        <v>41</v>
      </c>
      <c r="C137" s="47"/>
      <c r="D137" s="47"/>
      <c r="E137" s="47"/>
      <c r="F137" s="47"/>
      <c r="G137" s="47"/>
      <c r="H137" s="47"/>
      <c r="I137" s="47"/>
      <c r="J137" s="47"/>
      <c r="K137" s="47"/>
      <c r="L137" s="47"/>
      <c r="M137" s="47"/>
      <c r="N137" s="47"/>
      <c r="O137" s="47"/>
      <c r="P137" s="21"/>
      <c r="Q137" s="21"/>
      <c r="R137" s="9"/>
      <c r="X137" s="7"/>
      <c r="Y137" s="7"/>
      <c r="Z137" s="7"/>
      <c r="AA137" s="7"/>
      <c r="AB137" s="7"/>
    </row>
    <row r="138" spans="1:28" s="20" customFormat="1">
      <c r="A138" s="20">
        <f t="shared" si="41"/>
        <v>132</v>
      </c>
      <c r="B138" s="17" t="s">
        <v>40</v>
      </c>
      <c r="C138" s="28">
        <v>0</v>
      </c>
      <c r="D138" s="28">
        <v>0</v>
      </c>
      <c r="E138" s="28">
        <v>0</v>
      </c>
      <c r="F138" s="28">
        <v>0</v>
      </c>
      <c r="G138" s="28">
        <v>0</v>
      </c>
      <c r="H138" s="28">
        <v>490450000</v>
      </c>
      <c r="I138" s="28">
        <v>688527000</v>
      </c>
      <c r="J138" s="28">
        <v>127000000</v>
      </c>
      <c r="K138" s="28">
        <v>147000000</v>
      </c>
      <c r="L138" s="28">
        <v>0</v>
      </c>
      <c r="M138" s="28">
        <v>0</v>
      </c>
      <c r="N138" s="28">
        <v>0</v>
      </c>
      <c r="O138" s="28">
        <v>0</v>
      </c>
      <c r="P138" s="21">
        <f t="shared" ref="P138:P151" si="42">(C138+2*SUM(D138:N138)+O138)/24</f>
        <v>121081416.66666667</v>
      </c>
      <c r="Q138" s="21">
        <f t="shared" ref="Q138:Q155" si="43">AVERAGE(D138:O138)</f>
        <v>121081416.66666667</v>
      </c>
      <c r="R138" s="9">
        <f>+Q138/P138-1</f>
        <v>0</v>
      </c>
      <c r="U138" s="21"/>
      <c r="W138" s="21">
        <f>+P138</f>
        <v>121081416.66666667</v>
      </c>
      <c r="X138" s="7"/>
      <c r="Y138" s="7"/>
      <c r="Z138" s="7"/>
      <c r="AA138" s="7"/>
      <c r="AB138" s="7"/>
    </row>
    <row r="139" spans="1:28" s="20" customFormat="1">
      <c r="A139" s="20">
        <f t="shared" si="41"/>
        <v>133</v>
      </c>
      <c r="B139" s="17" t="s">
        <v>39</v>
      </c>
      <c r="C139" s="28">
        <f>516820593.08-34956156</f>
        <v>481864437.07999998</v>
      </c>
      <c r="D139" s="28">
        <f>500876986.23-15019830</f>
        <v>485857156.23000002</v>
      </c>
      <c r="E139" s="28">
        <f>518593801.99-14319405</f>
        <v>504274396.99000001</v>
      </c>
      <c r="F139" s="28">
        <f>507407718.77-14742985</f>
        <v>492664733.76999998</v>
      </c>
      <c r="G139" s="28">
        <f>541431841.24-13901260</f>
        <v>527530581.24000001</v>
      </c>
      <c r="H139" s="28">
        <f>608528911.49-15154474</f>
        <v>593374437.49000001</v>
      </c>
      <c r="I139" s="28">
        <v>536085456.56</v>
      </c>
      <c r="J139" s="28">
        <v>467119435.20999998</v>
      </c>
      <c r="K139" s="28">
        <v>455641723.52999997</v>
      </c>
      <c r="L139" s="28">
        <v>459333800.83999997</v>
      </c>
      <c r="M139" s="28">
        <v>485257067.61000001</v>
      </c>
      <c r="N139" s="28">
        <v>467790961.01999998</v>
      </c>
      <c r="O139" s="28">
        <v>496365317.94999999</v>
      </c>
      <c r="P139" s="21">
        <f t="shared" si="42"/>
        <v>497003719.0004167</v>
      </c>
      <c r="Q139" s="21">
        <f t="shared" si="43"/>
        <v>497607922.36999995</v>
      </c>
      <c r="R139" s="9">
        <f>+Q139/P139-1</f>
        <v>1.2156918479371281E-3</v>
      </c>
      <c r="U139" s="21">
        <f>P139</f>
        <v>497003719.0004167</v>
      </c>
      <c r="X139" s="7"/>
      <c r="Y139" s="7"/>
      <c r="Z139" s="7"/>
      <c r="AA139" s="7"/>
      <c r="AB139" s="7"/>
    </row>
    <row r="140" spans="1:28" s="20" customFormat="1">
      <c r="A140" s="20">
        <f t="shared" si="41"/>
        <v>134</v>
      </c>
      <c r="B140" s="17" t="s">
        <v>38</v>
      </c>
      <c r="C140" s="28">
        <f>0+474</f>
        <v>474</v>
      </c>
      <c r="D140" s="28">
        <v>608611</v>
      </c>
      <c r="E140" s="28">
        <v>0</v>
      </c>
      <c r="F140" s="28">
        <v>0</v>
      </c>
      <c r="G140" s="28">
        <v>0</v>
      </c>
      <c r="H140" s="28">
        <v>0</v>
      </c>
      <c r="I140" s="28">
        <v>0</v>
      </c>
      <c r="J140" s="28">
        <v>0</v>
      </c>
      <c r="K140" s="28">
        <v>0</v>
      </c>
      <c r="L140" s="28">
        <v>2824601.92</v>
      </c>
      <c r="M140" s="28">
        <v>6230941.1299999999</v>
      </c>
      <c r="N140" s="28">
        <v>60.57</v>
      </c>
      <c r="O140" s="28">
        <v>0</v>
      </c>
      <c r="P140" s="21">
        <f t="shared" si="42"/>
        <v>805370.96833333338</v>
      </c>
      <c r="Q140" s="21">
        <f t="shared" si="43"/>
        <v>805351.21833333338</v>
      </c>
      <c r="R140" s="9"/>
      <c r="U140" s="21">
        <f>P140</f>
        <v>805370.96833333338</v>
      </c>
      <c r="X140" s="7"/>
      <c r="Y140" s="7"/>
      <c r="Z140" s="7"/>
      <c r="AA140" s="7"/>
      <c r="AB140" s="7"/>
    </row>
    <row r="141" spans="1:28" s="20" customFormat="1">
      <c r="A141" s="20">
        <f t="shared" si="41"/>
        <v>135</v>
      </c>
      <c r="B141" s="17" t="s">
        <v>37</v>
      </c>
      <c r="C141" s="28">
        <f>11642508.35+17665924</f>
        <v>29308432.350000001</v>
      </c>
      <c r="D141" s="28">
        <f>11550566.73+17522120</f>
        <v>29072686.73</v>
      </c>
      <c r="E141" s="28">
        <f>14471844.85+18698375</f>
        <v>33170219.850000001</v>
      </c>
      <c r="F141" s="28">
        <f>16068646.08+18179512</f>
        <v>34248158.079999998</v>
      </c>
      <c r="G141" s="28">
        <f>17124910.22+16195543</f>
        <v>33320453.219999999</v>
      </c>
      <c r="H141" s="28">
        <f>28795237.47+9026064</f>
        <v>37821301.469999999</v>
      </c>
      <c r="I141" s="28">
        <v>56292853.049999997</v>
      </c>
      <c r="J141" s="28">
        <v>43188298.380000003</v>
      </c>
      <c r="K141" s="28">
        <v>47694991.780000001</v>
      </c>
      <c r="L141" s="28">
        <v>43035774.039999999</v>
      </c>
      <c r="M141" s="28">
        <v>34011947.329999998</v>
      </c>
      <c r="N141" s="28">
        <v>41588128.890000001</v>
      </c>
      <c r="O141" s="28">
        <v>42418384.43</v>
      </c>
      <c r="P141" s="21">
        <f t="shared" si="42"/>
        <v>39109018.434166662</v>
      </c>
      <c r="Q141" s="21">
        <f t="shared" si="43"/>
        <v>39655266.437499993</v>
      </c>
      <c r="R141" s="9">
        <f>+Q141/P141-1</f>
        <v>1.396731560146014E-2</v>
      </c>
      <c r="U141" s="21">
        <f>P141</f>
        <v>39109018.434166662</v>
      </c>
      <c r="X141" s="7"/>
      <c r="Y141" s="7"/>
      <c r="Z141" s="7"/>
      <c r="AA141" s="7"/>
      <c r="AB141" s="7"/>
    </row>
    <row r="142" spans="1:28" s="20" customFormat="1">
      <c r="A142" s="20">
        <f t="shared" si="41"/>
        <v>136</v>
      </c>
      <c r="B142" s="17" t="s">
        <v>36</v>
      </c>
      <c r="C142" s="28">
        <v>39824509.030000001</v>
      </c>
      <c r="D142" s="28">
        <v>39582160.539999999</v>
      </c>
      <c r="E142" s="28">
        <v>33199883.780000001</v>
      </c>
      <c r="F142" s="28">
        <v>34065611.759999998</v>
      </c>
      <c r="G142" s="28">
        <v>34487124.149999999</v>
      </c>
      <c r="H142" s="28">
        <v>35532162.280000001</v>
      </c>
      <c r="I142" s="28">
        <v>36226196.130000003</v>
      </c>
      <c r="J142" s="28">
        <v>35766162.469999999</v>
      </c>
      <c r="K142" s="28">
        <v>40437477.060000002</v>
      </c>
      <c r="L142" s="28">
        <v>40369835.450000003</v>
      </c>
      <c r="M142" s="28">
        <v>40493663.700000003</v>
      </c>
      <c r="N142" s="28">
        <v>38801054.170000002</v>
      </c>
      <c r="O142" s="28">
        <v>38942057.060000002</v>
      </c>
      <c r="P142" s="21">
        <f t="shared" si="42"/>
        <v>37362051.21125</v>
      </c>
      <c r="Q142" s="21">
        <f t="shared" si="43"/>
        <v>37325282.379166663</v>
      </c>
      <c r="R142" s="9">
        <f>+Q142/P142-1</f>
        <v>-9.8412241542733536E-4</v>
      </c>
      <c r="U142" s="21"/>
      <c r="V142" s="21">
        <f>-P142</f>
        <v>-37362051.21125</v>
      </c>
      <c r="X142" s="7">
        <f>+[4]Report!$K$2641</f>
        <v>0</v>
      </c>
      <c r="Y142" s="7">
        <f>+V142-X142</f>
        <v>-37362051.21125</v>
      </c>
      <c r="Z142" s="7"/>
      <c r="AA142" s="7">
        <f>+Z142+X142+Y142</f>
        <v>-37362051.21125</v>
      </c>
      <c r="AB142" s="7"/>
    </row>
    <row r="143" spans="1:28" s="20" customFormat="1">
      <c r="A143" s="20">
        <f t="shared" si="41"/>
        <v>137</v>
      </c>
      <c r="B143" s="17" t="s">
        <v>35</v>
      </c>
      <c r="C143" s="28">
        <f>81617797.54-369471</f>
        <v>81248326.540000007</v>
      </c>
      <c r="D143" s="28">
        <f>91234409.65-296325</f>
        <v>90938084.650000006</v>
      </c>
      <c r="E143" s="28">
        <f>95401692.29-231295</f>
        <v>95170397.290000007</v>
      </c>
      <c r="F143" s="28">
        <f>105082128.32-203838</f>
        <v>104878290.31999999</v>
      </c>
      <c r="G143" s="28">
        <f>119120255.66-284474</f>
        <v>118835781.66</v>
      </c>
      <c r="H143" s="28">
        <f>70722676.45-289853</f>
        <v>70432823.450000003</v>
      </c>
      <c r="I143" s="28">
        <v>52714616.009999998</v>
      </c>
      <c r="J143" s="28">
        <v>63058908.640000001</v>
      </c>
      <c r="K143" s="28">
        <v>71691134.200000003</v>
      </c>
      <c r="L143" s="28">
        <v>82362258.150000006</v>
      </c>
      <c r="M143" s="28">
        <v>138745483.88999999</v>
      </c>
      <c r="N143" s="28">
        <v>153964516.59999999</v>
      </c>
      <c r="O143" s="28">
        <v>132284949.61</v>
      </c>
      <c r="P143" s="21">
        <f t="shared" si="42"/>
        <v>95796577.744583353</v>
      </c>
      <c r="Q143" s="21">
        <f t="shared" si="43"/>
        <v>97923103.705833331</v>
      </c>
      <c r="R143" s="9">
        <f>+Q143/P143-1</f>
        <v>2.2198349996591871E-2</v>
      </c>
      <c r="U143" s="21">
        <f t="shared" ref="U143:U149" si="44">P143</f>
        <v>95796577.744583353</v>
      </c>
      <c r="X143" s="7"/>
      <c r="Y143" s="7"/>
      <c r="Z143" s="7"/>
      <c r="AA143" s="7"/>
      <c r="AB143" s="7"/>
    </row>
    <row r="144" spans="1:28" s="20" customFormat="1">
      <c r="A144" s="20">
        <f t="shared" si="41"/>
        <v>138</v>
      </c>
      <c r="B144" s="17" t="s">
        <v>34</v>
      </c>
      <c r="C144" s="28">
        <v>119203634.2</v>
      </c>
      <c r="D144" s="28">
        <v>94126392.680000007</v>
      </c>
      <c r="E144" s="28">
        <v>103156320.31</v>
      </c>
      <c r="F144" s="28">
        <v>117321691.42</v>
      </c>
      <c r="G144" s="28">
        <v>104544853.05</v>
      </c>
      <c r="H144" s="28">
        <v>102756355.98999999</v>
      </c>
      <c r="I144" s="28">
        <v>110248092.42</v>
      </c>
      <c r="J144" s="28">
        <v>82811952.469999999</v>
      </c>
      <c r="K144" s="28">
        <v>91261280.459999993</v>
      </c>
      <c r="L144" s="28">
        <v>99700928.230000004</v>
      </c>
      <c r="M144" s="28">
        <v>85762718.159999996</v>
      </c>
      <c r="N144" s="28">
        <v>103195492.08</v>
      </c>
      <c r="O144" s="28">
        <v>118683899.73999999</v>
      </c>
      <c r="P144" s="21">
        <f t="shared" si="42"/>
        <v>101152487.01999998</v>
      </c>
      <c r="Q144" s="21">
        <f t="shared" si="43"/>
        <v>101130831.4175</v>
      </c>
      <c r="R144" s="9">
        <f>+Q144/P144-1</f>
        <v>-2.1408868074290766E-4</v>
      </c>
      <c r="U144" s="21">
        <f t="shared" si="44"/>
        <v>101152487.01999998</v>
      </c>
      <c r="X144" s="7"/>
      <c r="Y144" s="7"/>
      <c r="Z144" s="7"/>
      <c r="AA144" s="7"/>
      <c r="AB144" s="7"/>
    </row>
    <row r="145" spans="1:28" s="20" customFormat="1">
      <c r="A145" s="20">
        <f t="shared" si="41"/>
        <v>139</v>
      </c>
      <c r="B145" s="17" t="s">
        <v>33</v>
      </c>
      <c r="C145" s="28">
        <v>512461.71</v>
      </c>
      <c r="D145" s="28">
        <v>512461.71</v>
      </c>
      <c r="E145" s="28">
        <v>0</v>
      </c>
      <c r="F145" s="28">
        <v>512461.71</v>
      </c>
      <c r="G145" s="28">
        <v>512461.71</v>
      </c>
      <c r="H145" s="28">
        <v>0</v>
      </c>
      <c r="I145" s="28">
        <v>512461.71</v>
      </c>
      <c r="J145" s="28">
        <v>50512461.710000001</v>
      </c>
      <c r="K145" s="28">
        <v>0</v>
      </c>
      <c r="L145" s="28">
        <v>512461.71</v>
      </c>
      <c r="M145" s="28">
        <v>512461.71</v>
      </c>
      <c r="N145" s="28">
        <v>0</v>
      </c>
      <c r="O145" s="28">
        <v>512461.71</v>
      </c>
      <c r="P145" s="21">
        <f t="shared" si="42"/>
        <v>4508307.8066666666</v>
      </c>
      <c r="Q145" s="21">
        <f t="shared" si="43"/>
        <v>4508307.8066666676</v>
      </c>
      <c r="R145" s="9">
        <f>+Q145/P145-1</f>
        <v>0</v>
      </c>
      <c r="U145" s="21">
        <f t="shared" si="44"/>
        <v>4508307.8066666666</v>
      </c>
      <c r="X145" s="7"/>
      <c r="Y145" s="7"/>
      <c r="Z145" s="7"/>
      <c r="AA145" s="7"/>
      <c r="AB145" s="7"/>
    </row>
    <row r="146" spans="1:28" s="20" customFormat="1">
      <c r="A146" s="20">
        <f t="shared" si="41"/>
        <v>140</v>
      </c>
      <c r="B146" s="17" t="s">
        <v>32</v>
      </c>
      <c r="C146" s="28">
        <v>0</v>
      </c>
      <c r="D146" s="28">
        <v>0</v>
      </c>
      <c r="E146" s="28">
        <v>0</v>
      </c>
      <c r="F146" s="28">
        <v>0</v>
      </c>
      <c r="G146" s="28">
        <v>0</v>
      </c>
      <c r="H146" s="28">
        <v>0</v>
      </c>
      <c r="I146" s="28">
        <v>0</v>
      </c>
      <c r="J146" s="28">
        <v>0</v>
      </c>
      <c r="K146" s="28">
        <v>0</v>
      </c>
      <c r="L146" s="28">
        <v>0</v>
      </c>
      <c r="M146" s="28">
        <v>0</v>
      </c>
      <c r="N146" s="28">
        <v>0</v>
      </c>
      <c r="O146" s="28">
        <v>0</v>
      </c>
      <c r="P146" s="21">
        <f t="shared" si="42"/>
        <v>0</v>
      </c>
      <c r="Q146" s="21">
        <f t="shared" si="43"/>
        <v>0</v>
      </c>
      <c r="R146" s="9"/>
      <c r="U146" s="21">
        <f t="shared" si="44"/>
        <v>0</v>
      </c>
      <c r="X146" s="7"/>
      <c r="Y146" s="7"/>
      <c r="Z146" s="7"/>
      <c r="AA146" s="7"/>
      <c r="AB146" s="7"/>
    </row>
    <row r="147" spans="1:28" s="20" customFormat="1">
      <c r="A147" s="20">
        <f t="shared" si="41"/>
        <v>141</v>
      </c>
      <c r="B147" s="17" t="s">
        <v>31</v>
      </c>
      <c r="C147" s="28">
        <v>0</v>
      </c>
      <c r="D147" s="28">
        <v>0</v>
      </c>
      <c r="E147" s="28">
        <v>0</v>
      </c>
      <c r="F147" s="28">
        <v>0</v>
      </c>
      <c r="G147" s="28">
        <v>0</v>
      </c>
      <c r="H147" s="28">
        <v>0</v>
      </c>
      <c r="I147" s="28">
        <v>0</v>
      </c>
      <c r="J147" s="28">
        <v>0</v>
      </c>
      <c r="K147" s="28">
        <v>0</v>
      </c>
      <c r="L147" s="28">
        <v>0</v>
      </c>
      <c r="M147" s="28">
        <v>0</v>
      </c>
      <c r="N147" s="28">
        <v>0</v>
      </c>
      <c r="O147" s="28">
        <v>0</v>
      </c>
      <c r="P147" s="21">
        <f t="shared" si="42"/>
        <v>0</v>
      </c>
      <c r="Q147" s="21">
        <f t="shared" si="43"/>
        <v>0</v>
      </c>
      <c r="R147" s="9"/>
      <c r="U147" s="21">
        <f t="shared" si="44"/>
        <v>0</v>
      </c>
      <c r="X147" s="7"/>
      <c r="Y147" s="7"/>
      <c r="Z147" s="7"/>
      <c r="AA147" s="7"/>
      <c r="AB147" s="7"/>
    </row>
    <row r="148" spans="1:28" s="20" customFormat="1">
      <c r="A148" s="20">
        <f t="shared" si="41"/>
        <v>142</v>
      </c>
      <c r="B148" s="17" t="s">
        <v>30</v>
      </c>
      <c r="C148" s="28">
        <f>14719750.47-108245</f>
        <v>14611505.470000001</v>
      </c>
      <c r="D148" s="28">
        <f>21845441.69-71312</f>
        <v>21774129.690000001</v>
      </c>
      <c r="E148" s="28">
        <f>18420743.08-121540</f>
        <v>18299203.079999998</v>
      </c>
      <c r="F148" s="28">
        <f>19135579.83-110195</f>
        <v>19025384.829999998</v>
      </c>
      <c r="G148" s="28">
        <f>14610277.28-75121</f>
        <v>14535156.279999999</v>
      </c>
      <c r="H148" s="28">
        <f>14421153.4-92031</f>
        <v>14329122.4</v>
      </c>
      <c r="I148" s="28">
        <v>17536762.48</v>
      </c>
      <c r="J148" s="28">
        <v>16042329.640000001</v>
      </c>
      <c r="K148" s="28">
        <v>15050204.59</v>
      </c>
      <c r="L148" s="28">
        <v>15035674.880000001</v>
      </c>
      <c r="M148" s="28">
        <v>13871574.300000001</v>
      </c>
      <c r="N148" s="28">
        <v>14088392.65</v>
      </c>
      <c r="O148" s="28">
        <v>16723760.449999999</v>
      </c>
      <c r="P148" s="21">
        <f t="shared" si="42"/>
        <v>16271297.315000003</v>
      </c>
      <c r="Q148" s="21">
        <f t="shared" si="43"/>
        <v>16359307.939166667</v>
      </c>
      <c r="R148" s="9">
        <f t="shared" ref="R148:R153" si="45">+Q148/P148-1</f>
        <v>5.4089494195113108E-3</v>
      </c>
      <c r="U148" s="21">
        <f t="shared" si="44"/>
        <v>16271297.315000003</v>
      </c>
      <c r="X148" s="7"/>
      <c r="Y148" s="7"/>
      <c r="Z148" s="7"/>
      <c r="AA148" s="7"/>
      <c r="AB148" s="7"/>
    </row>
    <row r="149" spans="1:28" s="20" customFormat="1">
      <c r="A149" s="20">
        <f t="shared" si="41"/>
        <v>143</v>
      </c>
      <c r="B149" s="17" t="s">
        <v>29</v>
      </c>
      <c r="C149" s="28">
        <f>67710908.53-2496995</f>
        <v>65213913.530000001</v>
      </c>
      <c r="D149" s="28">
        <f>67284894.85-2506883</f>
        <v>64778011.849999994</v>
      </c>
      <c r="E149" s="28">
        <f>63488041.36-2370634</f>
        <v>61117407.359999999</v>
      </c>
      <c r="F149" s="28">
        <f>58095716.95-2358707</f>
        <v>55737009.950000003</v>
      </c>
      <c r="G149" s="28">
        <f>54773437.49-2359626</f>
        <v>52413811.490000002</v>
      </c>
      <c r="H149" s="28">
        <f>54403006.25-2370091</f>
        <v>52032915.25</v>
      </c>
      <c r="I149" s="28">
        <v>78951245.810000002</v>
      </c>
      <c r="J149" s="28">
        <v>81538322.709999993</v>
      </c>
      <c r="K149" s="28">
        <v>69562469.989999995</v>
      </c>
      <c r="L149" s="28">
        <v>68741350.620000005</v>
      </c>
      <c r="M149" s="28">
        <v>68543556.959999993</v>
      </c>
      <c r="N149" s="28">
        <v>67958094.010000005</v>
      </c>
      <c r="O149" s="28">
        <v>67616791.670000002</v>
      </c>
      <c r="P149" s="21">
        <f t="shared" si="42"/>
        <v>65649129.050000004</v>
      </c>
      <c r="Q149" s="21">
        <f t="shared" si="43"/>
        <v>65749248.972499996</v>
      </c>
      <c r="R149" s="9">
        <f t="shared" si="45"/>
        <v>1.5250761731162576E-3</v>
      </c>
      <c r="U149" s="21">
        <f t="shared" si="44"/>
        <v>65649129.050000004</v>
      </c>
      <c r="X149" s="7"/>
      <c r="Y149" s="7"/>
      <c r="Z149" s="7"/>
      <c r="AA149" s="7"/>
      <c r="AB149" s="7"/>
    </row>
    <row r="150" spans="1:28" s="20" customFormat="1">
      <c r="A150" s="20">
        <f t="shared" si="41"/>
        <v>144</v>
      </c>
      <c r="B150" s="17" t="s">
        <v>28</v>
      </c>
      <c r="C150" s="28">
        <v>1286632.18</v>
      </c>
      <c r="D150" s="28">
        <v>1278648.73</v>
      </c>
      <c r="E150" s="28">
        <v>1270611.5</v>
      </c>
      <c r="F150" s="28">
        <v>1262520.1599999999</v>
      </c>
      <c r="G150" s="28">
        <v>2100248.34</v>
      </c>
      <c r="H150" s="28">
        <v>2128082.85</v>
      </c>
      <c r="I150" s="28">
        <v>2156200.56</v>
      </c>
      <c r="J150" s="28">
        <v>2184604.35</v>
      </c>
      <c r="K150" s="28">
        <v>2638642.0099999998</v>
      </c>
      <c r="L150" s="28">
        <v>3096577.72</v>
      </c>
      <c r="M150" s="28">
        <v>3347809.02</v>
      </c>
      <c r="N150" s="28">
        <v>3741380.42</v>
      </c>
      <c r="O150" s="28">
        <v>4131434.35</v>
      </c>
      <c r="P150" s="21">
        <f t="shared" si="42"/>
        <v>2326196.5770833329</v>
      </c>
      <c r="Q150" s="21">
        <f t="shared" si="43"/>
        <v>2444730.000833333</v>
      </c>
      <c r="R150" s="9">
        <f t="shared" si="45"/>
        <v>5.0955892944620107E-2</v>
      </c>
      <c r="U150" s="21"/>
      <c r="V150" s="21"/>
      <c r="W150" s="21">
        <f>+P150</f>
        <v>2326196.5770833329</v>
      </c>
      <c r="X150" s="7"/>
      <c r="Y150" s="7"/>
      <c r="Z150" s="7"/>
      <c r="AA150" s="7"/>
      <c r="AB150" s="7"/>
    </row>
    <row r="151" spans="1:28" s="20" customFormat="1">
      <c r="A151" s="20">
        <f t="shared" si="41"/>
        <v>145</v>
      </c>
      <c r="B151" s="17" t="s">
        <v>27</v>
      </c>
      <c r="C151" s="28">
        <v>378700189.68000001</v>
      </c>
      <c r="D151" s="28">
        <v>388552876.14999998</v>
      </c>
      <c r="E151" s="28">
        <v>360089284.14999998</v>
      </c>
      <c r="F151" s="28">
        <v>378131040</v>
      </c>
      <c r="G151" s="28">
        <v>345158767</v>
      </c>
      <c r="H151" s="28">
        <v>341809031</v>
      </c>
      <c r="I151" s="28">
        <v>156054864</v>
      </c>
      <c r="J151" s="28">
        <v>158391844</v>
      </c>
      <c r="K151" s="28">
        <v>143858301.63999999</v>
      </c>
      <c r="L151" s="28">
        <v>265947143.75999999</v>
      </c>
      <c r="M151" s="28">
        <v>142686546.13</v>
      </c>
      <c r="N151" s="28">
        <v>132338151.11</v>
      </c>
      <c r="O151" s="28">
        <v>119811148.5</v>
      </c>
      <c r="P151" s="21">
        <f t="shared" si="42"/>
        <v>255189459.83583334</v>
      </c>
      <c r="Q151" s="21">
        <f t="shared" si="43"/>
        <v>244402416.45333335</v>
      </c>
      <c r="R151" s="9">
        <f t="shared" si="45"/>
        <v>-4.2270724619423716E-2</v>
      </c>
      <c r="U151" s="21">
        <f>P151</f>
        <v>255189459.83583334</v>
      </c>
      <c r="W151" s="21"/>
      <c r="X151" s="7"/>
      <c r="Y151" s="7"/>
      <c r="Z151" s="7"/>
      <c r="AA151" s="7"/>
      <c r="AB151" s="7"/>
    </row>
    <row r="152" spans="1:28" s="20" customFormat="1">
      <c r="A152" s="20">
        <f t="shared" si="41"/>
        <v>146</v>
      </c>
      <c r="B152" s="17" t="s">
        <v>26</v>
      </c>
      <c r="C152" s="28">
        <v>304885084.47000003</v>
      </c>
      <c r="D152" s="28">
        <v>305572526.47000003</v>
      </c>
      <c r="E152" s="28">
        <v>276732229.47000003</v>
      </c>
      <c r="F152" s="28">
        <v>265989975</v>
      </c>
      <c r="G152" s="28">
        <v>234844947</v>
      </c>
      <c r="H152" s="28">
        <v>231435370</v>
      </c>
      <c r="I152" s="28">
        <v>66449954</v>
      </c>
      <c r="J152" s="28">
        <v>66104295</v>
      </c>
      <c r="K152" s="28">
        <v>56996587.560000002</v>
      </c>
      <c r="L152" s="28">
        <v>97761532.900000006</v>
      </c>
      <c r="M152" s="28">
        <v>46504412.530000001</v>
      </c>
      <c r="N152" s="28">
        <v>53823002.57</v>
      </c>
      <c r="O152" s="28">
        <v>48165171.43</v>
      </c>
      <c r="P152" s="21">
        <f>-(C152+2*SUM(D152:N152)+O152)/24</f>
        <v>-156561663.37083334</v>
      </c>
      <c r="Q152" s="21">
        <f t="shared" si="43"/>
        <v>145865000.32750002</v>
      </c>
      <c r="R152" s="9">
        <f t="shared" si="45"/>
        <v>-1.9316776354247265</v>
      </c>
      <c r="U152" s="21">
        <f>P152</f>
        <v>-156561663.37083334</v>
      </c>
      <c r="W152" s="21"/>
      <c r="X152" s="7"/>
      <c r="Y152" s="7"/>
      <c r="Z152" s="7"/>
      <c r="AA152" s="7"/>
      <c r="AB152" s="7"/>
    </row>
    <row r="153" spans="1:28" s="20" customFormat="1">
      <c r="A153" s="20">
        <f t="shared" si="41"/>
        <v>147</v>
      </c>
      <c r="B153" s="17" t="s">
        <v>25</v>
      </c>
      <c r="C153" s="28">
        <v>0</v>
      </c>
      <c r="D153" s="28">
        <v>0</v>
      </c>
      <c r="E153" s="28">
        <v>0</v>
      </c>
      <c r="F153" s="28">
        <v>0</v>
      </c>
      <c r="G153" s="28">
        <v>0</v>
      </c>
      <c r="H153" s="28">
        <v>0</v>
      </c>
      <c r="I153" s="28">
        <v>0</v>
      </c>
      <c r="J153" s="28">
        <v>0</v>
      </c>
      <c r="K153" s="28">
        <v>0</v>
      </c>
      <c r="L153" s="28">
        <v>0</v>
      </c>
      <c r="M153" s="28">
        <v>0</v>
      </c>
      <c r="N153" s="28">
        <v>0</v>
      </c>
      <c r="O153" s="28">
        <v>0</v>
      </c>
      <c r="P153" s="21">
        <f>(C153+2*SUM(D153:N153)+O153)/24</f>
        <v>0</v>
      </c>
      <c r="Q153" s="21">
        <f t="shared" si="43"/>
        <v>0</v>
      </c>
      <c r="R153" s="9" t="e">
        <f t="shared" si="45"/>
        <v>#DIV/0!</v>
      </c>
      <c r="U153" s="21">
        <f>P153</f>
        <v>0</v>
      </c>
      <c r="W153" s="21"/>
      <c r="X153" s="7"/>
      <c r="Y153" s="7"/>
      <c r="Z153" s="7"/>
      <c r="AA153" s="7"/>
      <c r="AB153" s="7"/>
    </row>
    <row r="154" spans="1:28" s="20" customFormat="1">
      <c r="A154" s="20">
        <f t="shared" si="41"/>
        <v>148</v>
      </c>
      <c r="B154" s="17" t="s">
        <v>24</v>
      </c>
      <c r="C154" s="28">
        <v>0</v>
      </c>
      <c r="D154" s="28">
        <v>0</v>
      </c>
      <c r="E154" s="28">
        <v>0</v>
      </c>
      <c r="F154" s="28">
        <v>0</v>
      </c>
      <c r="G154" s="28">
        <v>0</v>
      </c>
      <c r="H154" s="28">
        <v>0</v>
      </c>
      <c r="I154" s="28">
        <v>0</v>
      </c>
      <c r="J154" s="28">
        <v>0</v>
      </c>
      <c r="K154" s="28">
        <v>0</v>
      </c>
      <c r="L154" s="28">
        <v>0</v>
      </c>
      <c r="M154" s="28">
        <v>0</v>
      </c>
      <c r="N154" s="28">
        <v>0</v>
      </c>
      <c r="O154" s="28">
        <v>0</v>
      </c>
      <c r="P154" s="21">
        <f>-(C154+2*SUM(D154:N154)+O154)/24</f>
        <v>0</v>
      </c>
      <c r="Q154" s="21">
        <f t="shared" si="43"/>
        <v>0</v>
      </c>
      <c r="R154" s="9"/>
      <c r="U154" s="21">
        <f>P154</f>
        <v>0</v>
      </c>
      <c r="X154" s="7"/>
      <c r="Y154" s="7"/>
      <c r="Z154" s="7"/>
      <c r="AA154" s="7"/>
      <c r="AB154" s="7"/>
    </row>
    <row r="155" spans="1:28" s="20" customFormat="1">
      <c r="A155" s="20">
        <f t="shared" si="41"/>
        <v>149</v>
      </c>
      <c r="B155" s="17" t="s">
        <v>23</v>
      </c>
      <c r="C155" s="28">
        <f t="shared" ref="C155:O155" si="46">SUM(C138:C151,C153)-SUM(C152,C154)</f>
        <v>906889431.29999995</v>
      </c>
      <c r="D155" s="28">
        <f t="shared" si="46"/>
        <v>911508693.49000001</v>
      </c>
      <c r="E155" s="28">
        <f t="shared" si="46"/>
        <v>933015494.83999991</v>
      </c>
      <c r="F155" s="28">
        <f t="shared" si="46"/>
        <v>971856927</v>
      </c>
      <c r="G155" s="28">
        <f t="shared" si="46"/>
        <v>998594291.13999987</v>
      </c>
      <c r="H155" s="28">
        <f t="shared" si="46"/>
        <v>1509230862.1800001</v>
      </c>
      <c r="I155" s="28">
        <f t="shared" si="46"/>
        <v>1668855794.73</v>
      </c>
      <c r="J155" s="28">
        <f t="shared" si="46"/>
        <v>1061510024.5800002</v>
      </c>
      <c r="K155" s="28">
        <f t="shared" si="46"/>
        <v>1027839637.7</v>
      </c>
      <c r="L155" s="28">
        <f t="shared" si="46"/>
        <v>983198874.4200002</v>
      </c>
      <c r="M155" s="28">
        <f t="shared" si="46"/>
        <v>972959357.40999997</v>
      </c>
      <c r="N155" s="28">
        <f t="shared" si="46"/>
        <v>969643228.94999993</v>
      </c>
      <c r="O155" s="28">
        <f t="shared" si="46"/>
        <v>989325034.0400002</v>
      </c>
      <c r="P155" s="283">
        <f>SUBTOTAL(9,P138:P154)</f>
        <v>1079693368.2591667</v>
      </c>
      <c r="Q155" s="21">
        <f t="shared" si="43"/>
        <v>1083128185.0400002</v>
      </c>
      <c r="R155" s="9">
        <f>+Q155/P155-1</f>
        <v>3.1812891343137029E-3</v>
      </c>
      <c r="T155" s="283">
        <f>SUBTOTAL(9,T138:T154)</f>
        <v>0</v>
      </c>
      <c r="U155" s="283">
        <f>SUBTOTAL(9,U138:U154)</f>
        <v>918923703.80416656</v>
      </c>
      <c r="X155" s="7"/>
      <c r="Y155" s="7"/>
      <c r="Z155" s="7"/>
      <c r="AA155" s="7"/>
      <c r="AB155" s="7"/>
    </row>
    <row r="156" spans="1:28" s="20" customFormat="1">
      <c r="A156" s="20">
        <f t="shared" si="41"/>
        <v>150</v>
      </c>
      <c r="B156" s="17"/>
      <c r="C156" s="32"/>
      <c r="D156" s="32"/>
      <c r="E156" s="32"/>
      <c r="F156" s="32"/>
      <c r="G156" s="32"/>
      <c r="H156" s="32"/>
      <c r="I156" s="32"/>
      <c r="J156" s="32"/>
      <c r="K156" s="32"/>
      <c r="L156" s="32"/>
      <c r="M156" s="32"/>
      <c r="N156" s="32"/>
      <c r="O156" s="32"/>
      <c r="P156" s="284"/>
      <c r="Q156" s="21"/>
      <c r="R156" s="9"/>
      <c r="U156" s="284"/>
      <c r="X156" s="7"/>
      <c r="Y156" s="7"/>
      <c r="Z156" s="7"/>
      <c r="AA156" s="7"/>
      <c r="AB156" s="7"/>
    </row>
    <row r="157" spans="1:28" s="20" customFormat="1">
      <c r="A157" s="20">
        <f t="shared" si="41"/>
        <v>151</v>
      </c>
      <c r="B157" s="17" t="s">
        <v>22</v>
      </c>
      <c r="C157" s="47"/>
      <c r="D157" s="47"/>
      <c r="E157" s="47"/>
      <c r="F157" s="47"/>
      <c r="G157" s="47"/>
      <c r="H157" s="47"/>
      <c r="I157" s="47"/>
      <c r="J157" s="47"/>
      <c r="K157" s="47"/>
      <c r="L157" s="47"/>
      <c r="M157" s="47"/>
      <c r="N157" s="47"/>
      <c r="O157" s="47"/>
      <c r="P157" s="21"/>
      <c r="Q157" s="21"/>
      <c r="R157" s="9"/>
      <c r="X157" s="7"/>
      <c r="Y157" s="7"/>
      <c r="Z157" s="7"/>
      <c r="AA157" s="7"/>
      <c r="AB157" s="7"/>
    </row>
    <row r="158" spans="1:28" s="20" customFormat="1">
      <c r="A158" s="20">
        <f t="shared" si="41"/>
        <v>152</v>
      </c>
      <c r="B158" s="17" t="s">
        <v>20</v>
      </c>
      <c r="C158" s="28">
        <v>27809966.640000001</v>
      </c>
      <c r="D158" s="28">
        <v>27958733.100000001</v>
      </c>
      <c r="E158" s="28">
        <v>26515703.879999999</v>
      </c>
      <c r="F158" s="28">
        <v>27050674.66</v>
      </c>
      <c r="G158" s="28">
        <v>25924628.559999999</v>
      </c>
      <c r="H158" s="28">
        <v>26187271.789999999</v>
      </c>
      <c r="I158" s="28">
        <v>25692158.239999998</v>
      </c>
      <c r="J158" s="28">
        <v>25402299.73</v>
      </c>
      <c r="K158" s="28">
        <v>20186739.16</v>
      </c>
      <c r="L158" s="28">
        <v>20855939.579999998</v>
      </c>
      <c r="M158" s="28">
        <v>22512172.539999999</v>
      </c>
      <c r="N158" s="28">
        <v>22239003.18</v>
      </c>
      <c r="O158" s="28">
        <v>22818857.190000001</v>
      </c>
      <c r="P158" s="21">
        <f t="shared" ref="P158:P166" si="47">(C158+2*SUM(D158:N158)+O158)/24</f>
        <v>24653311.361249998</v>
      </c>
      <c r="Q158" s="21">
        <f t="shared" ref="Q158:Q167" si="48">AVERAGE(D158:O158)</f>
        <v>24445348.467499997</v>
      </c>
      <c r="R158" s="9">
        <f>+Q158/P158-1</f>
        <v>-8.4354953662280074E-3</v>
      </c>
      <c r="V158" s="21">
        <f>-P158</f>
        <v>-24653311.361249998</v>
      </c>
      <c r="W158" s="21"/>
      <c r="X158" s="7">
        <f>+[4]Report!$K$2669</f>
        <v>15641.902326607649</v>
      </c>
      <c r="Y158" s="7">
        <f>+[4]Report!$J$2669</f>
        <v>-24686014.456909936</v>
      </c>
      <c r="Z158" s="7">
        <f>-P158-X158-Y158</f>
        <v>17061.193333331496</v>
      </c>
      <c r="AA158" s="7">
        <f>+Z158+X158+Y158</f>
        <v>-24653311.361249998</v>
      </c>
      <c r="AB158" s="7"/>
    </row>
    <row r="159" spans="1:28" s="20" customFormat="1">
      <c r="A159" s="20">
        <f t="shared" si="41"/>
        <v>153</v>
      </c>
      <c r="B159" s="17" t="s">
        <v>19</v>
      </c>
      <c r="C159" s="28">
        <v>39979696</v>
      </c>
      <c r="D159" s="28">
        <v>39979696</v>
      </c>
      <c r="E159" s="28">
        <v>39979696</v>
      </c>
      <c r="F159" s="28">
        <v>38994830</v>
      </c>
      <c r="G159" s="28">
        <v>38994830</v>
      </c>
      <c r="H159" s="28">
        <v>38994830</v>
      </c>
      <c r="I159" s="28">
        <v>38010268</v>
      </c>
      <c r="J159" s="28">
        <v>38010268</v>
      </c>
      <c r="K159" s="28">
        <v>38010268</v>
      </c>
      <c r="L159" s="28">
        <v>36937789</v>
      </c>
      <c r="M159" s="28">
        <v>36937789</v>
      </c>
      <c r="N159" s="28">
        <v>36937789</v>
      </c>
      <c r="O159" s="28">
        <v>36068837</v>
      </c>
      <c r="P159" s="21">
        <f t="shared" si="47"/>
        <v>38317693.291666664</v>
      </c>
      <c r="Q159" s="21">
        <f t="shared" si="48"/>
        <v>38154740.833333336</v>
      </c>
      <c r="R159" s="9">
        <f>+Q159/P159-1</f>
        <v>-4.2526687891404347E-3</v>
      </c>
      <c r="V159" s="21">
        <f>-P159</f>
        <v>-38317693.291666664</v>
      </c>
      <c r="W159" s="21"/>
      <c r="X159" s="7">
        <f>+[4]Report!$K$2757</f>
        <v>-546502.70866400003</v>
      </c>
      <c r="Y159" s="7">
        <f>+[4]Report!$J$2757</f>
        <v>-3634189.791336</v>
      </c>
      <c r="Z159" s="7">
        <f>-P159-X159-Y159</f>
        <v>-34137000.791666664</v>
      </c>
      <c r="AA159" s="7">
        <f>+Z159+X159+Y159</f>
        <v>-38317693.291666664</v>
      </c>
      <c r="AB159" s="7"/>
    </row>
    <row r="160" spans="1:28" s="20" customFormat="1">
      <c r="A160" s="20">
        <f t="shared" si="41"/>
        <v>154</v>
      </c>
      <c r="B160" s="17" t="s">
        <v>18</v>
      </c>
      <c r="C160" s="28">
        <v>0</v>
      </c>
      <c r="D160" s="28">
        <v>0</v>
      </c>
      <c r="E160" s="28">
        <v>0</v>
      </c>
      <c r="F160" s="28">
        <v>0</v>
      </c>
      <c r="G160" s="28">
        <v>0</v>
      </c>
      <c r="H160" s="28">
        <v>0</v>
      </c>
      <c r="I160" s="28">
        <v>0</v>
      </c>
      <c r="J160" s="28">
        <v>0</v>
      </c>
      <c r="K160" s="28">
        <v>0</v>
      </c>
      <c r="L160" s="28">
        <v>0</v>
      </c>
      <c r="M160" s="28">
        <v>0</v>
      </c>
      <c r="N160" s="28">
        <v>0</v>
      </c>
      <c r="O160" s="28">
        <v>0</v>
      </c>
      <c r="P160" s="21">
        <f t="shared" si="47"/>
        <v>0</v>
      </c>
      <c r="Q160" s="21">
        <f t="shared" si="48"/>
        <v>0</v>
      </c>
      <c r="R160" s="9"/>
      <c r="V160" s="21">
        <f>-P160</f>
        <v>0</v>
      </c>
      <c r="W160" s="21"/>
      <c r="X160" s="7"/>
      <c r="Y160" s="7"/>
      <c r="Z160" s="7"/>
      <c r="AA160" s="7">
        <f>+Z160+X160+Y160</f>
        <v>0</v>
      </c>
      <c r="AB160" s="7"/>
    </row>
    <row r="161" spans="1:28" s="20" customFormat="1">
      <c r="A161" s="20">
        <f t="shared" si="41"/>
        <v>155</v>
      </c>
      <c r="B161" s="17" t="s">
        <v>17</v>
      </c>
      <c r="C161" s="28">
        <f>72664189.67-5006303</f>
        <v>67657886.670000002</v>
      </c>
      <c r="D161" s="28">
        <f>74774765.4-5006303</f>
        <v>69768462.400000006</v>
      </c>
      <c r="E161" s="28">
        <f>72847484.07-5006303</f>
        <v>67841181.069999993</v>
      </c>
      <c r="F161" s="28">
        <f>71994378.32-5006303</f>
        <v>66988075.319999993</v>
      </c>
      <c r="G161" s="28">
        <f>72885966.49-5006303</f>
        <v>67879663.489999995</v>
      </c>
      <c r="H161" s="28">
        <f>71837293.65-5006303</f>
        <v>66830990.650000006</v>
      </c>
      <c r="I161" s="28">
        <v>220954062.56999999</v>
      </c>
      <c r="J161" s="28">
        <v>220206361.68000001</v>
      </c>
      <c r="K161" s="28">
        <v>226114133.40000001</v>
      </c>
      <c r="L161" s="28">
        <v>234018261.81999999</v>
      </c>
      <c r="M161" s="28">
        <v>232765734.09</v>
      </c>
      <c r="N161" s="28">
        <v>231762825.25</v>
      </c>
      <c r="O161" s="28">
        <v>250531478.09</v>
      </c>
      <c r="P161" s="21">
        <f t="shared" si="47"/>
        <v>155352036.17666668</v>
      </c>
      <c r="Q161" s="21">
        <f t="shared" si="48"/>
        <v>162971769.1525</v>
      </c>
      <c r="R161" s="9">
        <f>+Q161/P161-1</f>
        <v>4.9048169327939428E-2</v>
      </c>
      <c r="V161" s="21">
        <f>-P161</f>
        <v>-155352036.17666668</v>
      </c>
      <c r="W161" s="21"/>
      <c r="X161" s="7">
        <f>[4]Report!$K$2601+[4]Report!$K$2602+[4]Report!$K$2603+[4]Report!$K$2673+[4]Report!$K$2685</f>
        <v>-1162664.7540042615</v>
      </c>
      <c r="Y161" s="7">
        <f>+[4]Report!$J$2600+[4]Report!$J$2601+[4]Report!$J$2602+[4]Report!$J$2603+[4]Report!$J$2673+[4]Report!$J$2685</f>
        <v>-18760144.037662402</v>
      </c>
      <c r="Z161" s="7">
        <f>-P161-X161-Y161</f>
        <v>-135429227.38499999</v>
      </c>
      <c r="AA161" s="7">
        <f>+Z161+X161+Y161</f>
        <v>-155352036.17666668</v>
      </c>
      <c r="AB161" s="7"/>
    </row>
    <row r="162" spans="1:28" s="20" customFormat="1">
      <c r="A162" s="20">
        <f t="shared" si="41"/>
        <v>156</v>
      </c>
      <c r="B162" s="17" t="s">
        <v>16</v>
      </c>
      <c r="C162" s="28">
        <v>65701126.619999997</v>
      </c>
      <c r="D162" s="28">
        <v>108751573.45</v>
      </c>
      <c r="E162" s="28">
        <v>106841696.05</v>
      </c>
      <c r="F162" s="28">
        <v>113687503.95</v>
      </c>
      <c r="G162" s="28">
        <v>113609585.25</v>
      </c>
      <c r="H162" s="28">
        <v>109967135.13</v>
      </c>
      <c r="I162" s="28">
        <v>111258518.58</v>
      </c>
      <c r="J162" s="28">
        <v>108772531.28</v>
      </c>
      <c r="K162" s="28">
        <v>109497473.36</v>
      </c>
      <c r="L162" s="28">
        <v>104231679.76000001</v>
      </c>
      <c r="M162" s="28">
        <v>102056008.28</v>
      </c>
      <c r="N162" s="28">
        <v>99070840</v>
      </c>
      <c r="O162" s="28">
        <v>95416723.430000007</v>
      </c>
      <c r="P162" s="21">
        <f t="shared" si="47"/>
        <v>105691955.84291665</v>
      </c>
      <c r="Q162" s="21">
        <f t="shared" si="48"/>
        <v>106930105.70999999</v>
      </c>
      <c r="R162" s="9">
        <f>+Q162/P162-1</f>
        <v>1.1714702951694189E-2</v>
      </c>
      <c r="V162" s="21">
        <f>-P162</f>
        <v>-105691955.84291665</v>
      </c>
      <c r="W162" s="21"/>
      <c r="X162" s="7">
        <f>+[4]Report!$K$2608+[4]Report!$K$2609+[4]Report!$K$2610+[4]Report!$K$2611+[4]Report!$K$2647+[4]Report!$K$2657+[4]Report!$K$2658+[4]Report!$K$2659+[4]Report!$K$2660</f>
        <v>-758778.88105654984</v>
      </c>
      <c r="Y162" s="7">
        <f>+[4]Report!$J$2608+[4]Report!$J$2609+[4]Report!$J$2610+[4]Report!$J$2611+[4]Report!$J$2647+[4]Report!$J$2657+[4]Report!$J$2658+[4]Report!$J$2659+[4]Report!$J$2660</f>
        <v>-46007483.901026793</v>
      </c>
      <c r="Z162" s="7">
        <f>-P162-X162-Y162</f>
        <v>-58925693.060833313</v>
      </c>
      <c r="AA162" s="7">
        <f>+Z162+X162+Y162</f>
        <v>-105691955.84291665</v>
      </c>
      <c r="AB162" s="7"/>
    </row>
    <row r="163" spans="1:28" s="20" customFormat="1">
      <c r="A163" s="20">
        <f t="shared" si="41"/>
        <v>157</v>
      </c>
      <c r="B163" s="17" t="s">
        <v>15</v>
      </c>
      <c r="C163" s="28">
        <v>0</v>
      </c>
      <c r="D163" s="28">
        <v>0</v>
      </c>
      <c r="E163" s="28">
        <v>0</v>
      </c>
      <c r="F163" s="28">
        <v>0</v>
      </c>
      <c r="G163" s="28">
        <v>0</v>
      </c>
      <c r="H163" s="28">
        <v>0</v>
      </c>
      <c r="I163" s="28">
        <v>0</v>
      </c>
      <c r="J163" s="28">
        <v>0</v>
      </c>
      <c r="K163" s="28">
        <v>0</v>
      </c>
      <c r="L163" s="28">
        <v>0</v>
      </c>
      <c r="M163" s="28">
        <v>0</v>
      </c>
      <c r="N163" s="28">
        <v>0</v>
      </c>
      <c r="O163" s="28">
        <v>0</v>
      </c>
      <c r="P163" s="21">
        <f t="shared" si="47"/>
        <v>0</v>
      </c>
      <c r="Q163" s="21">
        <f t="shared" si="48"/>
        <v>0</v>
      </c>
      <c r="R163" s="9"/>
      <c r="W163" s="21">
        <f>+P163</f>
        <v>0</v>
      </c>
      <c r="X163" s="7"/>
      <c r="Y163" s="7"/>
      <c r="Z163" s="7"/>
      <c r="AA163" s="7"/>
      <c r="AB163" s="7"/>
    </row>
    <row r="164" spans="1:28" s="20" customFormat="1">
      <c r="A164" s="20">
        <f t="shared" si="41"/>
        <v>158</v>
      </c>
      <c r="B164" s="17" t="s">
        <v>14</v>
      </c>
      <c r="C164" s="28">
        <v>121387549</v>
      </c>
      <c r="D164" s="28">
        <v>121387549</v>
      </c>
      <c r="E164" s="28">
        <v>121387549</v>
      </c>
      <c r="F164" s="28">
        <v>124263793</v>
      </c>
      <c r="G164" s="28">
        <v>124263793</v>
      </c>
      <c r="H164" s="28">
        <v>124263793</v>
      </c>
      <c r="I164" s="28">
        <v>164676925</v>
      </c>
      <c r="J164" s="28">
        <v>164676925</v>
      </c>
      <c r="K164" s="28">
        <v>164676925</v>
      </c>
      <c r="L164" s="28">
        <v>176915013</v>
      </c>
      <c r="M164" s="28">
        <v>176915013</v>
      </c>
      <c r="N164" s="28">
        <v>176915013</v>
      </c>
      <c r="O164" s="28">
        <v>178288826</v>
      </c>
      <c r="P164" s="21">
        <f t="shared" si="47"/>
        <v>149181706.54166666</v>
      </c>
      <c r="Q164" s="21">
        <f t="shared" si="48"/>
        <v>151552593.08333334</v>
      </c>
      <c r="R164" s="9"/>
      <c r="V164" s="21">
        <f>-P164</f>
        <v>-149181706.54166666</v>
      </c>
      <c r="W164" s="21"/>
      <c r="X164" s="7">
        <f>+[4]Report!$K$2712</f>
        <v>-11999275.622084361</v>
      </c>
      <c r="Y164" s="7">
        <f>+[4]Report!$J$2712</f>
        <v>-137182430.91958165</v>
      </c>
      <c r="Z164" s="7">
        <f>-P164-X164-Y164</f>
        <v>-6.5565109252929688E-7</v>
      </c>
      <c r="AA164" s="7">
        <f>+Z164+X164+Y164</f>
        <v>-149181706.54166666</v>
      </c>
      <c r="AB164" s="7"/>
    </row>
    <row r="165" spans="1:28" s="20" customFormat="1">
      <c r="A165" s="20">
        <f t="shared" si="41"/>
        <v>159</v>
      </c>
      <c r="B165" s="17" t="s">
        <v>13</v>
      </c>
      <c r="C165" s="28">
        <v>3320044435</v>
      </c>
      <c r="D165" s="28">
        <v>3320044435</v>
      </c>
      <c r="E165" s="28">
        <v>3320044435</v>
      </c>
      <c r="F165" s="28">
        <v>3459215369</v>
      </c>
      <c r="G165" s="28">
        <v>3459215369</v>
      </c>
      <c r="H165" s="28">
        <v>3459215369</v>
      </c>
      <c r="I165" s="28">
        <v>3505053651</v>
      </c>
      <c r="J165" s="28">
        <v>3505053651</v>
      </c>
      <c r="K165" s="28">
        <v>3505053651</v>
      </c>
      <c r="L165" s="28">
        <v>3569466508</v>
      </c>
      <c r="M165" s="28">
        <v>3569466508</v>
      </c>
      <c r="N165" s="28">
        <v>3569466508</v>
      </c>
      <c r="O165" s="28">
        <v>3656020881</v>
      </c>
      <c r="P165" s="21">
        <f t="shared" si="47"/>
        <v>3477444009.3333335</v>
      </c>
      <c r="Q165" s="21">
        <f t="shared" si="48"/>
        <v>3491443027.9166665</v>
      </c>
      <c r="R165" s="9">
        <f>+Q165/P165-1</f>
        <v>4.0256632589223962E-3</v>
      </c>
      <c r="V165" s="21">
        <f>-P165</f>
        <v>-3477444009.3333335</v>
      </c>
      <c r="W165" s="21"/>
      <c r="X165" s="7">
        <f>+[4]Report!$K$2727</f>
        <v>-195201077.47738743</v>
      </c>
      <c r="Y165" s="7">
        <f>+[4]Report!$J$2727</f>
        <v>-2977434322.3142791</v>
      </c>
      <c r="Z165" s="7">
        <f>-P165-X165-Y165</f>
        <v>-304808609.54166698</v>
      </c>
      <c r="AA165" s="7">
        <f>+Z165+X165+Y165</f>
        <v>-3477444009.3333335</v>
      </c>
      <c r="AB165" s="7"/>
    </row>
    <row r="166" spans="1:28" s="20" customFormat="1">
      <c r="A166" s="20">
        <f t="shared" si="41"/>
        <v>160</v>
      </c>
      <c r="B166" s="17" t="s">
        <v>12</v>
      </c>
      <c r="C166" s="28">
        <v>676562701.94000006</v>
      </c>
      <c r="D166" s="28">
        <v>676562701.94000006</v>
      </c>
      <c r="E166" s="28">
        <v>676562701.94000006</v>
      </c>
      <c r="F166" s="28">
        <v>676503404.94000006</v>
      </c>
      <c r="G166" s="28">
        <v>676503404.94000006</v>
      </c>
      <c r="H166" s="28">
        <v>676503404.94000006</v>
      </c>
      <c r="I166" s="28">
        <v>746721739.78999996</v>
      </c>
      <c r="J166" s="28">
        <v>746721739.78999996</v>
      </c>
      <c r="K166" s="28">
        <v>746721739.78999996</v>
      </c>
      <c r="L166" s="28">
        <v>753949565.78999996</v>
      </c>
      <c r="M166" s="28">
        <v>753949565.78999996</v>
      </c>
      <c r="N166" s="28">
        <v>753949565.78999996</v>
      </c>
      <c r="O166" s="28">
        <v>728380439.78999996</v>
      </c>
      <c r="P166" s="21">
        <f t="shared" si="47"/>
        <v>715593425.52541673</v>
      </c>
      <c r="Q166" s="21">
        <f t="shared" si="48"/>
        <v>717752497.93583333</v>
      </c>
      <c r="R166" s="9">
        <f>+Q166/P166-1</f>
        <v>3.0171775388116995E-3</v>
      </c>
      <c r="V166" s="21">
        <f>-P166</f>
        <v>-715593425.52541673</v>
      </c>
      <c r="W166" s="21"/>
      <c r="X166" s="7">
        <f>+[4]Report!$K$2745</f>
        <v>-7603672.7816935303</v>
      </c>
      <c r="Y166" s="7">
        <f>+[4]Report!$J$2745</f>
        <v>-95547325.74372305</v>
      </c>
      <c r="Z166" s="7">
        <f>-P166-X166-Y166</f>
        <v>-612442427.00000012</v>
      </c>
      <c r="AA166" s="7">
        <f>+Z166+X166+Y166</f>
        <v>-715593425.52541673</v>
      </c>
      <c r="AB166" s="7"/>
    </row>
    <row r="167" spans="1:28" s="20" customFormat="1">
      <c r="A167" s="20">
        <f t="shared" si="41"/>
        <v>161</v>
      </c>
      <c r="B167" s="17" t="s">
        <v>11</v>
      </c>
      <c r="C167" s="28">
        <f t="shared" ref="C167:O167" si="49">SUM(C158:C166)</f>
        <v>4319143361.8699999</v>
      </c>
      <c r="D167" s="28">
        <f t="shared" si="49"/>
        <v>4364453150.8899994</v>
      </c>
      <c r="E167" s="28">
        <f t="shared" si="49"/>
        <v>4359172962.9400005</v>
      </c>
      <c r="F167" s="28">
        <f t="shared" si="49"/>
        <v>4506703650.8699999</v>
      </c>
      <c r="G167" s="28">
        <f t="shared" si="49"/>
        <v>4506391274.2399998</v>
      </c>
      <c r="H167" s="28">
        <f t="shared" si="49"/>
        <v>4501962794.5100002</v>
      </c>
      <c r="I167" s="28">
        <f t="shared" si="49"/>
        <v>4812367323.1800003</v>
      </c>
      <c r="J167" s="28">
        <f t="shared" si="49"/>
        <v>4808843776.4799995</v>
      </c>
      <c r="K167" s="28">
        <f t="shared" si="49"/>
        <v>4810260929.71</v>
      </c>
      <c r="L167" s="28">
        <f t="shared" si="49"/>
        <v>4896374756.9499998</v>
      </c>
      <c r="M167" s="28">
        <f t="shared" si="49"/>
        <v>4894602790.6999998</v>
      </c>
      <c r="N167" s="28">
        <f t="shared" si="49"/>
        <v>4890341544.2200003</v>
      </c>
      <c r="O167" s="28">
        <f t="shared" si="49"/>
        <v>4967526042.5</v>
      </c>
      <c r="P167" s="41">
        <f>SUBTOTAL(9,P158:P166)</f>
        <v>4666234138.072917</v>
      </c>
      <c r="Q167" s="21">
        <f t="shared" si="48"/>
        <v>4693250083.0991669</v>
      </c>
      <c r="R167" s="9">
        <f>+Q167/P167-1</f>
        <v>5.7896676906588063E-3</v>
      </c>
      <c r="V167" s="41">
        <f>SUBTOTAL(9,V158:V166)</f>
        <v>-4666234138.072917</v>
      </c>
      <c r="W167" s="21"/>
      <c r="X167" s="7"/>
      <c r="Y167" s="7"/>
      <c r="Z167" s="7"/>
      <c r="AA167" s="7"/>
      <c r="AB167" s="7"/>
    </row>
    <row r="168" spans="1:28" s="20" customFormat="1">
      <c r="A168" s="20">
        <f t="shared" ref="A168:A182" si="50">+A167+1</f>
        <v>162</v>
      </c>
      <c r="B168" s="17"/>
      <c r="C168" s="28"/>
      <c r="D168" s="28"/>
      <c r="E168" s="28"/>
      <c r="F168" s="28"/>
      <c r="G168" s="28"/>
      <c r="H168" s="28"/>
      <c r="I168" s="28"/>
      <c r="J168" s="28"/>
      <c r="K168" s="28"/>
      <c r="L168" s="28"/>
      <c r="M168" s="28"/>
      <c r="N168" s="28"/>
      <c r="O168" s="28"/>
      <c r="P168" s="40"/>
      <c r="Q168" s="21"/>
      <c r="R168" s="9"/>
      <c r="V168" s="40"/>
      <c r="W168" s="21"/>
      <c r="X168" s="7"/>
      <c r="Y168" s="7"/>
      <c r="Z168" s="7"/>
      <c r="AA168" s="7"/>
      <c r="AB168" s="7"/>
    </row>
    <row r="169" spans="1:28" s="20" customFormat="1" ht="16.5" thickBot="1">
      <c r="A169" s="20">
        <f t="shared" si="50"/>
        <v>163</v>
      </c>
      <c r="B169" s="18" t="s">
        <v>10</v>
      </c>
      <c r="C169" s="26">
        <f>SUM(C167,C155,C135,C123,C114)</f>
        <v>19953307084.610001</v>
      </c>
      <c r="D169" s="26">
        <f t="shared" ref="D169:O169" si="51">SUM(D167,D155,D135,D123,D114)</f>
        <v>20075921717.969997</v>
      </c>
      <c r="E169" s="26">
        <f t="shared" si="51"/>
        <v>20096986112.93</v>
      </c>
      <c r="F169" s="26">
        <f t="shared" si="51"/>
        <v>20235602915.329998</v>
      </c>
      <c r="G169" s="26">
        <f t="shared" si="51"/>
        <v>20263532743.539997</v>
      </c>
      <c r="H169" s="26">
        <f t="shared" si="51"/>
        <v>20309775369.610001</v>
      </c>
      <c r="I169" s="26">
        <f t="shared" si="51"/>
        <v>20818161762.669998</v>
      </c>
      <c r="J169" s="26">
        <f t="shared" si="51"/>
        <v>20859021609.669998</v>
      </c>
      <c r="K169" s="26">
        <f t="shared" si="51"/>
        <v>20854899034.559998</v>
      </c>
      <c r="L169" s="26">
        <f t="shared" si="51"/>
        <v>21005250463.389999</v>
      </c>
      <c r="M169" s="26">
        <f t="shared" si="51"/>
        <v>20965882945.720001</v>
      </c>
      <c r="N169" s="26">
        <f t="shared" si="51"/>
        <v>21008000084.279999</v>
      </c>
      <c r="O169" s="26">
        <f t="shared" si="51"/>
        <v>21141063731.309998</v>
      </c>
      <c r="P169" s="24">
        <f>SUBTOTAL(9,P98:P167)</f>
        <v>20586685013.969166</v>
      </c>
      <c r="Q169" s="25">
        <f>AVERAGE(D169:O169)</f>
        <v>20636174874.248333</v>
      </c>
      <c r="R169" s="9">
        <f>+Q169/P169-1</f>
        <v>2.4039742311880996E-3</v>
      </c>
      <c r="T169" s="24">
        <f t="shared" ref="T169:Z169" si="52">SUBTOTAL(9,T98:T167)</f>
        <v>0</v>
      </c>
      <c r="U169" s="24">
        <f t="shared" si="52"/>
        <v>1075485367.175</v>
      </c>
      <c r="V169" s="24">
        <f t="shared" si="52"/>
        <v>-5375891346.4466658</v>
      </c>
      <c r="W169" s="24">
        <f t="shared" si="52"/>
        <v>14135308300.347498</v>
      </c>
      <c r="X169" s="24">
        <f t="shared" si="52"/>
        <v>-218280432.95146596</v>
      </c>
      <c r="Y169" s="24">
        <f t="shared" si="52"/>
        <v>-3353976431.0201998</v>
      </c>
      <c r="Z169" s="24">
        <f t="shared" si="52"/>
        <v>-1803634482.4750009</v>
      </c>
      <c r="AA169" s="7"/>
      <c r="AB169" s="7"/>
    </row>
    <row r="170" spans="1:28" s="20" customFormat="1">
      <c r="A170" s="20">
        <f t="shared" si="50"/>
        <v>164</v>
      </c>
      <c r="B170" s="285" t="s">
        <v>9</v>
      </c>
      <c r="C170" s="16" t="s">
        <v>201</v>
      </c>
      <c r="D170" s="16" t="s">
        <v>201</v>
      </c>
      <c r="E170" s="16" t="s">
        <v>201</v>
      </c>
      <c r="F170" s="16" t="s">
        <v>201</v>
      </c>
      <c r="G170" s="16" t="s">
        <v>201</v>
      </c>
      <c r="H170" s="16" t="s">
        <v>201</v>
      </c>
      <c r="I170" s="16" t="s">
        <v>201</v>
      </c>
      <c r="J170" s="16" t="s">
        <v>201</v>
      </c>
      <c r="K170" s="16" t="s">
        <v>201</v>
      </c>
      <c r="L170" s="16" t="s">
        <v>201</v>
      </c>
      <c r="M170" s="16" t="s">
        <v>201</v>
      </c>
      <c r="N170" s="16" t="s">
        <v>201</v>
      </c>
      <c r="O170" s="16" t="s">
        <v>201</v>
      </c>
      <c r="P170" s="11">
        <f>+W169+U169-V169-T169</f>
        <v>20586685013.969162</v>
      </c>
      <c r="Q170" s="21">
        <f>+Q93-Q169</f>
        <v>0</v>
      </c>
      <c r="X170" s="7"/>
      <c r="Y170" s="7"/>
      <c r="Z170" s="7"/>
      <c r="AA170" s="7"/>
      <c r="AB170" s="7"/>
    </row>
    <row r="171" spans="1:28" s="20" customFormat="1">
      <c r="A171" s="20">
        <f t="shared" si="50"/>
        <v>165</v>
      </c>
      <c r="B171" s="19" t="s">
        <v>8</v>
      </c>
      <c r="C171" s="16">
        <f>C93-C169</f>
        <v>0</v>
      </c>
      <c r="D171" s="16">
        <f t="shared" ref="D171:O171" si="53">D93-D169</f>
        <v>0</v>
      </c>
      <c r="E171" s="16">
        <f t="shared" si="53"/>
        <v>0</v>
      </c>
      <c r="F171" s="16">
        <f t="shared" si="53"/>
        <v>0</v>
      </c>
      <c r="G171" s="16">
        <f t="shared" si="53"/>
        <v>0</v>
      </c>
      <c r="H171" s="16">
        <f t="shared" si="53"/>
        <v>0</v>
      </c>
      <c r="I171" s="16">
        <f t="shared" si="53"/>
        <v>0</v>
      </c>
      <c r="J171" s="16">
        <f t="shared" si="53"/>
        <v>0</v>
      </c>
      <c r="K171" s="16">
        <f t="shared" si="53"/>
        <v>0</v>
      </c>
      <c r="L171" s="16">
        <f t="shared" si="53"/>
        <v>0</v>
      </c>
      <c r="M171" s="16">
        <f t="shared" si="53"/>
        <v>0</v>
      </c>
      <c r="N171" s="16">
        <f t="shared" si="53"/>
        <v>0</v>
      </c>
      <c r="O171" s="16">
        <f t="shared" si="53"/>
        <v>0</v>
      </c>
      <c r="P171" s="21">
        <f>-P170+P94</f>
        <v>0</v>
      </c>
      <c r="Q171" s="21"/>
      <c r="X171" s="7"/>
      <c r="Y171" s="7"/>
      <c r="Z171" s="7"/>
      <c r="AA171" s="7"/>
      <c r="AB171" s="7"/>
    </row>
    <row r="172" spans="1:28" s="20" customFormat="1">
      <c r="A172" s="20">
        <f t="shared" si="50"/>
        <v>166</v>
      </c>
      <c r="B172" s="18"/>
      <c r="C172" s="16"/>
      <c r="D172" s="16"/>
      <c r="E172" s="16"/>
      <c r="F172" s="16"/>
      <c r="G172" s="16"/>
      <c r="H172" s="16"/>
      <c r="I172" s="16"/>
      <c r="J172" s="16"/>
      <c r="K172" s="16"/>
      <c r="L172" s="16"/>
      <c r="M172" s="16"/>
      <c r="N172" s="16"/>
      <c r="O172" s="16"/>
      <c r="P172" s="21"/>
      <c r="Q172" s="21"/>
      <c r="X172" s="7"/>
      <c r="Y172" s="7"/>
      <c r="Z172" s="7"/>
      <c r="AA172" s="7"/>
      <c r="AB172" s="7"/>
    </row>
    <row r="173" spans="1:28" s="20" customFormat="1">
      <c r="A173" s="20">
        <f t="shared" si="50"/>
        <v>167</v>
      </c>
      <c r="B173" s="17" t="s">
        <v>7</v>
      </c>
      <c r="C173" s="16"/>
      <c r="D173" s="16"/>
      <c r="E173" s="16"/>
      <c r="F173" s="16"/>
      <c r="G173" s="16"/>
      <c r="H173" s="16"/>
      <c r="I173" s="16"/>
      <c r="J173" s="16"/>
      <c r="K173" s="16"/>
      <c r="L173" s="16"/>
      <c r="M173" s="16"/>
      <c r="N173" s="16"/>
      <c r="O173" s="16"/>
      <c r="P173" s="286"/>
      <c r="Q173" s="21"/>
      <c r="T173" s="7">
        <f>SUBTOTAL(9,T7:T169)</f>
        <v>1199405263.2618055</v>
      </c>
      <c r="U173" s="7">
        <f>SUBTOTAL(9,U7:U169)</f>
        <v>1075485367.175</v>
      </c>
      <c r="AB173" s="7"/>
    </row>
    <row r="174" spans="1:28" s="20" customFormat="1">
      <c r="A174" s="20">
        <f t="shared" si="50"/>
        <v>168</v>
      </c>
      <c r="P174" s="286"/>
      <c r="T174" s="42">
        <f>+T173-U173</f>
        <v>123919896.08680558</v>
      </c>
      <c r="AB174" s="7"/>
    </row>
    <row r="175" spans="1:28" s="20" customFormat="1">
      <c r="A175" s="20">
        <f t="shared" si="50"/>
        <v>169</v>
      </c>
      <c r="B175" s="287" t="s">
        <v>6</v>
      </c>
      <c r="T175" s="7"/>
      <c r="V175" s="288">
        <f>SUBTOTAL(9,V7:V169)</f>
        <v>13965902749.062346</v>
      </c>
      <c r="W175" s="288">
        <f>SUBTOTAL(9,W7:W169)</f>
        <v>14089822645.149166</v>
      </c>
      <c r="X175" s="7">
        <f>SUBTOTAL(9,X7:X169)</f>
        <v>785246255.23172605</v>
      </c>
      <c r="Y175" s="7">
        <f>SUBTOTAL(9,Y7:Y169)</f>
        <v>11385291216.386621</v>
      </c>
      <c r="Z175" s="7">
        <f>SUBTOTAL(9,Z7:Z169)</f>
        <v>1795365277.4440117</v>
      </c>
      <c r="AA175" s="7">
        <f>+Z175+Y175+X175</f>
        <v>13965902749.062359</v>
      </c>
      <c r="AB175" s="7"/>
    </row>
    <row r="176" spans="1:28" s="20" customFormat="1">
      <c r="A176" s="20">
        <f t="shared" si="50"/>
        <v>170</v>
      </c>
      <c r="B176" s="287" t="s">
        <v>5</v>
      </c>
      <c r="T176" s="7"/>
      <c r="V176" s="7"/>
      <c r="W176" s="11">
        <f>+W175-V175</f>
        <v>123919896.0868206</v>
      </c>
      <c r="X176" s="7"/>
      <c r="Y176" s="7"/>
      <c r="Z176" s="7"/>
      <c r="AA176" s="7"/>
      <c r="AB176" s="7"/>
    </row>
    <row r="177" spans="1:28" s="20" customFormat="1">
      <c r="A177" s="20">
        <f t="shared" si="50"/>
        <v>171</v>
      </c>
      <c r="B177" s="20" t="s">
        <v>4</v>
      </c>
      <c r="V177" s="285" t="s">
        <v>230</v>
      </c>
      <c r="W177" s="10"/>
      <c r="X177" s="9">
        <f>+X175/$AA$175</f>
        <v>5.6225957558271401E-2</v>
      </c>
      <c r="Y177" s="9">
        <f>+Y175/$AA$175</f>
        <v>0.81522057119802049</v>
      </c>
      <c r="Z177" s="9">
        <f>+Z175/$AA$175</f>
        <v>0.12855347124370808</v>
      </c>
      <c r="AA177" s="7"/>
      <c r="AB177" s="7"/>
    </row>
    <row r="178" spans="1:28" s="20" customFormat="1">
      <c r="A178" s="20">
        <f t="shared" si="50"/>
        <v>172</v>
      </c>
      <c r="B178" s="20" t="s">
        <v>3</v>
      </c>
      <c r="V178" s="282" t="s">
        <v>2</v>
      </c>
      <c r="X178" s="7">
        <f>+W176*X177</f>
        <v>6967514.8180029774</v>
      </c>
      <c r="Y178" s="7">
        <f>+Y177*W176</f>
        <v>101022048.47069724</v>
      </c>
      <c r="Z178" s="7">
        <f>+Z177*W176</f>
        <v>15930332.798120387</v>
      </c>
      <c r="AA178" s="7">
        <f>+Z178+Y178+X178</f>
        <v>123919896.08682062</v>
      </c>
      <c r="AB178" s="7"/>
    </row>
    <row r="179" spans="1:28" s="20" customFormat="1">
      <c r="A179" s="20">
        <f t="shared" si="50"/>
        <v>173</v>
      </c>
      <c r="AB179" s="7"/>
    </row>
    <row r="180" spans="1:28" s="20" customFormat="1">
      <c r="A180" s="20">
        <f t="shared" si="50"/>
        <v>174</v>
      </c>
      <c r="W180" s="20" t="s">
        <v>1</v>
      </c>
      <c r="X180" s="7">
        <f>+X175</f>
        <v>785246255.23172605</v>
      </c>
      <c r="Y180" s="7">
        <f>+Y175</f>
        <v>11385291216.386621</v>
      </c>
      <c r="Z180" s="7">
        <f>+Z175</f>
        <v>1795365277.4440117</v>
      </c>
      <c r="AA180" s="7">
        <f>SUM(X180:Z180)</f>
        <v>13965902749.062359</v>
      </c>
      <c r="AB180" s="7"/>
    </row>
    <row r="181" spans="1:28" s="20" customFormat="1" ht="16.5" thickBot="1">
      <c r="A181" s="20">
        <f t="shared" si="50"/>
        <v>175</v>
      </c>
      <c r="B181" s="274"/>
      <c r="C181" s="274"/>
      <c r="D181" s="274"/>
      <c r="E181" s="274"/>
      <c r="F181" s="274"/>
      <c r="G181" s="274"/>
      <c r="H181" s="274"/>
      <c r="I181" s="274"/>
      <c r="J181" s="274"/>
      <c r="K181" s="274"/>
      <c r="L181" s="274"/>
      <c r="M181" s="274"/>
      <c r="N181" s="274"/>
      <c r="O181" s="274"/>
      <c r="P181" s="274"/>
      <c r="V181" s="274"/>
      <c r="W181" s="20" t="s">
        <v>231</v>
      </c>
      <c r="X181" s="7">
        <f>+X177*W175</f>
        <v>792213770.04972827</v>
      </c>
      <c r="Y181" s="7">
        <f>+Y177*W175</f>
        <v>11486313264.857307</v>
      </c>
      <c r="Z181" s="7">
        <f>+Z177*W175</f>
        <v>1811295610.2421303</v>
      </c>
      <c r="AA181" s="7">
        <f>SUM(X181:Z181)</f>
        <v>14089822645.149166</v>
      </c>
      <c r="AB181" s="7"/>
    </row>
    <row r="182" spans="1:28" s="20" customFormat="1" ht="16.5" thickBot="1">
      <c r="A182" s="20">
        <f t="shared" si="50"/>
        <v>176</v>
      </c>
      <c r="B182" s="274"/>
      <c r="C182" s="274"/>
      <c r="D182" s="274"/>
      <c r="E182" s="274"/>
      <c r="F182" s="274"/>
      <c r="G182" s="274"/>
      <c r="H182" s="274"/>
      <c r="I182" s="274"/>
      <c r="J182" s="274"/>
      <c r="K182" s="274"/>
      <c r="L182" s="274"/>
      <c r="M182" s="274"/>
      <c r="N182" s="274"/>
      <c r="O182" s="274"/>
      <c r="P182" s="274"/>
      <c r="Q182" s="21" t="e">
        <f t="shared" ref="Q182:Q213" si="54">AVERAGE(D182:O182)</f>
        <v>#DIV/0!</v>
      </c>
      <c r="V182" s="274"/>
      <c r="W182" s="290" t="s">
        <v>0</v>
      </c>
      <c r="X182" s="293">
        <f>+X181-X180</f>
        <v>6967514.818002224</v>
      </c>
      <c r="Y182" s="7">
        <f>+Y181-Y180</f>
        <v>101022048.47068596</v>
      </c>
      <c r="Z182" s="7">
        <f>+Z181-Z180</f>
        <v>15930332.798118591</v>
      </c>
      <c r="AA182" s="7">
        <f>SUM(X182:Z182)</f>
        <v>123919896.08680677</v>
      </c>
      <c r="AB182" s="7"/>
    </row>
    <row r="183" spans="1:28" s="20" customFormat="1">
      <c r="B183" s="274"/>
      <c r="C183" s="274"/>
      <c r="D183" s="274"/>
      <c r="E183" s="274"/>
      <c r="F183" s="274"/>
      <c r="G183" s="274"/>
      <c r="H183" s="274"/>
      <c r="I183" s="274"/>
      <c r="J183" s="274"/>
      <c r="K183" s="274"/>
      <c r="L183" s="274"/>
      <c r="M183" s="274"/>
      <c r="N183" s="274"/>
      <c r="O183" s="274"/>
      <c r="P183" s="274"/>
      <c r="Q183" s="21" t="e">
        <f t="shared" si="54"/>
        <v>#DIV/0!</v>
      </c>
      <c r="AB183" s="7"/>
    </row>
    <row r="184" spans="1:28" s="20" customFormat="1">
      <c r="B184" s="274"/>
      <c r="C184" s="274"/>
      <c r="D184" s="274"/>
      <c r="E184" s="274"/>
      <c r="F184" s="274"/>
      <c r="G184" s="274"/>
      <c r="H184" s="274"/>
      <c r="I184" s="274"/>
      <c r="J184" s="274"/>
      <c r="K184" s="274"/>
      <c r="L184" s="274"/>
      <c r="M184" s="274"/>
      <c r="N184" s="274"/>
      <c r="O184" s="274"/>
      <c r="P184" s="274"/>
      <c r="Q184" s="21" t="e">
        <f t="shared" si="54"/>
        <v>#DIV/0!</v>
      </c>
      <c r="X184" s="143"/>
      <c r="AB184" s="7"/>
    </row>
    <row r="185" spans="1:28" s="20" customFormat="1">
      <c r="B185" s="274"/>
      <c r="C185" s="274"/>
      <c r="D185" s="274"/>
      <c r="E185" s="274"/>
      <c r="F185" s="274"/>
      <c r="G185" s="274"/>
      <c r="H185" s="274"/>
      <c r="I185" s="274"/>
      <c r="J185" s="274"/>
      <c r="K185" s="274"/>
      <c r="L185" s="274"/>
      <c r="M185" s="274"/>
      <c r="N185" s="274"/>
      <c r="O185" s="274"/>
      <c r="P185" s="274"/>
      <c r="Q185" s="21" t="e">
        <f t="shared" si="54"/>
        <v>#DIV/0!</v>
      </c>
      <c r="V185" s="274"/>
      <c r="W185" s="274"/>
      <c r="X185" s="274"/>
      <c r="Y185" s="7"/>
      <c r="Z185" s="7"/>
      <c r="AA185" s="7"/>
      <c r="AB185" s="7"/>
    </row>
    <row r="186" spans="1:28" s="20" customFormat="1">
      <c r="B186" s="274"/>
      <c r="C186" s="274"/>
      <c r="D186" s="274"/>
      <c r="E186" s="274"/>
      <c r="F186" s="274"/>
      <c r="G186" s="274"/>
      <c r="H186" s="274"/>
      <c r="I186" s="274"/>
      <c r="J186" s="274"/>
      <c r="K186" s="274"/>
      <c r="L186" s="274"/>
      <c r="M186" s="274"/>
      <c r="N186" s="274"/>
      <c r="O186" s="274"/>
      <c r="P186" s="274"/>
      <c r="Q186" s="21" t="e">
        <f t="shared" si="54"/>
        <v>#DIV/0!</v>
      </c>
      <c r="X186" s="7"/>
      <c r="Y186" s="7"/>
      <c r="Z186" s="7"/>
      <c r="AA186" s="7"/>
      <c r="AB186" s="7"/>
    </row>
    <row r="187" spans="1:28" s="20" customFormat="1">
      <c r="B187" s="274"/>
      <c r="C187" s="274"/>
      <c r="D187" s="274"/>
      <c r="E187" s="274"/>
      <c r="F187" s="274"/>
      <c r="G187" s="274"/>
      <c r="H187" s="274"/>
      <c r="I187" s="274"/>
      <c r="J187" s="274"/>
      <c r="K187" s="274"/>
      <c r="L187" s="274"/>
      <c r="M187" s="274"/>
      <c r="N187" s="274"/>
      <c r="O187" s="274"/>
      <c r="P187" s="274"/>
      <c r="Q187" s="21" t="e">
        <f t="shared" si="54"/>
        <v>#DIV/0!</v>
      </c>
      <c r="X187" s="7"/>
      <c r="Y187" s="7"/>
      <c r="Z187" s="7"/>
      <c r="AA187" s="7"/>
      <c r="AB187" s="7"/>
    </row>
    <row r="188" spans="1:28" s="20" customFormat="1">
      <c r="B188" s="274"/>
      <c r="C188" s="274"/>
      <c r="D188" s="274"/>
      <c r="E188" s="274"/>
      <c r="F188" s="274"/>
      <c r="G188" s="274"/>
      <c r="H188" s="274"/>
      <c r="I188" s="274"/>
      <c r="J188" s="274"/>
      <c r="K188" s="274"/>
      <c r="L188" s="274"/>
      <c r="M188" s="274"/>
      <c r="N188" s="274"/>
      <c r="O188" s="274"/>
      <c r="P188" s="274"/>
      <c r="Q188" s="21" t="e">
        <f t="shared" si="54"/>
        <v>#DIV/0!</v>
      </c>
      <c r="X188" s="7"/>
      <c r="Y188" s="7"/>
      <c r="Z188" s="7"/>
      <c r="AA188" s="7"/>
      <c r="AB188" s="7"/>
    </row>
    <row r="189" spans="1:28" s="20" customFormat="1">
      <c r="B189" s="274"/>
      <c r="C189" s="274"/>
      <c r="D189" s="274"/>
      <c r="E189" s="274"/>
      <c r="F189" s="274"/>
      <c r="G189" s="274"/>
      <c r="H189" s="274"/>
      <c r="I189" s="274"/>
      <c r="J189" s="274"/>
      <c r="K189" s="274"/>
      <c r="L189" s="274"/>
      <c r="M189" s="274"/>
      <c r="N189" s="274"/>
      <c r="O189" s="274"/>
      <c r="P189" s="274"/>
      <c r="Q189" s="21" t="e">
        <f t="shared" si="54"/>
        <v>#DIV/0!</v>
      </c>
      <c r="AB189" s="7"/>
    </row>
    <row r="190" spans="1:28" s="20" customFormat="1">
      <c r="B190" s="274"/>
      <c r="C190" s="274"/>
      <c r="D190" s="274"/>
      <c r="E190" s="274"/>
      <c r="F190" s="274"/>
      <c r="G190" s="274"/>
      <c r="H190" s="274"/>
      <c r="I190" s="274"/>
      <c r="J190" s="274"/>
      <c r="K190" s="274"/>
      <c r="L190" s="274"/>
      <c r="M190" s="274"/>
      <c r="N190" s="274"/>
      <c r="O190" s="274"/>
      <c r="P190" s="274"/>
      <c r="Q190" s="21" t="e">
        <f t="shared" si="54"/>
        <v>#DIV/0!</v>
      </c>
      <c r="AB190" s="7"/>
    </row>
    <row r="191" spans="1:28" s="20" customFormat="1">
      <c r="B191" s="274"/>
      <c r="C191" s="274"/>
      <c r="D191" s="274"/>
      <c r="E191" s="274"/>
      <c r="F191" s="274"/>
      <c r="G191" s="274"/>
      <c r="H191" s="274"/>
      <c r="I191" s="274"/>
      <c r="J191" s="274"/>
      <c r="K191" s="274"/>
      <c r="L191" s="274"/>
      <c r="M191" s="274"/>
      <c r="N191" s="274"/>
      <c r="O191" s="274"/>
      <c r="P191" s="274"/>
      <c r="Q191" s="21" t="e">
        <f t="shared" si="54"/>
        <v>#DIV/0!</v>
      </c>
      <c r="AB191" s="7"/>
    </row>
    <row r="192" spans="1:28" s="20" customFormat="1">
      <c r="B192" s="274"/>
      <c r="C192" s="274"/>
      <c r="D192" s="274"/>
      <c r="E192" s="274"/>
      <c r="F192" s="274"/>
      <c r="G192" s="274"/>
      <c r="H192" s="274"/>
      <c r="I192" s="274"/>
      <c r="J192" s="274"/>
      <c r="K192" s="274"/>
      <c r="L192" s="274"/>
      <c r="M192" s="274"/>
      <c r="N192" s="274"/>
      <c r="O192" s="274"/>
      <c r="P192" s="274"/>
      <c r="Q192" s="21" t="e">
        <f t="shared" si="54"/>
        <v>#DIV/0!</v>
      </c>
      <c r="X192" s="277"/>
      <c r="Y192" s="277"/>
      <c r="Z192" s="7"/>
      <c r="AA192" s="7"/>
      <c r="AB192" s="7"/>
    </row>
    <row r="193" spans="2:28" s="20" customFormat="1">
      <c r="B193" s="274"/>
      <c r="C193" s="274"/>
      <c r="D193" s="274"/>
      <c r="E193" s="274"/>
      <c r="F193" s="274"/>
      <c r="G193" s="274"/>
      <c r="H193" s="274"/>
      <c r="I193" s="274"/>
      <c r="J193" s="274"/>
      <c r="K193" s="274"/>
      <c r="L193" s="274"/>
      <c r="M193" s="274"/>
      <c r="N193" s="274"/>
      <c r="O193" s="274"/>
      <c r="P193" s="274"/>
      <c r="Q193" s="21" t="e">
        <f t="shared" si="54"/>
        <v>#DIV/0!</v>
      </c>
      <c r="X193" s="7"/>
      <c r="Y193" s="7"/>
      <c r="Z193" s="7"/>
      <c r="AA193" s="7"/>
      <c r="AB193" s="7"/>
    </row>
    <row r="194" spans="2:28" s="20" customFormat="1">
      <c r="B194" s="274"/>
      <c r="C194" s="274"/>
      <c r="D194" s="274"/>
      <c r="E194" s="274"/>
      <c r="F194" s="274"/>
      <c r="G194" s="274"/>
      <c r="H194" s="274"/>
      <c r="I194" s="274"/>
      <c r="J194" s="274"/>
      <c r="K194" s="274"/>
      <c r="L194" s="274"/>
      <c r="M194" s="274"/>
      <c r="N194" s="274"/>
      <c r="O194" s="274"/>
      <c r="P194" s="274"/>
      <c r="Q194" s="21" t="e">
        <f t="shared" si="54"/>
        <v>#DIV/0!</v>
      </c>
      <c r="X194" s="7"/>
      <c r="Y194" s="7"/>
      <c r="Z194" s="7"/>
      <c r="AA194" s="7"/>
      <c r="AB194" s="7"/>
    </row>
    <row r="195" spans="2:28" s="20" customFormat="1">
      <c r="B195" s="274"/>
      <c r="C195" s="274"/>
      <c r="D195" s="274"/>
      <c r="E195" s="274"/>
      <c r="F195" s="274"/>
      <c r="G195" s="274"/>
      <c r="H195" s="274"/>
      <c r="I195" s="274"/>
      <c r="J195" s="274"/>
      <c r="K195" s="274"/>
      <c r="L195" s="274"/>
      <c r="M195" s="274"/>
      <c r="N195" s="274"/>
      <c r="O195" s="274"/>
      <c r="P195" s="274"/>
      <c r="Q195" s="21" t="e">
        <f t="shared" si="54"/>
        <v>#DIV/0!</v>
      </c>
      <c r="X195" s="7"/>
      <c r="Y195" s="7"/>
      <c r="Z195" s="7"/>
      <c r="AA195" s="7"/>
      <c r="AB195" s="7"/>
    </row>
    <row r="196" spans="2:28" s="20" customFormat="1">
      <c r="B196" s="274"/>
      <c r="C196" s="274"/>
      <c r="D196" s="274"/>
      <c r="E196" s="274"/>
      <c r="F196" s="274"/>
      <c r="G196" s="274"/>
      <c r="H196" s="274"/>
      <c r="I196" s="274"/>
      <c r="J196" s="274"/>
      <c r="K196" s="274"/>
      <c r="L196" s="274"/>
      <c r="M196" s="274"/>
      <c r="N196" s="274"/>
      <c r="O196" s="274"/>
      <c r="P196" s="274"/>
      <c r="Q196" s="21" t="e">
        <f t="shared" si="54"/>
        <v>#DIV/0!</v>
      </c>
      <c r="X196" s="7"/>
      <c r="Y196" s="7"/>
      <c r="Z196" s="7"/>
      <c r="AA196" s="7"/>
      <c r="AB196" s="7"/>
    </row>
    <row r="197" spans="2:28" s="20" customFormat="1">
      <c r="B197" s="274"/>
      <c r="C197" s="274"/>
      <c r="D197" s="274"/>
      <c r="E197" s="274"/>
      <c r="F197" s="274"/>
      <c r="G197" s="274"/>
      <c r="H197" s="274"/>
      <c r="I197" s="274"/>
      <c r="J197" s="274"/>
      <c r="K197" s="274"/>
      <c r="L197" s="274"/>
      <c r="M197" s="274"/>
      <c r="N197" s="274"/>
      <c r="O197" s="274"/>
      <c r="P197" s="274"/>
      <c r="Q197" s="21" t="e">
        <f t="shared" si="54"/>
        <v>#DIV/0!</v>
      </c>
      <c r="X197" s="7"/>
      <c r="Y197" s="7"/>
      <c r="Z197" s="7"/>
      <c r="AA197" s="7"/>
      <c r="AB197" s="7"/>
    </row>
    <row r="198" spans="2:28" s="20" customFormat="1">
      <c r="B198" s="274"/>
      <c r="C198" s="274"/>
      <c r="D198" s="274"/>
      <c r="E198" s="274"/>
      <c r="F198" s="274"/>
      <c r="G198" s="274"/>
      <c r="H198" s="274"/>
      <c r="I198" s="274"/>
      <c r="J198" s="274"/>
      <c r="K198" s="274"/>
      <c r="L198" s="274"/>
      <c r="M198" s="274"/>
      <c r="N198" s="274"/>
      <c r="O198" s="274"/>
      <c r="P198" s="274"/>
      <c r="Q198" s="21" t="e">
        <f t="shared" si="54"/>
        <v>#DIV/0!</v>
      </c>
      <c r="X198" s="7"/>
      <c r="Y198" s="7"/>
      <c r="Z198" s="7"/>
      <c r="AA198" s="7"/>
      <c r="AB198" s="7"/>
    </row>
    <row r="199" spans="2:28" s="20" customFormat="1">
      <c r="B199" s="274"/>
      <c r="C199" s="274"/>
      <c r="D199" s="274"/>
      <c r="E199" s="274"/>
      <c r="F199" s="274"/>
      <c r="G199" s="274"/>
      <c r="H199" s="274"/>
      <c r="I199" s="274"/>
      <c r="J199" s="274"/>
      <c r="K199" s="274"/>
      <c r="L199" s="274"/>
      <c r="M199" s="274"/>
      <c r="N199" s="274"/>
      <c r="O199" s="274"/>
      <c r="P199" s="274"/>
      <c r="Q199" s="21" t="e">
        <f t="shared" si="54"/>
        <v>#DIV/0!</v>
      </c>
      <c r="X199" s="7"/>
      <c r="Y199" s="7"/>
      <c r="Z199" s="7"/>
      <c r="AA199" s="7"/>
      <c r="AB199" s="7"/>
    </row>
    <row r="200" spans="2:28" s="20" customFormat="1">
      <c r="B200" s="274"/>
      <c r="C200" s="274"/>
      <c r="D200" s="274"/>
      <c r="E200" s="274"/>
      <c r="F200" s="274"/>
      <c r="G200" s="274"/>
      <c r="H200" s="274"/>
      <c r="I200" s="274"/>
      <c r="J200" s="274"/>
      <c r="K200" s="274"/>
      <c r="L200" s="274"/>
      <c r="M200" s="274"/>
      <c r="N200" s="274"/>
      <c r="O200" s="274"/>
      <c r="P200" s="274"/>
      <c r="Q200" s="21" t="e">
        <f t="shared" si="54"/>
        <v>#DIV/0!</v>
      </c>
      <c r="X200" s="7"/>
      <c r="Y200" s="7"/>
      <c r="Z200" s="7"/>
      <c r="AA200" s="7"/>
      <c r="AB200" s="7"/>
    </row>
    <row r="201" spans="2:28" s="20" customFormat="1">
      <c r="B201" s="274"/>
      <c r="C201" s="274"/>
      <c r="D201" s="274"/>
      <c r="E201" s="274"/>
      <c r="F201" s="274"/>
      <c r="G201" s="274"/>
      <c r="H201" s="274"/>
      <c r="I201" s="274"/>
      <c r="J201" s="274"/>
      <c r="K201" s="274"/>
      <c r="L201" s="274"/>
      <c r="M201" s="274"/>
      <c r="N201" s="274"/>
      <c r="O201" s="274"/>
      <c r="P201" s="274"/>
      <c r="Q201" s="21" t="e">
        <f t="shared" si="54"/>
        <v>#DIV/0!</v>
      </c>
      <c r="X201" s="7"/>
      <c r="Y201" s="7"/>
      <c r="Z201" s="7"/>
      <c r="AA201" s="7"/>
      <c r="AB201" s="7"/>
    </row>
    <row r="202" spans="2:28" s="20" customFormat="1">
      <c r="B202" s="274"/>
      <c r="C202" s="274"/>
      <c r="D202" s="274"/>
      <c r="E202" s="274"/>
      <c r="F202" s="274"/>
      <c r="G202" s="274"/>
      <c r="H202" s="274"/>
      <c r="I202" s="274"/>
      <c r="J202" s="274"/>
      <c r="K202" s="274"/>
      <c r="L202" s="274"/>
      <c r="M202" s="274"/>
      <c r="N202" s="274"/>
      <c r="O202" s="274"/>
      <c r="P202" s="274"/>
      <c r="Q202" s="21" t="e">
        <f t="shared" si="54"/>
        <v>#DIV/0!</v>
      </c>
      <c r="X202" s="7"/>
      <c r="Y202" s="7"/>
      <c r="Z202" s="7"/>
      <c r="AA202" s="7"/>
      <c r="AB202" s="7"/>
    </row>
    <row r="203" spans="2:28" s="20" customFormat="1">
      <c r="B203" s="274"/>
      <c r="C203" s="274"/>
      <c r="D203" s="274"/>
      <c r="E203" s="274"/>
      <c r="F203" s="274"/>
      <c r="G203" s="274"/>
      <c r="H203" s="274"/>
      <c r="I203" s="274"/>
      <c r="J203" s="274"/>
      <c r="K203" s="274"/>
      <c r="L203" s="274"/>
      <c r="M203" s="274"/>
      <c r="N203" s="274"/>
      <c r="O203" s="274"/>
      <c r="P203" s="274"/>
      <c r="Q203" s="21" t="e">
        <f t="shared" si="54"/>
        <v>#DIV/0!</v>
      </c>
      <c r="X203" s="7"/>
      <c r="Y203" s="7"/>
      <c r="Z203" s="7"/>
      <c r="AA203" s="7"/>
      <c r="AB203" s="7"/>
    </row>
    <row r="204" spans="2:28" s="20" customFormat="1">
      <c r="B204" s="274"/>
      <c r="C204" s="274"/>
      <c r="D204" s="274"/>
      <c r="E204" s="274"/>
      <c r="F204" s="274"/>
      <c r="G204" s="274"/>
      <c r="H204" s="274"/>
      <c r="I204" s="274"/>
      <c r="J204" s="274"/>
      <c r="K204" s="274"/>
      <c r="L204" s="274"/>
      <c r="M204" s="274"/>
      <c r="N204" s="274"/>
      <c r="O204" s="274"/>
      <c r="P204" s="274"/>
      <c r="Q204" s="21" t="e">
        <f t="shared" si="54"/>
        <v>#DIV/0!</v>
      </c>
      <c r="X204" s="7"/>
      <c r="Y204" s="7"/>
      <c r="Z204" s="7"/>
      <c r="AA204" s="7"/>
      <c r="AB204" s="7"/>
    </row>
    <row r="205" spans="2:28" s="20" customFormat="1">
      <c r="B205" s="274"/>
      <c r="C205" s="274"/>
      <c r="D205" s="274"/>
      <c r="E205" s="274"/>
      <c r="F205" s="274"/>
      <c r="G205" s="274"/>
      <c r="H205" s="274"/>
      <c r="I205" s="274"/>
      <c r="J205" s="274"/>
      <c r="K205" s="274"/>
      <c r="L205" s="274"/>
      <c r="M205" s="274"/>
      <c r="N205" s="274"/>
      <c r="O205" s="274"/>
      <c r="P205" s="274"/>
      <c r="Q205" s="21" t="e">
        <f t="shared" si="54"/>
        <v>#DIV/0!</v>
      </c>
      <c r="X205" s="7"/>
      <c r="Y205" s="7"/>
      <c r="Z205" s="7"/>
      <c r="AA205" s="7"/>
      <c r="AB205" s="7"/>
    </row>
    <row r="206" spans="2:28" s="20" customFormat="1">
      <c r="B206" s="274"/>
      <c r="C206" s="274"/>
      <c r="D206" s="274"/>
      <c r="E206" s="274"/>
      <c r="F206" s="274"/>
      <c r="G206" s="274"/>
      <c r="H206" s="274"/>
      <c r="I206" s="274"/>
      <c r="J206" s="274"/>
      <c r="K206" s="274"/>
      <c r="L206" s="274"/>
      <c r="M206" s="274"/>
      <c r="N206" s="274"/>
      <c r="O206" s="274"/>
      <c r="P206" s="274"/>
      <c r="Q206" s="21" t="e">
        <f t="shared" si="54"/>
        <v>#DIV/0!</v>
      </c>
      <c r="X206" s="7"/>
      <c r="Y206" s="7"/>
      <c r="Z206" s="7"/>
      <c r="AA206" s="7"/>
      <c r="AB206" s="7"/>
    </row>
    <row r="207" spans="2:28" s="20" customFormat="1">
      <c r="B207" s="274"/>
      <c r="C207" s="274"/>
      <c r="D207" s="274"/>
      <c r="E207" s="274"/>
      <c r="F207" s="274"/>
      <c r="G207" s="274"/>
      <c r="H207" s="274"/>
      <c r="I207" s="274"/>
      <c r="J207" s="274"/>
      <c r="K207" s="274"/>
      <c r="L207" s="274"/>
      <c r="M207" s="274"/>
      <c r="N207" s="274"/>
      <c r="O207" s="274"/>
      <c r="P207" s="274"/>
      <c r="Q207" s="21" t="e">
        <f t="shared" si="54"/>
        <v>#DIV/0!</v>
      </c>
      <c r="X207" s="7"/>
      <c r="Y207" s="7"/>
      <c r="Z207" s="7"/>
      <c r="AA207" s="7"/>
      <c r="AB207" s="7"/>
    </row>
    <row r="208" spans="2:28" s="20" customFormat="1">
      <c r="B208" s="274"/>
      <c r="C208" s="274"/>
      <c r="D208" s="274"/>
      <c r="E208" s="274"/>
      <c r="F208" s="274"/>
      <c r="G208" s="274"/>
      <c r="H208" s="274"/>
      <c r="I208" s="274"/>
      <c r="J208" s="274"/>
      <c r="K208" s="274"/>
      <c r="L208" s="274"/>
      <c r="M208" s="274"/>
      <c r="N208" s="274"/>
      <c r="O208" s="274"/>
      <c r="P208" s="274"/>
      <c r="Q208" s="21" t="e">
        <f t="shared" si="54"/>
        <v>#DIV/0!</v>
      </c>
      <c r="X208" s="7"/>
      <c r="Y208" s="7"/>
      <c r="Z208" s="7"/>
      <c r="AA208" s="7"/>
      <c r="AB208" s="7"/>
    </row>
    <row r="209" spans="2:28" s="20" customFormat="1">
      <c r="B209" s="274"/>
      <c r="C209" s="274"/>
      <c r="D209" s="274"/>
      <c r="E209" s="274"/>
      <c r="F209" s="274"/>
      <c r="G209" s="274"/>
      <c r="H209" s="274"/>
      <c r="I209" s="274"/>
      <c r="J209" s="274"/>
      <c r="K209" s="274"/>
      <c r="L209" s="274"/>
      <c r="M209" s="274"/>
      <c r="N209" s="274"/>
      <c r="O209" s="274"/>
      <c r="P209" s="274"/>
      <c r="Q209" s="21" t="e">
        <f t="shared" si="54"/>
        <v>#DIV/0!</v>
      </c>
      <c r="X209" s="7"/>
      <c r="Y209" s="7"/>
      <c r="Z209" s="7"/>
      <c r="AA209" s="7"/>
      <c r="AB209" s="7"/>
    </row>
    <row r="210" spans="2:28" s="20" customFormat="1">
      <c r="B210" s="274"/>
      <c r="C210" s="274"/>
      <c r="D210" s="274"/>
      <c r="E210" s="274"/>
      <c r="F210" s="274"/>
      <c r="G210" s="274"/>
      <c r="H210" s="274"/>
      <c r="I210" s="274"/>
      <c r="J210" s="274"/>
      <c r="K210" s="274"/>
      <c r="L210" s="274"/>
      <c r="M210" s="274"/>
      <c r="N210" s="274"/>
      <c r="O210" s="274"/>
      <c r="P210" s="274"/>
      <c r="Q210" s="21" t="e">
        <f t="shared" si="54"/>
        <v>#DIV/0!</v>
      </c>
      <c r="X210" s="7"/>
      <c r="Y210" s="7"/>
      <c r="Z210" s="7"/>
      <c r="AA210" s="7"/>
      <c r="AB210" s="7"/>
    </row>
    <row r="211" spans="2:28" s="20" customFormat="1">
      <c r="B211" s="274"/>
      <c r="C211" s="274"/>
      <c r="D211" s="274"/>
      <c r="E211" s="274"/>
      <c r="F211" s="274"/>
      <c r="G211" s="274"/>
      <c r="H211" s="274"/>
      <c r="I211" s="274"/>
      <c r="J211" s="274"/>
      <c r="K211" s="274"/>
      <c r="L211" s="274"/>
      <c r="M211" s="274"/>
      <c r="N211" s="274"/>
      <c r="O211" s="274"/>
      <c r="P211" s="274"/>
      <c r="Q211" s="21" t="e">
        <f t="shared" si="54"/>
        <v>#DIV/0!</v>
      </c>
      <c r="X211" s="7"/>
      <c r="Y211" s="7"/>
      <c r="Z211" s="7"/>
      <c r="AA211" s="7"/>
      <c r="AB211" s="7"/>
    </row>
    <row r="212" spans="2:28" s="20" customFormat="1">
      <c r="B212" s="274"/>
      <c r="C212" s="274"/>
      <c r="D212" s="274"/>
      <c r="E212" s="274"/>
      <c r="F212" s="274"/>
      <c r="G212" s="274"/>
      <c r="H212" s="274"/>
      <c r="I212" s="274"/>
      <c r="J212" s="274"/>
      <c r="K212" s="274"/>
      <c r="L212" s="274"/>
      <c r="M212" s="274"/>
      <c r="N212" s="274"/>
      <c r="O212" s="274"/>
      <c r="P212" s="274"/>
      <c r="Q212" s="21" t="e">
        <f t="shared" si="54"/>
        <v>#DIV/0!</v>
      </c>
      <c r="X212" s="7"/>
      <c r="Y212" s="7"/>
      <c r="Z212" s="7"/>
      <c r="AA212" s="7"/>
      <c r="AB212" s="7"/>
    </row>
    <row r="213" spans="2:28" s="20" customFormat="1">
      <c r="B213" s="274"/>
      <c r="C213" s="274"/>
      <c r="D213" s="274"/>
      <c r="E213" s="274"/>
      <c r="F213" s="274"/>
      <c r="G213" s="274"/>
      <c r="H213" s="274"/>
      <c r="I213" s="274"/>
      <c r="J213" s="274"/>
      <c r="K213" s="274"/>
      <c r="L213" s="274"/>
      <c r="M213" s="274"/>
      <c r="N213" s="274"/>
      <c r="O213" s="274"/>
      <c r="P213" s="274"/>
      <c r="Q213" s="21" t="e">
        <f t="shared" si="54"/>
        <v>#DIV/0!</v>
      </c>
      <c r="X213" s="7"/>
      <c r="Y213" s="7"/>
      <c r="Z213" s="7"/>
      <c r="AA213" s="7"/>
      <c r="AB213" s="7"/>
    </row>
    <row r="214" spans="2:28" s="20" customFormat="1">
      <c r="B214" s="274"/>
      <c r="C214" s="274"/>
      <c r="D214" s="274"/>
      <c r="E214" s="274"/>
      <c r="F214" s="274"/>
      <c r="G214" s="274"/>
      <c r="H214" s="274"/>
      <c r="I214" s="274"/>
      <c r="J214" s="274"/>
      <c r="K214" s="274"/>
      <c r="L214" s="274"/>
      <c r="M214" s="274"/>
      <c r="N214" s="274"/>
      <c r="O214" s="274"/>
      <c r="P214" s="274"/>
      <c r="Q214" s="21" t="e">
        <f t="shared" ref="Q214:Q245" si="55">AVERAGE(D214:O214)</f>
        <v>#DIV/0!</v>
      </c>
      <c r="X214" s="7"/>
      <c r="Y214" s="7"/>
      <c r="Z214" s="7"/>
      <c r="AA214" s="7"/>
      <c r="AB214" s="7"/>
    </row>
    <row r="215" spans="2:28" s="20" customFormat="1">
      <c r="B215" s="274"/>
      <c r="C215" s="274"/>
      <c r="D215" s="274"/>
      <c r="E215" s="274"/>
      <c r="F215" s="274"/>
      <c r="G215" s="274"/>
      <c r="H215" s="274"/>
      <c r="I215" s="274"/>
      <c r="J215" s="274"/>
      <c r="K215" s="274"/>
      <c r="L215" s="274"/>
      <c r="M215" s="274"/>
      <c r="N215" s="274"/>
      <c r="O215" s="274"/>
      <c r="P215" s="274"/>
      <c r="Q215" s="21" t="e">
        <f t="shared" si="55"/>
        <v>#DIV/0!</v>
      </c>
      <c r="X215" s="7"/>
      <c r="Y215" s="7"/>
      <c r="Z215" s="7"/>
      <c r="AA215" s="7"/>
      <c r="AB215" s="7"/>
    </row>
    <row r="216" spans="2:28" s="20" customFormat="1">
      <c r="B216" s="274"/>
      <c r="C216" s="274"/>
      <c r="D216" s="274"/>
      <c r="E216" s="274"/>
      <c r="F216" s="274"/>
      <c r="G216" s="274"/>
      <c r="H216" s="274"/>
      <c r="I216" s="274"/>
      <c r="J216" s="274"/>
      <c r="K216" s="274"/>
      <c r="L216" s="274"/>
      <c r="M216" s="274"/>
      <c r="N216" s="274"/>
      <c r="O216" s="274"/>
      <c r="P216" s="274"/>
      <c r="Q216" s="21" t="e">
        <f t="shared" si="55"/>
        <v>#DIV/0!</v>
      </c>
      <c r="X216" s="7"/>
      <c r="Y216" s="7"/>
      <c r="Z216" s="7"/>
      <c r="AA216" s="7"/>
      <c r="AB216" s="7"/>
    </row>
    <row r="217" spans="2:28" s="20" customFormat="1">
      <c r="B217" s="274"/>
      <c r="C217" s="274"/>
      <c r="D217" s="274"/>
      <c r="E217" s="274"/>
      <c r="F217" s="274"/>
      <c r="G217" s="274"/>
      <c r="H217" s="274"/>
      <c r="I217" s="274"/>
      <c r="J217" s="274"/>
      <c r="K217" s="274"/>
      <c r="L217" s="274"/>
      <c r="M217" s="274"/>
      <c r="N217" s="274"/>
      <c r="O217" s="274"/>
      <c r="P217" s="274"/>
      <c r="Q217" s="21" t="e">
        <f t="shared" si="55"/>
        <v>#DIV/0!</v>
      </c>
      <c r="X217" s="7"/>
      <c r="Y217" s="7"/>
      <c r="Z217" s="7"/>
      <c r="AA217" s="7"/>
      <c r="AB217" s="7"/>
    </row>
    <row r="218" spans="2:28" s="20" customFormat="1">
      <c r="B218" s="274"/>
      <c r="C218" s="274"/>
      <c r="D218" s="274"/>
      <c r="E218" s="274"/>
      <c r="F218" s="274"/>
      <c r="G218" s="274"/>
      <c r="H218" s="274"/>
      <c r="I218" s="274"/>
      <c r="J218" s="274"/>
      <c r="K218" s="274"/>
      <c r="L218" s="274"/>
      <c r="M218" s="274"/>
      <c r="N218" s="274"/>
      <c r="O218" s="274"/>
      <c r="P218" s="274"/>
      <c r="Q218" s="21" t="e">
        <f t="shared" si="55"/>
        <v>#DIV/0!</v>
      </c>
      <c r="X218" s="7"/>
      <c r="Y218" s="7"/>
      <c r="Z218" s="7"/>
      <c r="AA218" s="7"/>
      <c r="AB218" s="7"/>
    </row>
    <row r="219" spans="2:28" s="20" customFormat="1">
      <c r="B219" s="274"/>
      <c r="C219" s="274"/>
      <c r="D219" s="274"/>
      <c r="E219" s="274"/>
      <c r="F219" s="274"/>
      <c r="G219" s="274"/>
      <c r="H219" s="274"/>
      <c r="I219" s="274"/>
      <c r="J219" s="274"/>
      <c r="K219" s="274"/>
      <c r="L219" s="274"/>
      <c r="M219" s="274"/>
      <c r="N219" s="274"/>
      <c r="O219" s="274"/>
      <c r="P219" s="274"/>
      <c r="Q219" s="21" t="e">
        <f t="shared" si="55"/>
        <v>#DIV/0!</v>
      </c>
      <c r="X219" s="7"/>
      <c r="Y219" s="7"/>
      <c r="Z219" s="7"/>
      <c r="AA219" s="7"/>
      <c r="AB219" s="7"/>
    </row>
    <row r="220" spans="2:28" s="20" customFormat="1">
      <c r="B220" s="274"/>
      <c r="C220" s="274"/>
      <c r="D220" s="274"/>
      <c r="E220" s="274"/>
      <c r="F220" s="274"/>
      <c r="G220" s="274"/>
      <c r="H220" s="274"/>
      <c r="I220" s="274"/>
      <c r="J220" s="274"/>
      <c r="K220" s="274"/>
      <c r="L220" s="274"/>
      <c r="M220" s="274"/>
      <c r="N220" s="274"/>
      <c r="O220" s="274"/>
      <c r="P220" s="274"/>
      <c r="Q220" s="21" t="e">
        <f t="shared" si="55"/>
        <v>#DIV/0!</v>
      </c>
      <c r="X220" s="7"/>
      <c r="Y220" s="7"/>
      <c r="Z220" s="7"/>
      <c r="AA220" s="7"/>
      <c r="AB220" s="7"/>
    </row>
    <row r="221" spans="2:28" s="20" customFormat="1">
      <c r="B221" s="274"/>
      <c r="C221" s="274"/>
      <c r="D221" s="274"/>
      <c r="E221" s="274"/>
      <c r="F221" s="274"/>
      <c r="G221" s="274"/>
      <c r="H221" s="274"/>
      <c r="I221" s="274"/>
      <c r="J221" s="274"/>
      <c r="K221" s="274"/>
      <c r="L221" s="274"/>
      <c r="M221" s="274"/>
      <c r="N221" s="274"/>
      <c r="O221" s="274"/>
      <c r="P221" s="274"/>
      <c r="Q221" s="21" t="e">
        <f t="shared" si="55"/>
        <v>#DIV/0!</v>
      </c>
      <c r="X221" s="7"/>
      <c r="Y221" s="7"/>
      <c r="Z221" s="7"/>
      <c r="AA221" s="7"/>
      <c r="AB221" s="7"/>
    </row>
    <row r="222" spans="2:28" s="20" customFormat="1">
      <c r="B222" s="274"/>
      <c r="C222" s="274"/>
      <c r="D222" s="274"/>
      <c r="E222" s="274"/>
      <c r="F222" s="274"/>
      <c r="G222" s="274"/>
      <c r="H222" s="274"/>
      <c r="I222" s="274"/>
      <c r="J222" s="274"/>
      <c r="K222" s="274"/>
      <c r="L222" s="274"/>
      <c r="M222" s="274"/>
      <c r="N222" s="274"/>
      <c r="O222" s="274"/>
      <c r="P222" s="274"/>
      <c r="Q222" s="21" t="e">
        <f t="shared" si="55"/>
        <v>#DIV/0!</v>
      </c>
      <c r="X222" s="7"/>
      <c r="Y222" s="7"/>
      <c r="Z222" s="7"/>
      <c r="AA222" s="7"/>
      <c r="AB222" s="7"/>
    </row>
    <row r="223" spans="2:28" s="20" customFormat="1">
      <c r="B223" s="274"/>
      <c r="C223" s="274"/>
      <c r="D223" s="274"/>
      <c r="E223" s="274"/>
      <c r="F223" s="274"/>
      <c r="G223" s="274"/>
      <c r="H223" s="274"/>
      <c r="I223" s="274"/>
      <c r="J223" s="274"/>
      <c r="K223" s="274"/>
      <c r="L223" s="274"/>
      <c r="M223" s="274"/>
      <c r="N223" s="274"/>
      <c r="O223" s="274"/>
      <c r="P223" s="274"/>
      <c r="Q223" s="21" t="e">
        <f t="shared" si="55"/>
        <v>#DIV/0!</v>
      </c>
      <c r="X223" s="7"/>
      <c r="Y223" s="7"/>
      <c r="Z223" s="7"/>
      <c r="AA223" s="7"/>
      <c r="AB223" s="7"/>
    </row>
    <row r="224" spans="2:28" s="20" customFormat="1">
      <c r="B224" s="274"/>
      <c r="C224" s="274"/>
      <c r="D224" s="274"/>
      <c r="E224" s="274"/>
      <c r="F224" s="274"/>
      <c r="G224" s="274"/>
      <c r="H224" s="274"/>
      <c r="I224" s="274"/>
      <c r="J224" s="274"/>
      <c r="K224" s="274"/>
      <c r="L224" s="274"/>
      <c r="M224" s="274"/>
      <c r="N224" s="274"/>
      <c r="O224" s="274"/>
      <c r="P224" s="274"/>
      <c r="Q224" s="21" t="e">
        <f t="shared" si="55"/>
        <v>#DIV/0!</v>
      </c>
      <c r="X224" s="7"/>
      <c r="Y224" s="7"/>
      <c r="Z224" s="7"/>
      <c r="AA224" s="7"/>
      <c r="AB224" s="7"/>
    </row>
    <row r="225" spans="2:28" s="20" customFormat="1">
      <c r="B225" s="274"/>
      <c r="C225" s="274"/>
      <c r="D225" s="274"/>
      <c r="E225" s="274"/>
      <c r="F225" s="274"/>
      <c r="G225" s="274"/>
      <c r="H225" s="274"/>
      <c r="I225" s="274"/>
      <c r="J225" s="274"/>
      <c r="K225" s="274"/>
      <c r="L225" s="274"/>
      <c r="M225" s="274"/>
      <c r="N225" s="274"/>
      <c r="O225" s="274"/>
      <c r="P225" s="274"/>
      <c r="Q225" s="21" t="e">
        <f t="shared" si="55"/>
        <v>#DIV/0!</v>
      </c>
      <c r="X225" s="7"/>
      <c r="Y225" s="7"/>
      <c r="Z225" s="7"/>
      <c r="AA225" s="7"/>
      <c r="AB225" s="7"/>
    </row>
    <row r="226" spans="2:28" s="20" customFormat="1">
      <c r="B226" s="274"/>
      <c r="C226" s="274"/>
      <c r="D226" s="274"/>
      <c r="E226" s="274"/>
      <c r="F226" s="274"/>
      <c r="G226" s="274"/>
      <c r="H226" s="274"/>
      <c r="I226" s="274"/>
      <c r="J226" s="274"/>
      <c r="K226" s="274"/>
      <c r="L226" s="274"/>
      <c r="M226" s="274"/>
      <c r="N226" s="274"/>
      <c r="O226" s="274"/>
      <c r="P226" s="274"/>
      <c r="Q226" s="21" t="e">
        <f t="shared" si="55"/>
        <v>#DIV/0!</v>
      </c>
      <c r="X226" s="7"/>
      <c r="Y226" s="7"/>
      <c r="Z226" s="7"/>
      <c r="AA226" s="7"/>
      <c r="AB226" s="7"/>
    </row>
    <row r="227" spans="2:28" s="20" customFormat="1">
      <c r="B227" s="274"/>
      <c r="C227" s="274"/>
      <c r="D227" s="274"/>
      <c r="E227" s="274"/>
      <c r="F227" s="274"/>
      <c r="G227" s="274"/>
      <c r="H227" s="274"/>
      <c r="I227" s="274"/>
      <c r="J227" s="274"/>
      <c r="K227" s="274"/>
      <c r="L227" s="274"/>
      <c r="M227" s="274"/>
      <c r="N227" s="274"/>
      <c r="O227" s="274"/>
      <c r="P227" s="274"/>
      <c r="Q227" s="21" t="e">
        <f t="shared" si="55"/>
        <v>#DIV/0!</v>
      </c>
      <c r="X227" s="7"/>
      <c r="Y227" s="7"/>
      <c r="Z227" s="7"/>
      <c r="AA227" s="7"/>
      <c r="AB227" s="7"/>
    </row>
    <row r="228" spans="2:28" s="20" customFormat="1">
      <c r="B228" s="274"/>
      <c r="C228" s="274"/>
      <c r="D228" s="274"/>
      <c r="E228" s="274"/>
      <c r="F228" s="274"/>
      <c r="G228" s="274"/>
      <c r="H228" s="274"/>
      <c r="I228" s="274"/>
      <c r="J228" s="274"/>
      <c r="K228" s="274"/>
      <c r="L228" s="274"/>
      <c r="M228" s="274"/>
      <c r="N228" s="274"/>
      <c r="O228" s="274"/>
      <c r="P228" s="274"/>
      <c r="Q228" s="21" t="e">
        <f t="shared" si="55"/>
        <v>#DIV/0!</v>
      </c>
      <c r="X228" s="7"/>
      <c r="Y228" s="7"/>
      <c r="Z228" s="7"/>
      <c r="AA228" s="7"/>
      <c r="AB228" s="7"/>
    </row>
    <row r="229" spans="2:28" s="20" customFormat="1">
      <c r="B229" s="274"/>
      <c r="C229" s="274"/>
      <c r="D229" s="274"/>
      <c r="E229" s="274"/>
      <c r="F229" s="274"/>
      <c r="G229" s="274"/>
      <c r="H229" s="274"/>
      <c r="I229" s="274"/>
      <c r="J229" s="274"/>
      <c r="K229" s="274"/>
      <c r="L229" s="274"/>
      <c r="M229" s="274"/>
      <c r="N229" s="274"/>
      <c r="O229" s="274"/>
      <c r="P229" s="274"/>
      <c r="Q229" s="21" t="e">
        <f t="shared" si="55"/>
        <v>#DIV/0!</v>
      </c>
      <c r="X229" s="7"/>
      <c r="Y229" s="7"/>
      <c r="Z229" s="7"/>
      <c r="AA229" s="7"/>
      <c r="AB229" s="7"/>
    </row>
    <row r="230" spans="2:28" s="20" customFormat="1">
      <c r="B230" s="274"/>
      <c r="C230" s="274"/>
      <c r="D230" s="274"/>
      <c r="E230" s="274"/>
      <c r="F230" s="274"/>
      <c r="G230" s="274"/>
      <c r="H230" s="274"/>
      <c r="I230" s="274"/>
      <c r="J230" s="274"/>
      <c r="K230" s="274"/>
      <c r="L230" s="274"/>
      <c r="M230" s="274"/>
      <c r="N230" s="274"/>
      <c r="O230" s="274"/>
      <c r="P230" s="274"/>
      <c r="Q230" s="21" t="e">
        <f t="shared" si="55"/>
        <v>#DIV/0!</v>
      </c>
      <c r="X230" s="7"/>
      <c r="Y230" s="7"/>
      <c r="Z230" s="7"/>
      <c r="AA230" s="7"/>
      <c r="AB230" s="7"/>
    </row>
    <row r="231" spans="2:28" s="20" customFormat="1">
      <c r="B231" s="274"/>
      <c r="C231" s="274"/>
      <c r="D231" s="274"/>
      <c r="E231" s="274"/>
      <c r="F231" s="274"/>
      <c r="G231" s="274"/>
      <c r="H231" s="274"/>
      <c r="I231" s="274"/>
      <c r="J231" s="274"/>
      <c r="K231" s="274"/>
      <c r="L231" s="274"/>
      <c r="M231" s="274"/>
      <c r="N231" s="274"/>
      <c r="O231" s="274"/>
      <c r="P231" s="274"/>
      <c r="Q231" s="21" t="e">
        <f t="shared" si="55"/>
        <v>#DIV/0!</v>
      </c>
      <c r="X231" s="7"/>
      <c r="Y231" s="7"/>
      <c r="Z231" s="7"/>
      <c r="AA231" s="7"/>
      <c r="AB231" s="7"/>
    </row>
    <row r="232" spans="2:28" s="20" customFormat="1">
      <c r="B232" s="274"/>
      <c r="C232" s="274"/>
      <c r="D232" s="274"/>
      <c r="E232" s="274"/>
      <c r="F232" s="274"/>
      <c r="G232" s="274"/>
      <c r="H232" s="274"/>
      <c r="I232" s="274"/>
      <c r="J232" s="274"/>
      <c r="K232" s="274"/>
      <c r="L232" s="274"/>
      <c r="M232" s="274"/>
      <c r="N232" s="274"/>
      <c r="O232" s="274"/>
      <c r="P232" s="274"/>
      <c r="Q232" s="21" t="e">
        <f t="shared" si="55"/>
        <v>#DIV/0!</v>
      </c>
      <c r="X232" s="7"/>
      <c r="Y232" s="7"/>
      <c r="Z232" s="7"/>
      <c r="AA232" s="7"/>
      <c r="AB232" s="7"/>
    </row>
    <row r="233" spans="2:28" s="20" customFormat="1">
      <c r="B233" s="274"/>
      <c r="C233" s="274"/>
      <c r="D233" s="274"/>
      <c r="E233" s="274"/>
      <c r="F233" s="274"/>
      <c r="G233" s="274"/>
      <c r="H233" s="274"/>
      <c r="I233" s="274"/>
      <c r="J233" s="274"/>
      <c r="K233" s="274"/>
      <c r="L233" s="274"/>
      <c r="M233" s="274"/>
      <c r="N233" s="274"/>
      <c r="O233" s="274"/>
      <c r="P233" s="274"/>
      <c r="Q233" s="21" t="e">
        <f t="shared" si="55"/>
        <v>#DIV/0!</v>
      </c>
      <c r="X233" s="7"/>
      <c r="Y233" s="7"/>
      <c r="Z233" s="7"/>
      <c r="AA233" s="7"/>
      <c r="AB233" s="7"/>
    </row>
    <row r="234" spans="2:28" s="20" customFormat="1">
      <c r="B234" s="274"/>
      <c r="C234" s="274"/>
      <c r="D234" s="274"/>
      <c r="E234" s="274"/>
      <c r="F234" s="274"/>
      <c r="G234" s="274"/>
      <c r="H234" s="274"/>
      <c r="I234" s="274"/>
      <c r="J234" s="274"/>
      <c r="K234" s="274"/>
      <c r="L234" s="274"/>
      <c r="M234" s="274"/>
      <c r="N234" s="274"/>
      <c r="O234" s="274"/>
      <c r="P234" s="274"/>
      <c r="Q234" s="21" t="e">
        <f t="shared" si="55"/>
        <v>#DIV/0!</v>
      </c>
      <c r="X234" s="7"/>
      <c r="Y234" s="7"/>
      <c r="Z234" s="7"/>
      <c r="AA234" s="7"/>
      <c r="AB234" s="7"/>
    </row>
    <row r="235" spans="2:28" s="20" customFormat="1">
      <c r="B235" s="274"/>
      <c r="C235" s="274"/>
      <c r="D235" s="274"/>
      <c r="E235" s="274"/>
      <c r="F235" s="274"/>
      <c r="G235" s="274"/>
      <c r="H235" s="274"/>
      <c r="I235" s="274"/>
      <c r="J235" s="274"/>
      <c r="K235" s="274"/>
      <c r="L235" s="274"/>
      <c r="M235" s="274"/>
      <c r="N235" s="274"/>
      <c r="O235" s="274"/>
      <c r="P235" s="274"/>
      <c r="Q235" s="21" t="e">
        <f t="shared" si="55"/>
        <v>#DIV/0!</v>
      </c>
      <c r="X235" s="7"/>
      <c r="Y235" s="7"/>
      <c r="Z235" s="7"/>
      <c r="AA235" s="7"/>
      <c r="AB235" s="7"/>
    </row>
    <row r="236" spans="2:28" s="20" customFormat="1">
      <c r="B236" s="274"/>
      <c r="C236" s="274"/>
      <c r="D236" s="274"/>
      <c r="E236" s="274"/>
      <c r="F236" s="274"/>
      <c r="G236" s="274"/>
      <c r="H236" s="274"/>
      <c r="I236" s="274"/>
      <c r="J236" s="274"/>
      <c r="K236" s="274"/>
      <c r="L236" s="274"/>
      <c r="M236" s="274"/>
      <c r="N236" s="274"/>
      <c r="O236" s="274"/>
      <c r="P236" s="274"/>
      <c r="Q236" s="21" t="e">
        <f t="shared" si="55"/>
        <v>#DIV/0!</v>
      </c>
      <c r="X236" s="7"/>
      <c r="Y236" s="7"/>
      <c r="Z236" s="7"/>
      <c r="AA236" s="7"/>
      <c r="AB236" s="7"/>
    </row>
    <row r="237" spans="2:28" s="20" customFormat="1">
      <c r="B237" s="274"/>
      <c r="C237" s="274"/>
      <c r="D237" s="274"/>
      <c r="E237" s="274"/>
      <c r="F237" s="274"/>
      <c r="G237" s="274"/>
      <c r="H237" s="274"/>
      <c r="I237" s="274"/>
      <c r="J237" s="274"/>
      <c r="K237" s="274"/>
      <c r="L237" s="274"/>
      <c r="M237" s="274"/>
      <c r="N237" s="274"/>
      <c r="O237" s="274"/>
      <c r="P237" s="274"/>
      <c r="Q237" s="21" t="e">
        <f t="shared" si="55"/>
        <v>#DIV/0!</v>
      </c>
      <c r="X237" s="7"/>
      <c r="Y237" s="7"/>
      <c r="Z237" s="7"/>
      <c r="AA237" s="7"/>
      <c r="AB237" s="7"/>
    </row>
    <row r="238" spans="2:28" s="20" customFormat="1">
      <c r="B238" s="274"/>
      <c r="C238" s="274"/>
      <c r="D238" s="274"/>
      <c r="E238" s="274"/>
      <c r="F238" s="274"/>
      <c r="G238" s="274"/>
      <c r="H238" s="274"/>
      <c r="I238" s="274"/>
      <c r="J238" s="274"/>
      <c r="K238" s="274"/>
      <c r="L238" s="274"/>
      <c r="M238" s="274"/>
      <c r="N238" s="274"/>
      <c r="O238" s="274"/>
      <c r="P238" s="274"/>
      <c r="Q238" s="21" t="e">
        <f t="shared" si="55"/>
        <v>#DIV/0!</v>
      </c>
      <c r="X238" s="7"/>
      <c r="Y238" s="7"/>
      <c r="Z238" s="7"/>
      <c r="AA238" s="7"/>
      <c r="AB238" s="7"/>
    </row>
    <row r="239" spans="2:28" s="20" customFormat="1">
      <c r="B239" s="274"/>
      <c r="C239" s="274"/>
      <c r="D239" s="274"/>
      <c r="E239" s="274"/>
      <c r="F239" s="274"/>
      <c r="G239" s="274"/>
      <c r="H239" s="274"/>
      <c r="I239" s="274"/>
      <c r="J239" s="274"/>
      <c r="K239" s="274"/>
      <c r="L239" s="274"/>
      <c r="M239" s="274"/>
      <c r="N239" s="274"/>
      <c r="O239" s="274"/>
      <c r="P239" s="274"/>
      <c r="Q239" s="21" t="e">
        <f t="shared" si="55"/>
        <v>#DIV/0!</v>
      </c>
      <c r="X239" s="7"/>
      <c r="Y239" s="7"/>
      <c r="Z239" s="7"/>
      <c r="AA239" s="7"/>
      <c r="AB239" s="7"/>
    </row>
    <row r="240" spans="2:28" s="20" customFormat="1">
      <c r="B240" s="274"/>
      <c r="C240" s="274"/>
      <c r="D240" s="274"/>
      <c r="E240" s="274"/>
      <c r="F240" s="274"/>
      <c r="G240" s="274"/>
      <c r="H240" s="274"/>
      <c r="I240" s="274"/>
      <c r="J240" s="274"/>
      <c r="K240" s="274"/>
      <c r="L240" s="274"/>
      <c r="M240" s="274"/>
      <c r="N240" s="274"/>
      <c r="O240" s="274"/>
      <c r="P240" s="274"/>
      <c r="Q240" s="21" t="e">
        <f t="shared" si="55"/>
        <v>#DIV/0!</v>
      </c>
      <c r="X240" s="7"/>
      <c r="Y240" s="7"/>
      <c r="Z240" s="7"/>
      <c r="AA240" s="7"/>
      <c r="AB240" s="7"/>
    </row>
    <row r="241" spans="2:28" s="20" customFormat="1">
      <c r="B241" s="274"/>
      <c r="C241" s="274"/>
      <c r="D241" s="274"/>
      <c r="E241" s="274"/>
      <c r="F241" s="274"/>
      <c r="G241" s="274"/>
      <c r="H241" s="274"/>
      <c r="I241" s="274"/>
      <c r="J241" s="274"/>
      <c r="K241" s="274"/>
      <c r="L241" s="274"/>
      <c r="M241" s="274"/>
      <c r="N241" s="274"/>
      <c r="O241" s="274"/>
      <c r="P241" s="274"/>
      <c r="Q241" s="21" t="e">
        <f t="shared" si="55"/>
        <v>#DIV/0!</v>
      </c>
      <c r="X241" s="7"/>
      <c r="Y241" s="7"/>
      <c r="Z241" s="7"/>
      <c r="AA241" s="7"/>
      <c r="AB241" s="7"/>
    </row>
    <row r="242" spans="2:28" s="20" customFormat="1">
      <c r="B242" s="274"/>
      <c r="C242" s="274"/>
      <c r="D242" s="274"/>
      <c r="E242" s="274"/>
      <c r="F242" s="274"/>
      <c r="G242" s="274"/>
      <c r="H242" s="274"/>
      <c r="I242" s="274"/>
      <c r="J242" s="274"/>
      <c r="K242" s="274"/>
      <c r="L242" s="274"/>
      <c r="M242" s="274"/>
      <c r="N242" s="274"/>
      <c r="O242" s="274"/>
      <c r="P242" s="274"/>
      <c r="Q242" s="21" t="e">
        <f t="shared" si="55"/>
        <v>#DIV/0!</v>
      </c>
      <c r="X242" s="7"/>
      <c r="Y242" s="7"/>
      <c r="Z242" s="7"/>
      <c r="AA242" s="7"/>
      <c r="AB242" s="7"/>
    </row>
    <row r="243" spans="2:28" s="20" customFormat="1">
      <c r="B243" s="274"/>
      <c r="C243" s="274"/>
      <c r="D243" s="274"/>
      <c r="E243" s="274"/>
      <c r="F243" s="274"/>
      <c r="G243" s="274"/>
      <c r="H243" s="274"/>
      <c r="I243" s="274"/>
      <c r="J243" s="274"/>
      <c r="K243" s="274"/>
      <c r="L243" s="274"/>
      <c r="M243" s="274"/>
      <c r="N243" s="274"/>
      <c r="O243" s="274"/>
      <c r="P243" s="274"/>
      <c r="Q243" s="21" t="e">
        <f t="shared" si="55"/>
        <v>#DIV/0!</v>
      </c>
      <c r="X243" s="7"/>
      <c r="Y243" s="7"/>
      <c r="Z243" s="7"/>
      <c r="AA243" s="7"/>
      <c r="AB243" s="7"/>
    </row>
    <row r="244" spans="2:28" s="20" customFormat="1">
      <c r="B244" s="274"/>
      <c r="C244" s="274"/>
      <c r="D244" s="274"/>
      <c r="E244" s="274"/>
      <c r="F244" s="274"/>
      <c r="G244" s="274"/>
      <c r="H244" s="274"/>
      <c r="I244" s="274"/>
      <c r="J244" s="274"/>
      <c r="K244" s="274"/>
      <c r="L244" s="274"/>
      <c r="M244" s="274"/>
      <c r="N244" s="274"/>
      <c r="O244" s="274"/>
      <c r="P244" s="274"/>
      <c r="Q244" s="21" t="e">
        <f t="shared" si="55"/>
        <v>#DIV/0!</v>
      </c>
      <c r="X244" s="7"/>
      <c r="Y244" s="7"/>
      <c r="Z244" s="7"/>
      <c r="AA244" s="7"/>
      <c r="AB244" s="7"/>
    </row>
    <row r="245" spans="2:28" s="20" customFormat="1">
      <c r="B245" s="274"/>
      <c r="C245" s="274"/>
      <c r="D245" s="274"/>
      <c r="E245" s="274"/>
      <c r="F245" s="274"/>
      <c r="G245" s="274"/>
      <c r="H245" s="274"/>
      <c r="I245" s="274"/>
      <c r="J245" s="274"/>
      <c r="K245" s="274"/>
      <c r="L245" s="274"/>
      <c r="M245" s="274"/>
      <c r="N245" s="274"/>
      <c r="O245" s="274"/>
      <c r="P245" s="274"/>
      <c r="Q245" s="21" t="e">
        <f t="shared" si="55"/>
        <v>#DIV/0!</v>
      </c>
      <c r="X245" s="7"/>
      <c r="Y245" s="7"/>
      <c r="Z245" s="7"/>
      <c r="AA245" s="7"/>
      <c r="AB245" s="7"/>
    </row>
    <row r="246" spans="2:28" s="20" customFormat="1">
      <c r="B246" s="274"/>
      <c r="C246" s="274"/>
      <c r="D246" s="274"/>
      <c r="E246" s="274"/>
      <c r="F246" s="274"/>
      <c r="G246" s="274"/>
      <c r="H246" s="274"/>
      <c r="I246" s="274"/>
      <c r="J246" s="274"/>
      <c r="K246" s="274"/>
      <c r="L246" s="274"/>
      <c r="M246" s="274"/>
      <c r="N246" s="274"/>
      <c r="O246" s="274"/>
      <c r="P246" s="274"/>
      <c r="Q246" s="21" t="e">
        <f t="shared" ref="Q246:Q259" si="56">AVERAGE(D246:O246)</f>
        <v>#DIV/0!</v>
      </c>
      <c r="X246" s="7"/>
      <c r="Y246" s="7"/>
      <c r="Z246" s="7"/>
      <c r="AA246" s="7"/>
      <c r="AB246" s="7"/>
    </row>
    <row r="247" spans="2:28" s="20" customFormat="1">
      <c r="B247" s="274"/>
      <c r="C247" s="274"/>
      <c r="D247" s="274"/>
      <c r="E247" s="274"/>
      <c r="F247" s="274"/>
      <c r="G247" s="274"/>
      <c r="H247" s="274"/>
      <c r="I247" s="274"/>
      <c r="J247" s="274"/>
      <c r="K247" s="274"/>
      <c r="L247" s="274"/>
      <c r="M247" s="274"/>
      <c r="N247" s="274"/>
      <c r="O247" s="274"/>
      <c r="P247" s="274"/>
      <c r="Q247" s="21" t="e">
        <f t="shared" si="56"/>
        <v>#DIV/0!</v>
      </c>
      <c r="X247" s="7"/>
      <c r="Y247" s="7"/>
      <c r="Z247" s="7"/>
      <c r="AA247" s="7"/>
      <c r="AB247" s="7"/>
    </row>
    <row r="248" spans="2:28" s="20" customFormat="1">
      <c r="B248" s="274"/>
      <c r="C248" s="274"/>
      <c r="D248" s="274"/>
      <c r="E248" s="274"/>
      <c r="F248" s="274"/>
      <c r="G248" s="274"/>
      <c r="H248" s="274"/>
      <c r="I248" s="274"/>
      <c r="J248" s="274"/>
      <c r="K248" s="274"/>
      <c r="L248" s="274"/>
      <c r="M248" s="274"/>
      <c r="N248" s="274"/>
      <c r="O248" s="274"/>
      <c r="P248" s="274"/>
      <c r="Q248" s="21" t="e">
        <f t="shared" si="56"/>
        <v>#DIV/0!</v>
      </c>
      <c r="X248" s="7"/>
      <c r="Y248" s="7"/>
      <c r="Z248" s="7"/>
      <c r="AA248" s="7"/>
      <c r="AB248" s="7"/>
    </row>
    <row r="249" spans="2:28" s="20" customFormat="1">
      <c r="B249" s="274"/>
      <c r="C249" s="274"/>
      <c r="D249" s="274"/>
      <c r="E249" s="274"/>
      <c r="F249" s="274"/>
      <c r="G249" s="274"/>
      <c r="H249" s="274"/>
      <c r="I249" s="274"/>
      <c r="J249" s="274"/>
      <c r="K249" s="274"/>
      <c r="L249" s="274"/>
      <c r="M249" s="274"/>
      <c r="N249" s="274"/>
      <c r="O249" s="274"/>
      <c r="P249" s="274"/>
      <c r="Q249" s="21" t="e">
        <f t="shared" si="56"/>
        <v>#DIV/0!</v>
      </c>
      <c r="X249" s="7"/>
      <c r="Y249" s="7"/>
      <c r="Z249" s="7"/>
      <c r="AA249" s="7"/>
      <c r="AB249" s="7"/>
    </row>
    <row r="250" spans="2:28" s="20" customFormat="1">
      <c r="B250" s="274"/>
      <c r="C250" s="274"/>
      <c r="D250" s="274"/>
      <c r="E250" s="274"/>
      <c r="F250" s="274"/>
      <c r="G250" s="274"/>
      <c r="H250" s="274"/>
      <c r="I250" s="274"/>
      <c r="J250" s="274"/>
      <c r="K250" s="274"/>
      <c r="L250" s="274"/>
      <c r="M250" s="274"/>
      <c r="N250" s="274"/>
      <c r="O250" s="274"/>
      <c r="P250" s="274"/>
      <c r="Q250" s="21" t="e">
        <f t="shared" si="56"/>
        <v>#DIV/0!</v>
      </c>
      <c r="X250" s="7"/>
      <c r="Y250" s="7"/>
      <c r="Z250" s="7"/>
      <c r="AA250" s="7"/>
      <c r="AB250" s="7"/>
    </row>
    <row r="251" spans="2:28" s="20" customFormat="1">
      <c r="B251" s="274"/>
      <c r="C251" s="274"/>
      <c r="D251" s="274"/>
      <c r="E251" s="274"/>
      <c r="F251" s="274"/>
      <c r="G251" s="274"/>
      <c r="H251" s="274"/>
      <c r="I251" s="274"/>
      <c r="J251" s="274"/>
      <c r="K251" s="274"/>
      <c r="L251" s="274"/>
      <c r="M251" s="274"/>
      <c r="N251" s="274"/>
      <c r="O251" s="274"/>
      <c r="P251" s="274"/>
      <c r="Q251" s="21" t="e">
        <f t="shared" si="56"/>
        <v>#DIV/0!</v>
      </c>
      <c r="X251" s="7"/>
      <c r="Y251" s="7"/>
      <c r="Z251" s="7"/>
      <c r="AA251" s="7"/>
      <c r="AB251" s="7"/>
    </row>
    <row r="252" spans="2:28" s="20" customFormat="1">
      <c r="B252" s="274"/>
      <c r="C252" s="274"/>
      <c r="D252" s="274"/>
      <c r="E252" s="274"/>
      <c r="F252" s="274"/>
      <c r="G252" s="274"/>
      <c r="H252" s="274"/>
      <c r="I252" s="274"/>
      <c r="J252" s="274"/>
      <c r="K252" s="274"/>
      <c r="L252" s="274"/>
      <c r="M252" s="274"/>
      <c r="N252" s="274"/>
      <c r="O252" s="274"/>
      <c r="P252" s="274"/>
      <c r="Q252" s="21" t="e">
        <f t="shared" si="56"/>
        <v>#DIV/0!</v>
      </c>
      <c r="X252" s="7"/>
      <c r="Y252" s="7"/>
      <c r="Z252" s="7"/>
      <c r="AA252" s="7"/>
      <c r="AB252" s="7"/>
    </row>
    <row r="253" spans="2:28" s="20" customFormat="1">
      <c r="B253" s="274"/>
      <c r="C253" s="274"/>
      <c r="D253" s="274"/>
      <c r="E253" s="274"/>
      <c r="F253" s="274"/>
      <c r="G253" s="274"/>
      <c r="H253" s="274"/>
      <c r="I253" s="274"/>
      <c r="J253" s="274"/>
      <c r="K253" s="274"/>
      <c r="L253" s="274"/>
      <c r="M253" s="274"/>
      <c r="N253" s="274"/>
      <c r="O253" s="274"/>
      <c r="P253" s="274"/>
      <c r="Q253" s="21" t="e">
        <f t="shared" si="56"/>
        <v>#DIV/0!</v>
      </c>
      <c r="X253" s="7"/>
      <c r="Y253" s="7"/>
      <c r="Z253" s="7"/>
      <c r="AA253" s="7"/>
      <c r="AB253" s="7"/>
    </row>
    <row r="254" spans="2:28" s="20" customFormat="1">
      <c r="B254" s="274"/>
      <c r="C254" s="274"/>
      <c r="D254" s="274"/>
      <c r="E254" s="274"/>
      <c r="F254" s="274"/>
      <c r="G254" s="274"/>
      <c r="H254" s="274"/>
      <c r="I254" s="274"/>
      <c r="J254" s="274"/>
      <c r="K254" s="274"/>
      <c r="L254" s="274"/>
      <c r="M254" s="274"/>
      <c r="N254" s="274"/>
      <c r="O254" s="274"/>
      <c r="P254" s="274"/>
      <c r="Q254" s="21" t="e">
        <f t="shared" si="56"/>
        <v>#DIV/0!</v>
      </c>
      <c r="X254" s="7"/>
      <c r="Y254" s="7"/>
      <c r="Z254" s="7"/>
      <c r="AA254" s="7"/>
      <c r="AB254" s="7"/>
    </row>
    <row r="255" spans="2:28" s="20" customFormat="1">
      <c r="B255" s="274"/>
      <c r="C255" s="274"/>
      <c r="D255" s="274"/>
      <c r="E255" s="274"/>
      <c r="F255" s="274"/>
      <c r="G255" s="274"/>
      <c r="H255" s="274"/>
      <c r="I255" s="274"/>
      <c r="J255" s="274"/>
      <c r="K255" s="274"/>
      <c r="L255" s="274"/>
      <c r="M255" s="274"/>
      <c r="N255" s="274"/>
      <c r="O255" s="274"/>
      <c r="P255" s="274"/>
      <c r="Q255" s="21" t="e">
        <f t="shared" si="56"/>
        <v>#DIV/0!</v>
      </c>
      <c r="X255" s="7"/>
      <c r="Y255" s="7"/>
      <c r="Z255" s="7"/>
      <c r="AA255" s="7"/>
      <c r="AB255" s="7"/>
    </row>
    <row r="256" spans="2:28">
      <c r="Q256" s="21" t="e">
        <f t="shared" si="56"/>
        <v>#DIV/0!</v>
      </c>
      <c r="R256" s="20"/>
      <c r="S256" s="20"/>
      <c r="X256" s="292"/>
      <c r="Y256" s="292"/>
      <c r="Z256" s="292"/>
      <c r="AA256" s="292"/>
      <c r="AB256" s="292"/>
    </row>
    <row r="257" spans="17:28">
      <c r="Q257" s="21" t="e">
        <f t="shared" si="56"/>
        <v>#DIV/0!</v>
      </c>
      <c r="R257" s="20"/>
      <c r="S257" s="20"/>
      <c r="X257" s="292"/>
      <c r="Y257" s="292"/>
      <c r="Z257" s="292"/>
      <c r="AA257" s="292"/>
      <c r="AB257" s="292"/>
    </row>
    <row r="258" spans="17:28">
      <c r="Q258" s="21" t="e">
        <f t="shared" si="56"/>
        <v>#DIV/0!</v>
      </c>
      <c r="R258" s="20"/>
      <c r="S258" s="20"/>
      <c r="X258" s="292"/>
      <c r="Y258" s="292"/>
      <c r="Z258" s="292"/>
      <c r="AA258" s="292"/>
      <c r="AB258" s="292"/>
    </row>
    <row r="259" spans="17:28">
      <c r="Q259" s="21" t="e">
        <f t="shared" si="56"/>
        <v>#DIV/0!</v>
      </c>
      <c r="R259" s="20"/>
      <c r="S259" s="20"/>
      <c r="X259" s="292"/>
      <c r="Y259" s="292"/>
      <c r="Z259" s="292"/>
      <c r="AA259" s="292"/>
      <c r="AB259" s="292"/>
    </row>
    <row r="260" spans="17:28">
      <c r="Q260" s="21"/>
      <c r="R260" s="20"/>
      <c r="S260" s="20"/>
      <c r="X260" s="292"/>
      <c r="Y260" s="292"/>
      <c r="Z260" s="292"/>
      <c r="AA260" s="292"/>
      <c r="AB260" s="292"/>
    </row>
    <row r="261" spans="17:28">
      <c r="Q261" s="21"/>
      <c r="R261" s="20"/>
      <c r="S261" s="20"/>
      <c r="X261" s="292"/>
      <c r="Y261" s="292"/>
      <c r="Z261" s="292"/>
      <c r="AA261" s="292"/>
      <c r="AB261" s="292"/>
    </row>
    <row r="262" spans="17:28">
      <c r="X262" s="292"/>
      <c r="Y262" s="292"/>
      <c r="Z262" s="292"/>
      <c r="AA262" s="292"/>
      <c r="AB262" s="292"/>
    </row>
    <row r="263" spans="17:28">
      <c r="X263" s="292"/>
      <c r="Y263" s="292"/>
      <c r="Z263" s="292"/>
      <c r="AA263" s="292"/>
      <c r="AB263" s="292"/>
    </row>
    <row r="264" spans="17:28">
      <c r="X264" s="292"/>
      <c r="Y264" s="292"/>
      <c r="Z264" s="292"/>
      <c r="AA264" s="292"/>
      <c r="AB264" s="292"/>
    </row>
    <row r="265" spans="17:28">
      <c r="X265" s="292"/>
      <c r="Y265" s="292"/>
      <c r="Z265" s="292"/>
      <c r="AA265" s="292"/>
      <c r="AB265" s="292"/>
    </row>
    <row r="266" spans="17:28">
      <c r="X266" s="292"/>
      <c r="Y266" s="292"/>
      <c r="Z266" s="292"/>
      <c r="AA266" s="292"/>
      <c r="AB266" s="292"/>
    </row>
    <row r="267" spans="17:28">
      <c r="X267" s="292"/>
      <c r="Y267" s="292"/>
      <c r="Z267" s="292"/>
      <c r="AA267" s="292"/>
      <c r="AB267" s="292"/>
    </row>
    <row r="268" spans="17:28">
      <c r="X268" s="292"/>
      <c r="Y268" s="292"/>
      <c r="Z268" s="292"/>
      <c r="AA268" s="292"/>
      <c r="AB268" s="292"/>
    </row>
    <row r="269" spans="17:28">
      <c r="X269" s="292"/>
      <c r="Y269" s="292"/>
      <c r="Z269" s="292"/>
      <c r="AA269" s="292"/>
      <c r="AB269" s="292"/>
    </row>
    <row r="270" spans="17:28">
      <c r="X270" s="292"/>
      <c r="Y270" s="292"/>
      <c r="Z270" s="292"/>
      <c r="AA270" s="292"/>
      <c r="AB270" s="292"/>
    </row>
    <row r="271" spans="17:28">
      <c r="X271" s="292"/>
      <c r="Y271" s="292"/>
      <c r="Z271" s="292"/>
      <c r="AA271" s="292"/>
      <c r="AB271" s="292"/>
    </row>
  </sheetData>
  <mergeCells count="1">
    <mergeCell ref="X5:Z5"/>
  </mergeCells>
  <pageMargins left="0.75" right="0.75" top="1.5" bottom="1" header="0.75" footer="0.5"/>
  <pageSetup scale="60" fitToHeight="0" orientation="landscape" r:id="rId1"/>
  <headerFooter alignWithMargins="0">
    <oddHeader>&amp;L&amp;"Times New Roman,Regular"PacifiCorp&amp;C&amp;"Times New Roman,Regular"Investor-supplied Working Capital&amp;R&amp;"Times New Roman,Regular"Docket No. UE-100749
Exhibit No. TES-2
October 5, 2010</oddHeader>
    <oddFooter>&amp;L&amp;"-,Regular"&amp;8&amp;F (&amp;A)&amp;R&amp;"Times New Roman,Bold"&amp;P of &amp;N</oddFooter>
  </headerFooter>
</worksheet>
</file>

<file path=xl/worksheets/sheet3.xml><?xml version="1.0" encoding="utf-8"?>
<worksheet xmlns="http://schemas.openxmlformats.org/spreadsheetml/2006/main" xmlns:r="http://schemas.openxmlformats.org/officeDocument/2006/relationships">
  <sheetPr>
    <tabColor rgb="FF5AC67B"/>
    <pageSetUpPr fitToPage="1"/>
  </sheetPr>
  <dimension ref="B2:O32"/>
  <sheetViews>
    <sheetView tabSelected="1" topLeftCell="A28" zoomScaleNormal="100" workbookViewId="0"/>
  </sheetViews>
  <sheetFormatPr defaultRowHeight="12"/>
  <cols>
    <col min="1" max="1" width="2.140625" style="212" customWidth="1"/>
    <col min="2" max="2" width="71.140625" style="212" customWidth="1"/>
    <col min="3" max="4" width="13.5703125" style="212" bestFit="1" customWidth="1"/>
    <col min="5" max="6" width="14.5703125" style="212" bestFit="1" customWidth="1"/>
    <col min="7" max="7" width="12.85546875" style="212" bestFit="1" customWidth="1"/>
    <col min="8" max="8" width="10.5703125" style="212" bestFit="1" customWidth="1"/>
    <col min="9" max="10" width="11.140625" style="212" bestFit="1" customWidth="1"/>
    <col min="11" max="11" width="10.7109375" style="212" bestFit="1" customWidth="1"/>
    <col min="12" max="16384" width="9.140625" style="212"/>
  </cols>
  <sheetData>
    <row r="2" spans="2:9" ht="12.75" thickBot="1">
      <c r="B2" s="213" t="s">
        <v>648</v>
      </c>
      <c r="E2" s="227"/>
    </row>
    <row r="3" spans="2:9" ht="36.75" thickBot="1">
      <c r="B3" s="214"/>
      <c r="C3" s="215" t="s">
        <v>172</v>
      </c>
      <c r="D3" s="215" t="s">
        <v>171</v>
      </c>
      <c r="E3" s="215" t="s">
        <v>170</v>
      </c>
      <c r="F3" s="215" t="s">
        <v>169</v>
      </c>
      <c r="G3" s="215" t="s">
        <v>0</v>
      </c>
      <c r="H3" s="294" t="s">
        <v>682</v>
      </c>
      <c r="I3" s="216" t="s">
        <v>670</v>
      </c>
    </row>
    <row r="4" spans="2:9">
      <c r="B4" s="217" t="s">
        <v>685</v>
      </c>
      <c r="C4" s="218">
        <f>'ISWC - As Approved'!T93</f>
        <v>1199405263.2618055</v>
      </c>
      <c r="D4" s="218">
        <f>-'ISWC - As Approved'!U169</f>
        <v>-1075485367.175</v>
      </c>
      <c r="E4" s="218">
        <f>'ISWC - As Approved'!V169+'ISWC - As Approved'!V93</f>
        <v>13965902749.062355</v>
      </c>
      <c r="F4" s="218">
        <f>'ISWC - As Approved'!W93+'ISWC - As Approved'!W169</f>
        <v>14089822645.149164</v>
      </c>
      <c r="G4" s="218">
        <f>F4-E4</f>
        <v>123919896.08680916</v>
      </c>
      <c r="H4" s="219">
        <f>'ISWC - As Approved'!X177</f>
        <v>5.6225957558271401E-2</v>
      </c>
      <c r="I4" s="295">
        <f>G4*H4</f>
        <v>6967514.8180023339</v>
      </c>
    </row>
    <row r="5" spans="2:9">
      <c r="B5" s="239" t="s">
        <v>766</v>
      </c>
      <c r="C5" s="218"/>
      <c r="D5" s="218"/>
      <c r="E5" s="218"/>
      <c r="F5" s="218"/>
      <c r="G5" s="218"/>
      <c r="H5" s="224"/>
      <c r="I5" s="220"/>
    </row>
    <row r="6" spans="2:9">
      <c r="B6" s="217" t="s">
        <v>680</v>
      </c>
      <c r="C6" s="218"/>
      <c r="D6" s="218"/>
      <c r="E6" s="218"/>
      <c r="F6" s="218"/>
      <c r="G6" s="218"/>
      <c r="H6" s="221"/>
      <c r="I6" s="222"/>
    </row>
    <row r="7" spans="2:9">
      <c r="B7" s="217" t="s">
        <v>767</v>
      </c>
      <c r="C7" s="218">
        <f>-'ISWC - with Modifications'!V69</f>
        <v>-26991137.64833333</v>
      </c>
      <c r="D7" s="218">
        <f>-'ISWC - with Modifications'!V151</f>
        <v>255189459.83583334</v>
      </c>
      <c r="E7" s="218">
        <f t="shared" ref="E7:E10" si="0">-C7-D7</f>
        <v>-228198322.1875</v>
      </c>
      <c r="F7" s="218">
        <v>0</v>
      </c>
      <c r="G7" s="218">
        <f t="shared" ref="G7:G11" si="1">F7-E7</f>
        <v>228198322.1875</v>
      </c>
      <c r="H7" s="224">
        <f>'ISWC - As Approved'!$X$177</f>
        <v>5.6225957558271401E-2</v>
      </c>
      <c r="I7" s="220">
        <f>G7*H7</f>
        <v>12830669.178183118</v>
      </c>
    </row>
    <row r="8" spans="2:9">
      <c r="B8" s="217" t="s">
        <v>681</v>
      </c>
      <c r="C8" s="218">
        <f>'GL balances'!D20</f>
        <v>650332516.61458337</v>
      </c>
      <c r="D8" s="218">
        <f>-'ISWC - with Modifications'!U129</f>
        <v>-412957520.69708329</v>
      </c>
      <c r="E8" s="218">
        <f t="shared" si="0"/>
        <v>-237374995.91750008</v>
      </c>
      <c r="F8" s="218">
        <v>0</v>
      </c>
      <c r="G8" s="218">
        <f t="shared" si="1"/>
        <v>237374995.91750008</v>
      </c>
      <c r="H8" s="224">
        <f>'ISWC - As Approved'!$X$177</f>
        <v>5.6225957558271401E-2</v>
      </c>
      <c r="I8" s="220">
        <f>G8*H8</f>
        <v>13346636.445852207</v>
      </c>
    </row>
    <row r="9" spans="2:9">
      <c r="B9" s="217" t="s">
        <v>782</v>
      </c>
      <c r="C9" s="218">
        <f>'GL balances'!C61</f>
        <v>146766081.04166666</v>
      </c>
      <c r="D9" s="218">
        <f>-'ISWC - with Modifications'!U166</f>
        <v>-253329896.83333337</v>
      </c>
      <c r="E9" s="218">
        <f>-C9-D9</f>
        <v>106563815.79166672</v>
      </c>
      <c r="F9" s="218">
        <v>0</v>
      </c>
      <c r="G9" s="297">
        <f>F9-E9</f>
        <v>-106563815.79166672</v>
      </c>
      <c r="H9" s="224">
        <f>'ISWC - As Approved'!$X$177</f>
        <v>5.6225957558271401E-2</v>
      </c>
      <c r="I9" s="220">
        <f>G9*H9</f>
        <v>-5991652.5839497047</v>
      </c>
    </row>
    <row r="10" spans="2:9">
      <c r="B10" s="217" t="s">
        <v>783</v>
      </c>
      <c r="C10" s="218">
        <f>-'GL balances'!C41</f>
        <v>-1250811.625</v>
      </c>
      <c r="D10" s="218">
        <f>-'GL balances'!F41</f>
        <v>11691273.213333333</v>
      </c>
      <c r="E10" s="218">
        <f t="shared" si="0"/>
        <v>-10440461.588333333</v>
      </c>
      <c r="F10" s="218">
        <v>0</v>
      </c>
      <c r="G10" s="218">
        <f t="shared" si="1"/>
        <v>10440461.588333333</v>
      </c>
      <c r="H10" s="224">
        <f>'ISWC - As Approved'!$X$177</f>
        <v>5.6225957558271401E-2</v>
      </c>
      <c r="I10" s="220">
        <f>H10*G10</f>
        <v>587024.95015439275</v>
      </c>
    </row>
    <row r="11" spans="2:9" ht="12.75" thickBot="1">
      <c r="B11" s="217" t="s">
        <v>668</v>
      </c>
      <c r="C11" s="225">
        <f>SUM(C7:C10)</f>
        <v>768856648.38291669</v>
      </c>
      <c r="D11" s="225">
        <f>SUM(D7:D10)</f>
        <v>-399406684.48124999</v>
      </c>
      <c r="E11" s="225">
        <f>SUM(E7:E10)</f>
        <v>-369449963.9016667</v>
      </c>
      <c r="F11" s="225">
        <v>0</v>
      </c>
      <c r="G11" s="225">
        <f t="shared" si="1"/>
        <v>369449963.9016667</v>
      </c>
      <c r="H11" s="224"/>
      <c r="I11" s="226">
        <f>SUM(I7:I10)</f>
        <v>20772677.990240015</v>
      </c>
    </row>
    <row r="12" spans="2:9" ht="12.75" thickTop="1">
      <c r="B12" s="217"/>
      <c r="C12" s="218"/>
      <c r="D12" s="218"/>
      <c r="E12" s="218"/>
      <c r="F12" s="218"/>
      <c r="G12" s="218"/>
      <c r="H12" s="224"/>
      <c r="I12" s="220"/>
    </row>
    <row r="13" spans="2:9">
      <c r="B13" s="217" t="s">
        <v>774</v>
      </c>
      <c r="C13" s="218"/>
      <c r="D13" s="218"/>
      <c r="E13" s="218"/>
      <c r="F13" s="218"/>
      <c r="G13" s="218"/>
      <c r="H13" s="224">
        <f>H15-H9</f>
        <v>1.5278012791928655E-3</v>
      </c>
      <c r="I13" s="220">
        <f>(F15-E15)*H13</f>
        <v>753771.10320559831</v>
      </c>
    </row>
    <row r="14" spans="2:9">
      <c r="B14" s="217"/>
      <c r="C14" s="218"/>
      <c r="D14" s="218"/>
      <c r="E14" s="218"/>
      <c r="F14" s="218"/>
      <c r="G14" s="218"/>
      <c r="H14" s="224"/>
      <c r="I14" s="220"/>
    </row>
    <row r="15" spans="2:9" ht="12.75" thickBot="1">
      <c r="B15" s="217" t="s">
        <v>669</v>
      </c>
      <c r="C15" s="218">
        <f>C4+C11</f>
        <v>1968261911.6447222</v>
      </c>
      <c r="D15" s="218">
        <f t="shared" ref="D15:G15" si="2">D4+D11</f>
        <v>-1474892051.65625</v>
      </c>
      <c r="E15" s="218">
        <f t="shared" si="2"/>
        <v>13596452785.160688</v>
      </c>
      <c r="F15" s="218">
        <f t="shared" si="2"/>
        <v>14089822645.149164</v>
      </c>
      <c r="G15" s="218">
        <f t="shared" si="2"/>
        <v>493369859.98847586</v>
      </c>
      <c r="H15" s="224">
        <f>'ISWC - with Modifications'!X177</f>
        <v>5.7753758837464267E-2</v>
      </c>
      <c r="I15" s="220">
        <f>+G15*H15</f>
        <v>28493963.911447946</v>
      </c>
    </row>
    <row r="16" spans="2:9" ht="12.75" thickBot="1">
      <c r="B16" s="228" t="s">
        <v>686</v>
      </c>
      <c r="C16" s="229">
        <f>C15-C4</f>
        <v>768856648.38291669</v>
      </c>
      <c r="D16" s="229">
        <f>D15-D4</f>
        <v>-399406684.48125005</v>
      </c>
      <c r="E16" s="229">
        <f>E15-E4</f>
        <v>-369449963.90166664</v>
      </c>
      <c r="F16" s="229">
        <f>F15-F4</f>
        <v>0</v>
      </c>
      <c r="G16" s="229">
        <f>G15-G4</f>
        <v>369449963.9016667</v>
      </c>
      <c r="H16" s="296"/>
      <c r="I16" s="230">
        <f>I15-I4</f>
        <v>21526449.093445614</v>
      </c>
    </row>
    <row r="17" spans="2:15">
      <c r="B17" s="223"/>
      <c r="C17" s="223"/>
      <c r="D17" s="223"/>
      <c r="E17" s="223"/>
      <c r="F17" s="223"/>
      <c r="G17" s="223"/>
      <c r="H17" s="223"/>
      <c r="I17" s="223"/>
    </row>
    <row r="18" spans="2:15" ht="12.75" thickBot="1">
      <c r="B18" s="223"/>
      <c r="C18" s="218"/>
      <c r="D18" s="218"/>
      <c r="E18" s="218"/>
      <c r="F18" s="218"/>
      <c r="G18" s="218"/>
      <c r="H18" s="231"/>
      <c r="I18" s="232"/>
    </row>
    <row r="19" spans="2:15" ht="12.75" thickBot="1">
      <c r="B19" s="234" t="s">
        <v>763</v>
      </c>
      <c r="C19" s="235"/>
      <c r="D19" s="235"/>
      <c r="E19" s="235"/>
      <c r="F19" s="235"/>
      <c r="G19" s="236"/>
      <c r="H19" s="233"/>
      <c r="I19" s="233"/>
      <c r="K19" s="237"/>
      <c r="L19" s="237"/>
      <c r="M19" s="237"/>
      <c r="N19" s="237"/>
      <c r="O19" s="237"/>
    </row>
    <row r="20" spans="2:15" ht="90.75" customHeight="1" thickBot="1">
      <c r="B20" s="301" t="s">
        <v>764</v>
      </c>
      <c r="C20" s="302"/>
      <c r="D20" s="302"/>
      <c r="E20" s="302"/>
      <c r="F20" s="302"/>
      <c r="G20" s="303"/>
      <c r="H20" s="233"/>
      <c r="I20" s="233"/>
      <c r="K20" s="233"/>
      <c r="L20" s="233"/>
      <c r="M20" s="233"/>
      <c r="N20" s="233"/>
      <c r="O20" s="233"/>
    </row>
    <row r="21" spans="2:15" ht="12.75" thickBot="1">
      <c r="H21" s="233"/>
      <c r="I21" s="233"/>
      <c r="J21" s="233"/>
      <c r="K21" s="223"/>
      <c r="L21" s="223"/>
      <c r="M21" s="223"/>
      <c r="N21" s="223"/>
      <c r="O21" s="223"/>
    </row>
    <row r="22" spans="2:15" ht="12.75" thickBot="1">
      <c r="B22" s="304" t="s">
        <v>684</v>
      </c>
      <c r="C22" s="305"/>
      <c r="D22" s="305"/>
      <c r="E22" s="305"/>
      <c r="F22" s="305"/>
      <c r="G22" s="306"/>
      <c r="K22" s="237"/>
      <c r="L22" s="237"/>
      <c r="M22" s="237"/>
      <c r="N22" s="237"/>
      <c r="O22" s="237"/>
    </row>
    <row r="23" spans="2:15" ht="105" customHeight="1" thickBot="1">
      <c r="B23" s="301" t="s">
        <v>683</v>
      </c>
      <c r="C23" s="302"/>
      <c r="D23" s="302"/>
      <c r="E23" s="302"/>
      <c r="F23" s="302"/>
      <c r="G23" s="303"/>
      <c r="H23" s="233"/>
      <c r="I23" s="233"/>
      <c r="J23" s="233"/>
      <c r="K23" s="233"/>
      <c r="L23" s="233"/>
      <c r="M23" s="233"/>
      <c r="N23" s="233"/>
      <c r="O23" s="233"/>
    </row>
    <row r="24" spans="2:15" ht="12.75" thickBot="1">
      <c r="H24" s="233"/>
      <c r="I24" s="233"/>
      <c r="J24" s="233"/>
    </row>
    <row r="25" spans="2:15" ht="12.75" thickBot="1">
      <c r="B25" s="304" t="s">
        <v>784</v>
      </c>
      <c r="C25" s="305"/>
      <c r="D25" s="305"/>
      <c r="E25" s="305"/>
      <c r="F25" s="305"/>
      <c r="G25" s="306"/>
      <c r="H25" s="233"/>
      <c r="I25" s="233"/>
      <c r="J25" s="233"/>
    </row>
    <row r="26" spans="2:15" ht="42" customHeight="1" thickBot="1">
      <c r="B26" s="301" t="s">
        <v>785</v>
      </c>
      <c r="C26" s="302"/>
      <c r="D26" s="302"/>
      <c r="E26" s="302"/>
      <c r="F26" s="302"/>
      <c r="G26" s="303"/>
      <c r="H26" s="233"/>
      <c r="I26" s="233"/>
      <c r="J26" s="233"/>
    </row>
    <row r="27" spans="2:15" ht="12.75" thickBot="1">
      <c r="H27" s="233"/>
      <c r="I27" s="233"/>
      <c r="J27" s="233"/>
    </row>
    <row r="28" spans="2:15" ht="12.75" thickBot="1">
      <c r="B28" s="304" t="s">
        <v>786</v>
      </c>
      <c r="C28" s="305"/>
      <c r="D28" s="305"/>
      <c r="E28" s="305"/>
      <c r="F28" s="305"/>
      <c r="G28" s="306"/>
      <c r="K28" s="237"/>
      <c r="L28" s="237"/>
      <c r="M28" s="237"/>
      <c r="N28" s="237"/>
      <c r="O28" s="237"/>
    </row>
    <row r="29" spans="2:15" ht="74.25" customHeight="1" thickBot="1">
      <c r="B29" s="301" t="s">
        <v>771</v>
      </c>
      <c r="C29" s="302"/>
      <c r="D29" s="302"/>
      <c r="E29" s="302"/>
      <c r="F29" s="302"/>
      <c r="G29" s="303"/>
      <c r="H29" s="233"/>
      <c r="I29" s="233"/>
      <c r="J29" s="233"/>
      <c r="K29" s="233"/>
      <c r="L29" s="233"/>
      <c r="M29" s="233"/>
      <c r="N29" s="233"/>
      <c r="O29" s="233"/>
    </row>
    <row r="30" spans="2:15" ht="12.75" thickBot="1">
      <c r="H30" s="233"/>
      <c r="I30" s="233"/>
      <c r="J30" s="233"/>
    </row>
    <row r="31" spans="2:15" ht="12.75" thickBot="1">
      <c r="B31" s="304" t="s">
        <v>775</v>
      </c>
      <c r="C31" s="305"/>
      <c r="D31" s="305"/>
      <c r="E31" s="305"/>
      <c r="F31" s="305"/>
      <c r="G31" s="306"/>
      <c r="H31" s="233"/>
      <c r="I31" s="233"/>
      <c r="J31" s="233"/>
    </row>
    <row r="32" spans="2:15" ht="78" customHeight="1" thickBot="1">
      <c r="B32" s="301" t="s">
        <v>765</v>
      </c>
      <c r="C32" s="302"/>
      <c r="D32" s="302"/>
      <c r="E32" s="302"/>
      <c r="F32" s="302"/>
      <c r="G32" s="303"/>
    </row>
  </sheetData>
  <mergeCells count="9">
    <mergeCell ref="B32:G32"/>
    <mergeCell ref="B28:G28"/>
    <mergeCell ref="B31:G31"/>
    <mergeCell ref="B20:G20"/>
    <mergeCell ref="B22:G22"/>
    <mergeCell ref="B23:G23"/>
    <mergeCell ref="B25:G25"/>
    <mergeCell ref="B26:G26"/>
    <mergeCell ref="B29:G29"/>
  </mergeCells>
  <pageMargins left="0.7" right="0.7" top="0.75" bottom="0.75" header="0.3" footer="0.3"/>
  <pageSetup scale="70" orientation="landscape" r:id="rId1"/>
  <rowBreaks count="1" manualBreakCount="1">
    <brk id="29" max="8" man="1"/>
  </rowBreaks>
</worksheet>
</file>

<file path=xl/worksheets/sheet4.xml><?xml version="1.0" encoding="utf-8"?>
<worksheet xmlns="http://schemas.openxmlformats.org/spreadsheetml/2006/main" xmlns:r="http://schemas.openxmlformats.org/officeDocument/2006/relationships">
  <sheetPr>
    <pageSetUpPr fitToPage="1"/>
  </sheetPr>
  <dimension ref="A1:L351"/>
  <sheetViews>
    <sheetView zoomScaleNormal="100" workbookViewId="0">
      <pane ySplit="5" topLeftCell="A6" activePane="bottomLeft" state="frozen"/>
      <selection pane="bottomLeft" activeCell="A96" sqref="A96"/>
    </sheetView>
  </sheetViews>
  <sheetFormatPr defaultRowHeight="15" outlineLevelRow="1"/>
  <cols>
    <col min="1" max="1" width="9.140625" style="94"/>
    <col min="2" max="2" width="50" style="94" bestFit="1" customWidth="1"/>
    <col min="3" max="3" width="6.85546875" style="94" bestFit="1" customWidth="1"/>
    <col min="4" max="4" width="8.5703125" style="94" bestFit="1" customWidth="1"/>
    <col min="5" max="5" width="24.7109375" style="94" customWidth="1"/>
    <col min="6" max="6" width="16" style="94" bestFit="1" customWidth="1"/>
    <col min="7" max="7" width="14" style="94" bestFit="1" customWidth="1"/>
    <col min="8" max="8" width="14.7109375" style="94" customWidth="1"/>
    <col min="9" max="9" width="14.85546875" style="94" customWidth="1"/>
    <col min="10" max="10" width="9.140625" style="94"/>
    <col min="11" max="11" width="10.140625" style="105" customWidth="1"/>
    <col min="12" max="12" width="8.140625" style="105" bestFit="1" customWidth="1"/>
    <col min="13" max="16384" width="9.140625" style="94"/>
  </cols>
  <sheetData>
    <row r="1" spans="1:12" ht="18.75">
      <c r="A1" s="93" t="s">
        <v>667</v>
      </c>
    </row>
    <row r="2" spans="1:12">
      <c r="A2" s="95" t="s">
        <v>540</v>
      </c>
    </row>
    <row r="3" spans="1:12" ht="15.75" thickBot="1">
      <c r="F3" s="151"/>
    </row>
    <row r="4" spans="1:12" ht="15.75" thickBot="1">
      <c r="B4" s="151"/>
      <c r="K4" s="307" t="s">
        <v>539</v>
      </c>
      <c r="L4" s="308"/>
    </row>
    <row r="5" spans="1:12" ht="57" customHeight="1">
      <c r="A5" s="96" t="s">
        <v>309</v>
      </c>
      <c r="B5" s="96" t="s">
        <v>310</v>
      </c>
      <c r="C5" s="96" t="s">
        <v>237</v>
      </c>
      <c r="D5" s="96" t="s">
        <v>237</v>
      </c>
      <c r="E5" s="96" t="s">
        <v>311</v>
      </c>
      <c r="F5" s="97" t="s">
        <v>312</v>
      </c>
      <c r="G5" s="97" t="s">
        <v>313</v>
      </c>
      <c r="H5" s="141" t="s">
        <v>170</v>
      </c>
      <c r="I5" s="142" t="s">
        <v>662</v>
      </c>
      <c r="K5" s="105" t="s">
        <v>175</v>
      </c>
      <c r="L5" s="105" t="s">
        <v>328</v>
      </c>
    </row>
    <row r="6" spans="1:12" hidden="1" outlineLevel="1">
      <c r="A6" s="98"/>
      <c r="B6" s="148" t="s">
        <v>314</v>
      </c>
      <c r="C6" s="148" t="s">
        <v>315</v>
      </c>
      <c r="D6" s="242">
        <v>0</v>
      </c>
      <c r="E6" s="149" t="s">
        <v>316</v>
      </c>
      <c r="F6" s="150">
        <v>50123.684166666673</v>
      </c>
      <c r="G6" s="99">
        <v>0</v>
      </c>
      <c r="H6" s="140">
        <f t="shared" ref="H6:H37" si="0">F6</f>
        <v>50123.684166666673</v>
      </c>
    </row>
    <row r="7" spans="1:12" hidden="1" outlineLevel="1">
      <c r="A7" s="98"/>
      <c r="B7" s="148" t="s">
        <v>317</v>
      </c>
      <c r="C7" s="148" t="s">
        <v>318</v>
      </c>
      <c r="D7" s="242">
        <f>VLOOKUP(C7,[4]Factors!$B$1:$E$65536,4,FALSE)</f>
        <v>0</v>
      </c>
      <c r="E7" s="149" t="s">
        <v>319</v>
      </c>
      <c r="F7" s="150">
        <v>882774.28375000006</v>
      </c>
      <c r="G7" s="99">
        <v>0</v>
      </c>
      <c r="H7" s="140">
        <f t="shared" si="0"/>
        <v>882774.28375000006</v>
      </c>
    </row>
    <row r="8" spans="1:12" hidden="1" outlineLevel="1">
      <c r="A8" s="98"/>
      <c r="B8" s="148" t="s">
        <v>320</v>
      </c>
      <c r="C8" s="148" t="s">
        <v>318</v>
      </c>
      <c r="D8" s="242">
        <f>VLOOKUP(C8,[4]Factors!$B$1:$E$65536,4,FALSE)</f>
        <v>0</v>
      </c>
      <c r="E8" s="149" t="s">
        <v>319</v>
      </c>
      <c r="F8" s="150">
        <v>-137252.03374999878</v>
      </c>
      <c r="G8" s="99">
        <v>0</v>
      </c>
      <c r="H8" s="140">
        <f t="shared" si="0"/>
        <v>-137252.03374999878</v>
      </c>
    </row>
    <row r="9" spans="1:12" hidden="1" outlineLevel="1">
      <c r="A9" s="98"/>
      <c r="B9" s="148" t="s">
        <v>321</v>
      </c>
      <c r="C9" s="148" t="s">
        <v>268</v>
      </c>
      <c r="D9" s="242">
        <f>VLOOKUP(C9,[4]Factors!$B$1:$E$65536,4,FALSE)</f>
        <v>0</v>
      </c>
      <c r="E9" s="149" t="s">
        <v>322</v>
      </c>
      <c r="F9" s="150">
        <v>234099.34166666662</v>
      </c>
      <c r="G9" s="99">
        <v>0</v>
      </c>
      <c r="H9" s="140">
        <f t="shared" si="0"/>
        <v>234099.34166666662</v>
      </c>
    </row>
    <row r="10" spans="1:12" hidden="1" outlineLevel="1">
      <c r="A10" s="98"/>
      <c r="B10" s="148" t="s">
        <v>323</v>
      </c>
      <c r="C10" s="148" t="s">
        <v>268</v>
      </c>
      <c r="D10" s="242">
        <f>VLOOKUP(C10,[4]Factors!$B$1:$E$65536,4,FALSE)</f>
        <v>0</v>
      </c>
      <c r="E10" s="149" t="s">
        <v>322</v>
      </c>
      <c r="F10" s="150">
        <v>70110066.382083341</v>
      </c>
      <c r="G10" s="99">
        <v>0</v>
      </c>
      <c r="H10" s="140">
        <f t="shared" si="0"/>
        <v>70110066.382083341</v>
      </c>
    </row>
    <row r="11" spans="1:12" hidden="1" outlineLevel="1">
      <c r="A11" s="98"/>
      <c r="B11" s="148" t="s">
        <v>324</v>
      </c>
      <c r="C11" s="148" t="s">
        <v>268</v>
      </c>
      <c r="D11" s="242">
        <f>VLOOKUP(C11,[4]Factors!$B$1:$E$65536,4,FALSE)</f>
        <v>0</v>
      </c>
      <c r="E11" s="148" t="s">
        <v>325</v>
      </c>
      <c r="F11" s="150">
        <v>1629544.8337499988</v>
      </c>
      <c r="G11" s="99">
        <v>0</v>
      </c>
      <c r="H11" s="140">
        <f t="shared" si="0"/>
        <v>1629544.8337499988</v>
      </c>
    </row>
    <row r="12" spans="1:12" hidden="1" outlineLevel="1">
      <c r="A12" s="98"/>
      <c r="B12" s="148" t="s">
        <v>326</v>
      </c>
      <c r="C12" s="148" t="s">
        <v>268</v>
      </c>
      <c r="D12" s="242">
        <f>VLOOKUP(C12,[4]Factors!$B$1:$E$65536,4,FALSE)</f>
        <v>0</v>
      </c>
      <c r="E12" s="148" t="s">
        <v>325</v>
      </c>
      <c r="F12" s="150">
        <v>566862.06541666668</v>
      </c>
      <c r="G12" s="99">
        <v>0</v>
      </c>
      <c r="H12" s="140">
        <f t="shared" si="0"/>
        <v>566862.06541666668</v>
      </c>
    </row>
    <row r="13" spans="1:12" hidden="1" outlineLevel="1">
      <c r="A13" s="98"/>
      <c r="B13" s="148" t="s">
        <v>327</v>
      </c>
      <c r="C13" s="148" t="s">
        <v>328</v>
      </c>
      <c r="D13" s="242">
        <v>1</v>
      </c>
      <c r="E13" s="148" t="s">
        <v>316</v>
      </c>
      <c r="F13" s="150">
        <v>12000000</v>
      </c>
      <c r="G13" s="99">
        <v>12000000</v>
      </c>
      <c r="H13" s="140">
        <f t="shared" si="0"/>
        <v>12000000</v>
      </c>
    </row>
    <row r="14" spans="1:12" hidden="1" outlineLevel="1">
      <c r="A14" s="98"/>
      <c r="B14" s="148" t="s">
        <v>329</v>
      </c>
      <c r="C14" s="148" t="s">
        <v>330</v>
      </c>
      <c r="D14" s="242">
        <f>VLOOKUP(C14,[4]Factors!$B$1:$E$65536,4,FALSE)</f>
        <v>0</v>
      </c>
      <c r="E14" s="148" t="s">
        <v>316</v>
      </c>
      <c r="F14" s="150">
        <v>6266873.1400000006</v>
      </c>
      <c r="G14" s="99">
        <v>0</v>
      </c>
      <c r="H14" s="140">
        <f t="shared" si="0"/>
        <v>6266873.1400000006</v>
      </c>
    </row>
    <row r="15" spans="1:12" hidden="1" outlineLevel="1">
      <c r="A15" s="98"/>
      <c r="B15" s="148" t="s">
        <v>329</v>
      </c>
      <c r="C15" s="148" t="s">
        <v>331</v>
      </c>
      <c r="D15" s="242">
        <v>0</v>
      </c>
      <c r="E15" s="148" t="s">
        <v>316</v>
      </c>
      <c r="F15" s="150">
        <v>-184101.45</v>
      </c>
      <c r="G15" s="99">
        <v>0</v>
      </c>
      <c r="H15" s="140">
        <f t="shared" si="0"/>
        <v>-184101.45</v>
      </c>
    </row>
    <row r="16" spans="1:12" hidden="1" outlineLevel="1">
      <c r="A16" s="98"/>
      <c r="B16" s="148" t="s">
        <v>329</v>
      </c>
      <c r="C16" s="148" t="s">
        <v>268</v>
      </c>
      <c r="D16" s="242">
        <f>VLOOKUP(C16,[4]Factors!$B$1:$E$65536,4,FALSE)</f>
        <v>0</v>
      </c>
      <c r="E16" s="148" t="s">
        <v>316</v>
      </c>
      <c r="F16" s="150">
        <v>-541618.26000000047</v>
      </c>
      <c r="G16" s="99">
        <v>0</v>
      </c>
      <c r="H16" s="140">
        <f t="shared" si="0"/>
        <v>-541618.26000000047</v>
      </c>
    </row>
    <row r="17" spans="1:8" hidden="1" outlineLevel="1">
      <c r="A17" s="98"/>
      <c r="B17" s="148" t="s">
        <v>329</v>
      </c>
      <c r="C17" s="148" t="s">
        <v>332</v>
      </c>
      <c r="D17" s="242">
        <v>0</v>
      </c>
      <c r="E17" s="148" t="s">
        <v>316</v>
      </c>
      <c r="F17" s="150">
        <v>-300456.4800000001</v>
      </c>
      <c r="G17" s="99">
        <v>0</v>
      </c>
      <c r="H17" s="140">
        <f t="shared" si="0"/>
        <v>-300456.4800000001</v>
      </c>
    </row>
    <row r="18" spans="1:8" hidden="1" outlineLevel="1">
      <c r="A18" s="98"/>
      <c r="B18" s="148" t="s">
        <v>333</v>
      </c>
      <c r="C18" s="148" t="s">
        <v>281</v>
      </c>
      <c r="D18" s="242">
        <v>0</v>
      </c>
      <c r="E18" s="148" t="s">
        <v>325</v>
      </c>
      <c r="F18" s="150">
        <v>-207989.23499999833</v>
      </c>
      <c r="G18" s="99">
        <v>0</v>
      </c>
      <c r="H18" s="140">
        <f t="shared" si="0"/>
        <v>-207989.23499999833</v>
      </c>
    </row>
    <row r="19" spans="1:8" hidden="1" outlineLevel="1">
      <c r="A19" s="98"/>
      <c r="B19" s="148" t="s">
        <v>334</v>
      </c>
      <c r="C19" s="148" t="s">
        <v>318</v>
      </c>
      <c r="D19" s="242">
        <f>VLOOKUP(C19,[4]Factors!$B$1:$E$65536,4,FALSE)</f>
        <v>0</v>
      </c>
      <c r="E19" s="148" t="s">
        <v>325</v>
      </c>
      <c r="F19" s="150">
        <v>212664</v>
      </c>
      <c r="G19" s="99">
        <v>0</v>
      </c>
      <c r="H19" s="140">
        <f t="shared" si="0"/>
        <v>212664</v>
      </c>
    </row>
    <row r="20" spans="1:8" hidden="1" outlineLevel="1">
      <c r="A20" s="98"/>
      <c r="B20" s="148" t="s">
        <v>335</v>
      </c>
      <c r="C20" s="148" t="s">
        <v>283</v>
      </c>
      <c r="D20" s="242">
        <v>0</v>
      </c>
      <c r="E20" s="148" t="s">
        <v>316</v>
      </c>
      <c r="F20" s="150">
        <v>1545692.2083333333</v>
      </c>
      <c r="G20" s="99">
        <v>0</v>
      </c>
      <c r="H20" s="140">
        <f t="shared" si="0"/>
        <v>1545692.2083333333</v>
      </c>
    </row>
    <row r="21" spans="1:8" hidden="1" outlineLevel="1">
      <c r="A21" s="98"/>
      <c r="B21" s="148" t="s">
        <v>336</v>
      </c>
      <c r="C21" s="148" t="s">
        <v>318</v>
      </c>
      <c r="D21" s="242">
        <f>VLOOKUP(C21,[4]Factors!$B$1:$E$65536,4,FALSE)</f>
        <v>0</v>
      </c>
      <c r="E21" s="148" t="s">
        <v>325</v>
      </c>
      <c r="F21" s="150">
        <v>416337.75</v>
      </c>
      <c r="G21" s="99">
        <v>0</v>
      </c>
      <c r="H21" s="140">
        <f t="shared" si="0"/>
        <v>416337.75</v>
      </c>
    </row>
    <row r="22" spans="1:8" hidden="1" outlineLevel="1">
      <c r="A22" s="98"/>
      <c r="B22" s="148" t="s">
        <v>337</v>
      </c>
      <c r="C22" s="148" t="s">
        <v>318</v>
      </c>
      <c r="D22" s="242">
        <f>VLOOKUP(C22,[4]Factors!$B$1:$E$65536,4,FALSE)</f>
        <v>0</v>
      </c>
      <c r="E22" s="148" t="s">
        <v>319</v>
      </c>
      <c r="F22" s="150">
        <v>872409.95999999985</v>
      </c>
      <c r="G22" s="99">
        <v>0</v>
      </c>
      <c r="H22" s="140">
        <f t="shared" si="0"/>
        <v>872409.95999999985</v>
      </c>
    </row>
    <row r="23" spans="1:8" hidden="1" outlineLevel="1">
      <c r="A23" s="98"/>
      <c r="B23" s="148" t="s">
        <v>338</v>
      </c>
      <c r="C23" s="148" t="s">
        <v>318</v>
      </c>
      <c r="D23" s="242">
        <f>VLOOKUP(C23,[4]Factors!$B$1:$E$65536,4,FALSE)</f>
        <v>0</v>
      </c>
      <c r="E23" s="148" t="s">
        <v>319</v>
      </c>
      <c r="F23" s="150">
        <v>-369786.56625000003</v>
      </c>
      <c r="G23" s="99">
        <v>0</v>
      </c>
      <c r="H23" s="140">
        <f t="shared" si="0"/>
        <v>-369786.56625000003</v>
      </c>
    </row>
    <row r="24" spans="1:8" hidden="1" outlineLevel="1">
      <c r="A24" s="98"/>
      <c r="B24" s="148" t="s">
        <v>339</v>
      </c>
      <c r="C24" s="148" t="s">
        <v>318</v>
      </c>
      <c r="D24" s="242">
        <f>VLOOKUP(C24,[4]Factors!$B$1:$E$65536,4,FALSE)</f>
        <v>0</v>
      </c>
      <c r="E24" s="148" t="s">
        <v>319</v>
      </c>
      <c r="F24" s="150">
        <v>298646.91666666663</v>
      </c>
      <c r="G24" s="99">
        <v>0</v>
      </c>
      <c r="H24" s="140">
        <f t="shared" si="0"/>
        <v>298646.91666666663</v>
      </c>
    </row>
    <row r="25" spans="1:8" hidden="1" outlineLevel="1">
      <c r="A25" s="98"/>
      <c r="B25" s="148" t="s">
        <v>340</v>
      </c>
      <c r="C25" s="148" t="s">
        <v>318</v>
      </c>
      <c r="D25" s="242">
        <f>VLOOKUP(C25,[4]Factors!$B$1:$E$65536,4,FALSE)</f>
        <v>0</v>
      </c>
      <c r="E25" s="148" t="s">
        <v>319</v>
      </c>
      <c r="F25" s="150">
        <v>-272397.61833333335</v>
      </c>
      <c r="G25" s="99">
        <v>0</v>
      </c>
      <c r="H25" s="140">
        <f t="shared" si="0"/>
        <v>-272397.61833333335</v>
      </c>
    </row>
    <row r="26" spans="1:8" hidden="1" outlineLevel="1">
      <c r="A26" s="98"/>
      <c r="B26" s="148" t="s">
        <v>341</v>
      </c>
      <c r="C26" s="148" t="s">
        <v>318</v>
      </c>
      <c r="D26" s="242">
        <f>VLOOKUP(C26,[4]Factors!$B$1:$E$65536,4,FALSE)</f>
        <v>0</v>
      </c>
      <c r="E26" s="148" t="s">
        <v>325</v>
      </c>
      <c r="F26" s="150">
        <v>643764.96749999805</v>
      </c>
      <c r="G26" s="99">
        <v>0</v>
      </c>
      <c r="H26" s="140">
        <f t="shared" si="0"/>
        <v>643764.96749999805</v>
      </c>
    </row>
    <row r="27" spans="1:8" hidden="1" outlineLevel="1">
      <c r="A27" s="98"/>
      <c r="B27" s="148" t="s">
        <v>342</v>
      </c>
      <c r="C27" s="148" t="s">
        <v>318</v>
      </c>
      <c r="D27" s="242">
        <f>VLOOKUP(C27,[4]Factors!$B$1:$E$65536,4,FALSE)</f>
        <v>0</v>
      </c>
      <c r="E27" s="148" t="s">
        <v>319</v>
      </c>
      <c r="F27" s="150">
        <v>4909564.8100000015</v>
      </c>
      <c r="G27" s="99">
        <v>0</v>
      </c>
      <c r="H27" s="140">
        <f t="shared" si="0"/>
        <v>4909564.8100000015</v>
      </c>
    </row>
    <row r="28" spans="1:8" hidden="1" outlineLevel="1">
      <c r="A28" s="98"/>
      <c r="B28" s="148" t="s">
        <v>343</v>
      </c>
      <c r="C28" s="148" t="s">
        <v>318</v>
      </c>
      <c r="D28" s="242">
        <f>VLOOKUP(C28,[4]Factors!$B$1:$E$65536,4,FALSE)</f>
        <v>0</v>
      </c>
      <c r="E28" s="148" t="s">
        <v>319</v>
      </c>
      <c r="F28" s="150">
        <v>-1015355.5833333334</v>
      </c>
      <c r="G28" s="99">
        <v>0</v>
      </c>
      <c r="H28" s="140">
        <f t="shared" si="0"/>
        <v>-1015355.5833333334</v>
      </c>
    </row>
    <row r="29" spans="1:8" hidden="1" outlineLevel="1">
      <c r="A29" s="98"/>
      <c r="B29" s="148" t="s">
        <v>344</v>
      </c>
      <c r="C29" s="148" t="s">
        <v>318</v>
      </c>
      <c r="D29" s="242">
        <f>VLOOKUP(C29,[4]Factors!$B$1:$E$65536,4,FALSE)</f>
        <v>0</v>
      </c>
      <c r="E29" s="148" t="s">
        <v>319</v>
      </c>
      <c r="F29" s="150">
        <v>2564338.6841666671</v>
      </c>
      <c r="G29" s="99">
        <v>0</v>
      </c>
      <c r="H29" s="140">
        <f t="shared" si="0"/>
        <v>2564338.6841666671</v>
      </c>
    </row>
    <row r="30" spans="1:8" hidden="1" outlineLevel="1">
      <c r="A30" s="98"/>
      <c r="B30" s="148" t="s">
        <v>345</v>
      </c>
      <c r="C30" s="148" t="s">
        <v>318</v>
      </c>
      <c r="D30" s="242">
        <f>VLOOKUP(C30,[4]Factors!$B$1:$E$65536,4,FALSE)</f>
        <v>0</v>
      </c>
      <c r="E30" s="148" t="s">
        <v>319</v>
      </c>
      <c r="F30" s="150">
        <v>271588.61458333209</v>
      </c>
      <c r="G30" s="99">
        <v>0</v>
      </c>
      <c r="H30" s="140">
        <f t="shared" si="0"/>
        <v>271588.61458333209</v>
      </c>
    </row>
    <row r="31" spans="1:8" hidden="1" outlineLevel="1">
      <c r="A31" s="98"/>
      <c r="B31" s="148" t="s">
        <v>346</v>
      </c>
      <c r="C31" s="148" t="s">
        <v>318</v>
      </c>
      <c r="D31" s="242">
        <f>VLOOKUP(C31,[4]Factors!$B$1:$E$65536,4,FALSE)</f>
        <v>0</v>
      </c>
      <c r="E31" s="148" t="s">
        <v>319</v>
      </c>
      <c r="F31" s="150">
        <v>58176640.859999999</v>
      </c>
      <c r="G31" s="99">
        <v>0</v>
      </c>
      <c r="H31" s="140">
        <f t="shared" si="0"/>
        <v>58176640.859999999</v>
      </c>
    </row>
    <row r="32" spans="1:8" hidden="1" outlineLevel="1">
      <c r="A32" s="98"/>
      <c r="B32" s="148" t="s">
        <v>347</v>
      </c>
      <c r="C32" s="148" t="s">
        <v>268</v>
      </c>
      <c r="D32" s="242">
        <f>VLOOKUP(C32,[4]Factors!$B$1:$E$65536,4,FALSE)</f>
        <v>0</v>
      </c>
      <c r="E32" s="148" t="s">
        <v>319</v>
      </c>
      <c r="F32" s="150">
        <v>807935.21916666778</v>
      </c>
      <c r="G32" s="99">
        <v>0</v>
      </c>
      <c r="H32" s="140">
        <f t="shared" si="0"/>
        <v>807935.21916666778</v>
      </c>
    </row>
    <row r="33" spans="1:9" hidden="1" outlineLevel="1">
      <c r="A33" s="98"/>
      <c r="B33" s="148" t="s">
        <v>348</v>
      </c>
      <c r="C33" s="148" t="s">
        <v>318</v>
      </c>
      <c r="D33" s="242">
        <f>VLOOKUP(C33,[4]Factors!$B$1:$E$65536,4,FALSE)</f>
        <v>0</v>
      </c>
      <c r="E33" s="148" t="s">
        <v>319</v>
      </c>
      <c r="F33" s="150">
        <v>4423247.9474999998</v>
      </c>
      <c r="G33" s="99">
        <v>0</v>
      </c>
      <c r="H33" s="140">
        <f t="shared" si="0"/>
        <v>4423247.9474999998</v>
      </c>
    </row>
    <row r="34" spans="1:9" hidden="1" outlineLevel="1">
      <c r="A34" s="98"/>
      <c r="B34" s="148" t="s">
        <v>349</v>
      </c>
      <c r="C34" s="148" t="s">
        <v>318</v>
      </c>
      <c r="D34" s="242">
        <f>VLOOKUP(C34,[4]Factors!$B$1:$E$65536,4,FALSE)</f>
        <v>0</v>
      </c>
      <c r="E34" s="148" t="s">
        <v>319</v>
      </c>
      <c r="F34" s="150">
        <v>25103288.028333336</v>
      </c>
      <c r="G34" s="99">
        <v>0</v>
      </c>
      <c r="H34" s="140">
        <f t="shared" si="0"/>
        <v>25103288.028333336</v>
      </c>
    </row>
    <row r="35" spans="1:9" hidden="1" outlineLevel="1">
      <c r="A35" s="98"/>
      <c r="B35" s="148" t="s">
        <v>350</v>
      </c>
      <c r="C35" s="148" t="s">
        <v>318</v>
      </c>
      <c r="D35" s="242">
        <f>VLOOKUP(C35,[4]Factors!$B$1:$E$65536,4,FALSE)</f>
        <v>0</v>
      </c>
      <c r="E35" s="148" t="s">
        <v>319</v>
      </c>
      <c r="F35" s="150">
        <v>1302799.5</v>
      </c>
      <c r="G35" s="99">
        <v>0</v>
      </c>
      <c r="H35" s="140">
        <f t="shared" si="0"/>
        <v>1302799.5</v>
      </c>
    </row>
    <row r="36" spans="1:9" hidden="1" outlineLevel="1">
      <c r="A36" s="98"/>
      <c r="B36" s="148" t="s">
        <v>351</v>
      </c>
      <c r="C36" s="148" t="s">
        <v>318</v>
      </c>
      <c r="D36" s="242">
        <f>VLOOKUP(C36,[4]Factors!$B$1:$E$65536,4,FALSE)</f>
        <v>0</v>
      </c>
      <c r="E36" s="148" t="s">
        <v>319</v>
      </c>
      <c r="F36" s="150">
        <v>1707005.1145833323</v>
      </c>
      <c r="G36" s="99">
        <v>0</v>
      </c>
      <c r="H36" s="140">
        <f t="shared" si="0"/>
        <v>1707005.1145833323</v>
      </c>
    </row>
    <row r="37" spans="1:9" hidden="1" outlineLevel="1">
      <c r="A37" s="98"/>
      <c r="B37" s="148" t="s">
        <v>352</v>
      </c>
      <c r="C37" s="148" t="s">
        <v>318</v>
      </c>
      <c r="D37" s="242">
        <f>VLOOKUP(C37,[4]Factors!$B$1:$E$65536,4,FALSE)</f>
        <v>0</v>
      </c>
      <c r="E37" s="148" t="s">
        <v>319</v>
      </c>
      <c r="F37" s="150">
        <v>2027802.1375</v>
      </c>
      <c r="G37" s="99">
        <v>0</v>
      </c>
      <c r="H37" s="140">
        <f t="shared" si="0"/>
        <v>2027802.1375</v>
      </c>
    </row>
    <row r="38" spans="1:9" hidden="1" outlineLevel="1">
      <c r="A38" s="98"/>
      <c r="B38" s="148" t="s">
        <v>353</v>
      </c>
      <c r="C38" s="148" t="s">
        <v>318</v>
      </c>
      <c r="D38" s="242">
        <f>VLOOKUP(C38,[4]Factors!$B$1:$E$65536,4,FALSE)</f>
        <v>0</v>
      </c>
      <c r="E38" s="148" t="s">
        <v>319</v>
      </c>
      <c r="F38" s="150">
        <v>14560014.71833333</v>
      </c>
      <c r="G38" s="99">
        <v>0</v>
      </c>
      <c r="H38" s="140">
        <f t="shared" ref="H38:H56" si="1">F38</f>
        <v>14560014.71833333</v>
      </c>
    </row>
    <row r="39" spans="1:9" hidden="1" outlineLevel="1">
      <c r="A39" s="98"/>
      <c r="B39" s="148" t="s">
        <v>354</v>
      </c>
      <c r="C39" s="148" t="s">
        <v>268</v>
      </c>
      <c r="D39" s="242">
        <f>VLOOKUP(C39,[4]Factors!$B$1:$E$65536,4,FALSE)</f>
        <v>0</v>
      </c>
      <c r="E39" s="148" t="s">
        <v>325</v>
      </c>
      <c r="F39" s="150">
        <v>445817424.20666635</v>
      </c>
      <c r="G39" s="99">
        <v>0</v>
      </c>
      <c r="H39" s="140">
        <f t="shared" si="1"/>
        <v>445817424.20666635</v>
      </c>
    </row>
    <row r="40" spans="1:9" hidden="1" outlineLevel="1">
      <c r="A40" s="98"/>
      <c r="B40" s="148" t="s">
        <v>355</v>
      </c>
      <c r="C40" s="148" t="s">
        <v>318</v>
      </c>
      <c r="D40" s="242">
        <f>VLOOKUP(C40,[4]Factors!$B$1:$E$65536,4,FALSE)</f>
        <v>0</v>
      </c>
      <c r="E40" s="148" t="s">
        <v>319</v>
      </c>
      <c r="F40" s="150">
        <v>-142979.88583333368</v>
      </c>
      <c r="G40" s="99">
        <v>0</v>
      </c>
      <c r="H40" s="140">
        <f t="shared" si="1"/>
        <v>-142979.88583333368</v>
      </c>
    </row>
    <row r="41" spans="1:9" hidden="1" outlineLevel="1">
      <c r="A41" s="98"/>
      <c r="B41" s="148" t="s">
        <v>356</v>
      </c>
      <c r="C41" s="148" t="s">
        <v>283</v>
      </c>
      <c r="D41" s="242">
        <v>0</v>
      </c>
      <c r="E41" s="148" t="s">
        <v>316</v>
      </c>
      <c r="F41" s="150">
        <v>49724.899166666786</v>
      </c>
      <c r="G41" s="99">
        <v>0</v>
      </c>
      <c r="H41" s="140">
        <f t="shared" si="1"/>
        <v>49724.899166666786</v>
      </c>
    </row>
    <row r="42" spans="1:9" hidden="1" outlineLevel="1">
      <c r="A42" s="98"/>
      <c r="B42" s="148" t="s">
        <v>357</v>
      </c>
      <c r="C42" s="148" t="s">
        <v>318</v>
      </c>
      <c r="D42" s="242">
        <v>0</v>
      </c>
      <c r="E42" s="148" t="s">
        <v>325</v>
      </c>
      <c r="F42" s="150">
        <v>23300.652500000007</v>
      </c>
      <c r="G42" s="99">
        <v>0</v>
      </c>
      <c r="H42" s="140">
        <f t="shared" si="1"/>
        <v>23300.652500000007</v>
      </c>
    </row>
    <row r="43" spans="1:9" hidden="1" outlineLevel="1">
      <c r="A43" s="98"/>
      <c r="B43" s="148" t="s">
        <v>358</v>
      </c>
      <c r="C43" s="148" t="s">
        <v>331</v>
      </c>
      <c r="D43" s="242">
        <v>0</v>
      </c>
      <c r="E43" s="148" t="s">
        <v>316</v>
      </c>
      <c r="F43" s="150">
        <v>70930.346666666665</v>
      </c>
      <c r="G43" s="99">
        <v>0</v>
      </c>
      <c r="H43" s="140">
        <f t="shared" si="1"/>
        <v>70930.346666666665</v>
      </c>
    </row>
    <row r="44" spans="1:9" hidden="1" outlineLevel="1">
      <c r="A44" s="98"/>
      <c r="B44" s="148" t="s">
        <v>359</v>
      </c>
      <c r="C44" s="148" t="s">
        <v>268</v>
      </c>
      <c r="D44" s="242">
        <f>VLOOKUP(C44,[4]Factors!$B$1:$E$65536,4,FALSE)</f>
        <v>0</v>
      </c>
      <c r="E44" s="148" t="s">
        <v>319</v>
      </c>
      <c r="F44" s="150">
        <v>341840.75625000038</v>
      </c>
      <c r="G44" s="99">
        <v>0</v>
      </c>
      <c r="H44" s="140">
        <f t="shared" si="1"/>
        <v>341840.75625000038</v>
      </c>
    </row>
    <row r="45" spans="1:9" hidden="1" outlineLevel="1">
      <c r="A45" s="98"/>
      <c r="B45" s="148" t="s">
        <v>360</v>
      </c>
      <c r="C45" s="148" t="s">
        <v>318</v>
      </c>
      <c r="D45" s="242">
        <f>VLOOKUP(C45,[4]Factors!$B$1:$E$65536,4,FALSE)</f>
        <v>0</v>
      </c>
      <c r="E45" s="148" t="s">
        <v>316</v>
      </c>
      <c r="F45" s="150">
        <v>241615.47166666668</v>
      </c>
      <c r="G45" s="99">
        <v>0</v>
      </c>
      <c r="H45" s="140">
        <f t="shared" si="1"/>
        <v>241615.47166666668</v>
      </c>
    </row>
    <row r="46" spans="1:9" hidden="1" outlineLevel="1">
      <c r="A46" s="98"/>
      <c r="B46" s="148" t="s">
        <v>361</v>
      </c>
      <c r="C46" s="148" t="s">
        <v>281</v>
      </c>
      <c r="D46" s="242">
        <v>0</v>
      </c>
      <c r="E46" s="148" t="s">
        <v>316</v>
      </c>
      <c r="F46" s="150">
        <v>668457.48708333354</v>
      </c>
      <c r="G46" s="99">
        <v>0</v>
      </c>
      <c r="H46" s="140">
        <f t="shared" si="1"/>
        <v>668457.48708333354</v>
      </c>
    </row>
    <row r="47" spans="1:9" hidden="1" outlineLevel="1">
      <c r="A47" s="98"/>
      <c r="B47" s="148" t="s">
        <v>362</v>
      </c>
      <c r="C47" s="148" t="s">
        <v>268</v>
      </c>
      <c r="D47" s="242">
        <f>VLOOKUP(C47,[4]Factors!$B$1:$E$65536,4,FALSE)</f>
        <v>0</v>
      </c>
      <c r="E47" s="148" t="s">
        <v>325</v>
      </c>
      <c r="F47" s="150">
        <v>336576118.61958349</v>
      </c>
      <c r="G47" s="99">
        <v>0</v>
      </c>
      <c r="H47" s="140">
        <f t="shared" si="1"/>
        <v>336576118.61958349</v>
      </c>
      <c r="I47" s="140"/>
    </row>
    <row r="48" spans="1:9" hidden="1" outlineLevel="1">
      <c r="A48" s="98"/>
      <c r="B48" s="148" t="s">
        <v>363</v>
      </c>
      <c r="C48" s="148" t="s">
        <v>318</v>
      </c>
      <c r="D48" s="242">
        <f>VLOOKUP(C48,[4]Factors!$B$1:$E$65536,4,FALSE)</f>
        <v>0</v>
      </c>
      <c r="E48" s="148" t="s">
        <v>319</v>
      </c>
      <c r="F48" s="150">
        <v>-4792.0037499999999</v>
      </c>
      <c r="G48" s="99">
        <v>0</v>
      </c>
      <c r="H48" s="140">
        <f t="shared" si="1"/>
        <v>-4792.0037499999999</v>
      </c>
    </row>
    <row r="49" spans="1:9" hidden="1" outlineLevel="1">
      <c r="A49" s="98"/>
      <c r="B49" s="98" t="s">
        <v>364</v>
      </c>
      <c r="C49" s="98" t="s">
        <v>318</v>
      </c>
      <c r="D49" s="241">
        <f>VLOOKUP(C49,[4]Factors!$B$1:$E$65536,4,FALSE)</f>
        <v>0</v>
      </c>
      <c r="E49" s="98" t="s">
        <v>319</v>
      </c>
      <c r="F49" s="99">
        <v>-12065046.165833579</v>
      </c>
      <c r="G49" s="99">
        <v>0</v>
      </c>
      <c r="H49" s="140">
        <f t="shared" si="1"/>
        <v>-12065046.165833579</v>
      </c>
    </row>
    <row r="50" spans="1:9" hidden="1" outlineLevel="1">
      <c r="A50" s="98"/>
      <c r="B50" s="98" t="s">
        <v>365</v>
      </c>
      <c r="C50" s="98" t="s">
        <v>318</v>
      </c>
      <c r="D50" s="241">
        <f>VLOOKUP(C50,[4]Factors!$B$1:$E$65536,4,FALSE)</f>
        <v>0</v>
      </c>
      <c r="E50" s="98" t="s">
        <v>319</v>
      </c>
      <c r="F50" s="99">
        <v>6962899.8895833325</v>
      </c>
      <c r="G50" s="99">
        <v>0</v>
      </c>
      <c r="H50" s="140">
        <f t="shared" si="1"/>
        <v>6962899.8895833325</v>
      </c>
    </row>
    <row r="51" spans="1:9" hidden="1" outlineLevel="1">
      <c r="A51" s="98"/>
      <c r="B51" s="98" t="s">
        <v>366</v>
      </c>
      <c r="C51" s="98" t="s">
        <v>318</v>
      </c>
      <c r="D51" s="241">
        <f>VLOOKUP(C51,[4]Factors!$B$1:$E$65536,4,FALSE)</f>
        <v>0</v>
      </c>
      <c r="E51" s="98" t="s">
        <v>316</v>
      </c>
      <c r="F51" s="99">
        <v>688161.33333333337</v>
      </c>
      <c r="G51" s="99">
        <v>0</v>
      </c>
      <c r="H51" s="140">
        <f t="shared" si="1"/>
        <v>688161.33333333337</v>
      </c>
    </row>
    <row r="52" spans="1:9" hidden="1" outlineLevel="1">
      <c r="A52" s="98"/>
      <c r="B52" s="98" t="s">
        <v>367</v>
      </c>
      <c r="C52" s="98" t="s">
        <v>318</v>
      </c>
      <c r="D52" s="241">
        <f>VLOOKUP(C52,[4]Factors!$B$1:$E$65536,4,FALSE)</f>
        <v>0</v>
      </c>
      <c r="E52" s="98" t="s">
        <v>316</v>
      </c>
      <c r="F52" s="99">
        <v>4212480.8345833337</v>
      </c>
      <c r="G52" s="99">
        <v>0</v>
      </c>
      <c r="H52" s="140">
        <f t="shared" si="1"/>
        <v>4212480.8345833337</v>
      </c>
    </row>
    <row r="53" spans="1:9" hidden="1" outlineLevel="1">
      <c r="A53" s="98"/>
      <c r="B53" s="98" t="s">
        <v>368</v>
      </c>
      <c r="C53" s="98" t="s">
        <v>292</v>
      </c>
      <c r="D53" s="241">
        <f>VLOOKUP(C53,[4]Factors!$B$1:$E$65536,4,FALSE)</f>
        <v>6.8469811870277855E-2</v>
      </c>
      <c r="E53" s="148" t="s">
        <v>316</v>
      </c>
      <c r="F53" s="99">
        <v>9497898.5649999864</v>
      </c>
      <c r="G53" s="99">
        <v>650319.32790853106</v>
      </c>
      <c r="H53" s="140">
        <f t="shared" si="1"/>
        <v>9497898.5649999864</v>
      </c>
    </row>
    <row r="54" spans="1:9" hidden="1" outlineLevel="1">
      <c r="A54" s="98"/>
      <c r="B54" s="98" t="s">
        <v>369</v>
      </c>
      <c r="C54" s="98" t="s">
        <v>328</v>
      </c>
      <c r="D54" s="241">
        <v>1</v>
      </c>
      <c r="E54" s="148" t="s">
        <v>316</v>
      </c>
      <c r="F54" s="99">
        <v>-735850.9175000001</v>
      </c>
      <c r="G54" s="99">
        <v>-735850.9175000001</v>
      </c>
      <c r="H54" s="140">
        <f t="shared" si="1"/>
        <v>-735850.9175000001</v>
      </c>
    </row>
    <row r="55" spans="1:9" hidden="1" outlineLevel="1">
      <c r="A55" s="98"/>
      <c r="B55" s="98" t="s">
        <v>370</v>
      </c>
      <c r="C55" s="98" t="s">
        <v>281</v>
      </c>
      <c r="D55" s="241">
        <v>0</v>
      </c>
      <c r="E55" s="98" t="s">
        <v>316</v>
      </c>
      <c r="F55" s="99">
        <v>467500.00333333324</v>
      </c>
      <c r="G55" s="99">
        <v>0</v>
      </c>
      <c r="H55" s="140">
        <f t="shared" si="1"/>
        <v>467500.00333333324</v>
      </c>
    </row>
    <row r="56" spans="1:9" hidden="1" outlineLevel="1">
      <c r="A56" s="98"/>
      <c r="B56" s="98" t="s">
        <v>371</v>
      </c>
      <c r="C56" s="98" t="s">
        <v>281</v>
      </c>
      <c r="D56" s="241">
        <v>0</v>
      </c>
      <c r="E56" s="98" t="s">
        <v>316</v>
      </c>
      <c r="F56" s="99">
        <v>977208.62333333341</v>
      </c>
      <c r="G56" s="99">
        <v>0</v>
      </c>
      <c r="H56" s="140">
        <f t="shared" si="1"/>
        <v>977208.62333333341</v>
      </c>
    </row>
    <row r="57" spans="1:9" hidden="1" outlineLevel="1">
      <c r="A57" s="98"/>
      <c r="B57" s="247" t="s">
        <v>372</v>
      </c>
      <c r="C57" s="247" t="s">
        <v>268</v>
      </c>
      <c r="D57" s="245">
        <f>VLOOKUP(C57,[4]Factors!$B$1:$E$65536,4,FALSE)</f>
        <v>0</v>
      </c>
      <c r="E57" s="247" t="s">
        <v>325</v>
      </c>
      <c r="F57" s="248">
        <v>650501925.57958353</v>
      </c>
      <c r="G57" s="99">
        <v>0</v>
      </c>
      <c r="H57" s="140"/>
      <c r="I57" s="140">
        <f>F57</f>
        <v>650501925.57958353</v>
      </c>
    </row>
    <row r="58" spans="1:9" hidden="1" outlineLevel="1">
      <c r="A58" s="98"/>
      <c r="B58" s="98" t="s">
        <v>373</v>
      </c>
      <c r="C58" s="98" t="s">
        <v>268</v>
      </c>
      <c r="D58" s="241">
        <f>VLOOKUP(C58,[4]Factors!$B$1:$E$65536,4,FALSE)</f>
        <v>0</v>
      </c>
      <c r="E58" s="98" t="s">
        <v>325</v>
      </c>
      <c r="F58" s="99">
        <v>3222061.9508333332</v>
      </c>
      <c r="G58" s="99">
        <v>0</v>
      </c>
      <c r="H58" s="140">
        <f t="shared" ref="H58:H69" si="2">F58</f>
        <v>3222061.9508333332</v>
      </c>
    </row>
    <row r="59" spans="1:9" hidden="1" outlineLevel="1">
      <c r="A59" s="98"/>
      <c r="B59" s="98" t="s">
        <v>374</v>
      </c>
      <c r="C59" s="98" t="s">
        <v>315</v>
      </c>
      <c r="D59" s="241">
        <v>0</v>
      </c>
      <c r="E59" s="98" t="s">
        <v>325</v>
      </c>
      <c r="F59" s="99">
        <v>33068.570000000007</v>
      </c>
      <c r="G59" s="99">
        <v>0</v>
      </c>
      <c r="H59" s="140">
        <f t="shared" si="2"/>
        <v>33068.570000000007</v>
      </c>
    </row>
    <row r="60" spans="1:9" hidden="1" outlineLevel="1">
      <c r="A60" s="98"/>
      <c r="B60" s="98" t="s">
        <v>375</v>
      </c>
      <c r="C60" s="98" t="s">
        <v>331</v>
      </c>
      <c r="D60" s="241">
        <v>0</v>
      </c>
      <c r="E60" s="98" t="s">
        <v>316</v>
      </c>
      <c r="F60" s="99">
        <v>232120.42333333331</v>
      </c>
      <c r="G60" s="99">
        <v>0</v>
      </c>
      <c r="H60" s="140">
        <f t="shared" si="2"/>
        <v>232120.42333333331</v>
      </c>
    </row>
    <row r="61" spans="1:9" hidden="1" outlineLevel="1">
      <c r="A61" s="98"/>
      <c r="B61" s="98" t="s">
        <v>376</v>
      </c>
      <c r="C61" s="98" t="s">
        <v>332</v>
      </c>
      <c r="D61" s="241">
        <v>0</v>
      </c>
      <c r="E61" s="98" t="s">
        <v>325</v>
      </c>
      <c r="F61" s="99">
        <v>41628.512916666579</v>
      </c>
      <c r="G61" s="99">
        <v>0</v>
      </c>
      <c r="H61" s="140">
        <f t="shared" si="2"/>
        <v>41628.512916666579</v>
      </c>
    </row>
    <row r="62" spans="1:9" hidden="1" outlineLevel="1">
      <c r="A62" s="98"/>
      <c r="B62" s="98" t="s">
        <v>377</v>
      </c>
      <c r="C62" s="98" t="s">
        <v>328</v>
      </c>
      <c r="D62" s="241">
        <v>1</v>
      </c>
      <c r="E62" s="148" t="s">
        <v>316</v>
      </c>
      <c r="F62" s="99">
        <v>638840.97</v>
      </c>
      <c r="G62" s="99">
        <v>638840.97</v>
      </c>
      <c r="H62" s="140">
        <f t="shared" si="2"/>
        <v>638840.97</v>
      </c>
    </row>
    <row r="63" spans="1:9" hidden="1" outlineLevel="1">
      <c r="A63" s="98"/>
      <c r="B63" s="98" t="s">
        <v>378</v>
      </c>
      <c r="C63" s="98" t="s">
        <v>318</v>
      </c>
      <c r="D63" s="241">
        <f>VLOOKUP(C63,[4]Factors!$B$1:$E$65536,4,FALSE)</f>
        <v>0</v>
      </c>
      <c r="E63" s="98" t="s">
        <v>319</v>
      </c>
      <c r="F63" s="99">
        <v>589064.4999999993</v>
      </c>
      <c r="G63" s="99">
        <v>0</v>
      </c>
      <c r="H63" s="140">
        <f t="shared" si="2"/>
        <v>589064.4999999993</v>
      </c>
    </row>
    <row r="64" spans="1:9" hidden="1" outlineLevel="1">
      <c r="A64" s="98"/>
      <c r="B64" s="148" t="s">
        <v>379</v>
      </c>
      <c r="C64" s="148" t="s">
        <v>268</v>
      </c>
      <c r="D64" s="242">
        <f>VLOOKUP(C64,[4]Factors!$B$1:$E$65536,4,FALSE)</f>
        <v>0</v>
      </c>
      <c r="E64" s="148" t="s">
        <v>325</v>
      </c>
      <c r="F64" s="150">
        <v>13223048.401250003</v>
      </c>
      <c r="G64" s="99">
        <v>0</v>
      </c>
      <c r="H64" s="140">
        <f t="shared" si="2"/>
        <v>13223048.401250003</v>
      </c>
    </row>
    <row r="65" spans="1:9" hidden="1" outlineLevel="1">
      <c r="A65" s="98"/>
      <c r="B65" s="98" t="s">
        <v>380</v>
      </c>
      <c r="C65" s="98" t="s">
        <v>281</v>
      </c>
      <c r="D65" s="241">
        <v>0</v>
      </c>
      <c r="E65" s="98" t="s">
        <v>325</v>
      </c>
      <c r="F65" s="99">
        <v>38580.269999999764</v>
      </c>
      <c r="G65" s="99">
        <v>0</v>
      </c>
      <c r="H65" s="140">
        <f t="shared" si="2"/>
        <v>38580.269999999764</v>
      </c>
    </row>
    <row r="66" spans="1:9" hidden="1" outlineLevel="1">
      <c r="A66" s="98"/>
      <c r="B66" s="98" t="s">
        <v>381</v>
      </c>
      <c r="C66" s="98" t="s">
        <v>318</v>
      </c>
      <c r="D66" s="241">
        <f>VLOOKUP(C66,[4]Factors!$B$1:$E$65536,4,FALSE)</f>
        <v>0</v>
      </c>
      <c r="E66" s="98" t="s">
        <v>319</v>
      </c>
      <c r="F66" s="99">
        <v>435067.40541666746</v>
      </c>
      <c r="G66" s="99">
        <v>0</v>
      </c>
      <c r="H66" s="140">
        <f t="shared" si="2"/>
        <v>435067.40541666746</v>
      </c>
    </row>
    <row r="67" spans="1:9" hidden="1" outlineLevel="1">
      <c r="A67" s="98"/>
      <c r="B67" s="98" t="s">
        <v>382</v>
      </c>
      <c r="C67" s="98" t="s">
        <v>318</v>
      </c>
      <c r="D67" s="241">
        <f>VLOOKUP(C67,[4]Factors!$B$1:$E$65536,4,FALSE)</f>
        <v>0</v>
      </c>
      <c r="E67" s="98" t="s">
        <v>325</v>
      </c>
      <c r="F67" s="99">
        <v>13043.499166666666</v>
      </c>
      <c r="G67" s="99">
        <v>0</v>
      </c>
      <c r="H67" s="140">
        <f t="shared" si="2"/>
        <v>13043.499166666666</v>
      </c>
    </row>
    <row r="68" spans="1:9" hidden="1" outlineLevel="1">
      <c r="A68" s="98"/>
      <c r="B68" s="98" t="s">
        <v>383</v>
      </c>
      <c r="C68" s="98" t="s">
        <v>318</v>
      </c>
      <c r="D68" s="241">
        <f>VLOOKUP(C68,[4]Factors!$B$1:$E$65536,4,FALSE)</f>
        <v>0</v>
      </c>
      <c r="E68" s="98" t="s">
        <v>316</v>
      </c>
      <c r="F68" s="99">
        <v>211177.46458333332</v>
      </c>
      <c r="G68" s="99">
        <v>0</v>
      </c>
      <c r="H68" s="140">
        <f t="shared" si="2"/>
        <v>211177.46458333332</v>
      </c>
    </row>
    <row r="69" spans="1:9" hidden="1" outlineLevel="1">
      <c r="A69" s="98"/>
      <c r="B69" s="148" t="s">
        <v>384</v>
      </c>
      <c r="C69" s="148" t="s">
        <v>268</v>
      </c>
      <c r="D69" s="242">
        <f>VLOOKUP(C69,[4]Factors!$B$1:$E$65536,4,FALSE)</f>
        <v>0</v>
      </c>
      <c r="E69" s="148" t="s">
        <v>325</v>
      </c>
      <c r="F69" s="150">
        <v>108937348.42583334</v>
      </c>
      <c r="G69" s="99">
        <v>0</v>
      </c>
      <c r="H69" s="140">
        <f t="shared" si="2"/>
        <v>108937348.42583334</v>
      </c>
      <c r="I69" s="140"/>
    </row>
    <row r="70" spans="1:9" hidden="1" outlineLevel="1">
      <c r="A70" s="98"/>
      <c r="B70" s="148" t="s">
        <v>385</v>
      </c>
      <c r="C70" s="148" t="s">
        <v>268</v>
      </c>
      <c r="D70" s="242">
        <f>VLOOKUP(C70,[4]Factors!$B$1:$E$65536,4,FALSE)</f>
        <v>0</v>
      </c>
      <c r="E70" s="148" t="s">
        <v>325</v>
      </c>
      <c r="F70" s="150">
        <v>2429132.8262499999</v>
      </c>
      <c r="G70" s="99">
        <v>0</v>
      </c>
      <c r="H70" s="140">
        <f t="shared" ref="H70:H95" si="3">F70</f>
        <v>2429132.8262499999</v>
      </c>
    </row>
    <row r="71" spans="1:9" hidden="1" outlineLevel="1">
      <c r="A71" s="98"/>
      <c r="B71" s="148" t="s">
        <v>385</v>
      </c>
      <c r="C71" s="148" t="s">
        <v>318</v>
      </c>
      <c r="D71" s="242">
        <f>VLOOKUP(C71,[4]Factors!$B$1:$E$65536,4,FALSE)</f>
        <v>0</v>
      </c>
      <c r="E71" s="148" t="s">
        <v>325</v>
      </c>
      <c r="F71" s="150">
        <v>14655029.169166666</v>
      </c>
      <c r="G71" s="99">
        <v>0</v>
      </c>
      <c r="H71" s="140">
        <f t="shared" si="3"/>
        <v>14655029.169166666</v>
      </c>
    </row>
    <row r="72" spans="1:9" hidden="1" outlineLevel="1">
      <c r="A72" s="98"/>
      <c r="B72" s="98" t="s">
        <v>386</v>
      </c>
      <c r="C72" s="98" t="s">
        <v>318</v>
      </c>
      <c r="D72" s="241">
        <f>VLOOKUP(C72,[4]Factors!$B$1:$E$65536,4,FALSE)</f>
        <v>0</v>
      </c>
      <c r="E72" s="98" t="s">
        <v>319</v>
      </c>
      <c r="F72" s="99">
        <v>39841.193333334289</v>
      </c>
      <c r="G72" s="99">
        <v>0</v>
      </c>
      <c r="H72" s="140">
        <f t="shared" si="3"/>
        <v>39841.193333334289</v>
      </c>
    </row>
    <row r="73" spans="1:9" hidden="1" outlineLevel="1">
      <c r="A73" s="98"/>
      <c r="B73" s="98" t="s">
        <v>387</v>
      </c>
      <c r="C73" s="98" t="s">
        <v>318</v>
      </c>
      <c r="D73" s="241">
        <f>VLOOKUP(C73,[4]Factors!$B$1:$E$65536,4,FALSE)</f>
        <v>0</v>
      </c>
      <c r="E73" s="98" t="s">
        <v>319</v>
      </c>
      <c r="F73" s="99">
        <v>-850224.95833333337</v>
      </c>
      <c r="G73" s="99">
        <v>0</v>
      </c>
      <c r="H73" s="140">
        <f t="shared" si="3"/>
        <v>-850224.95833333337</v>
      </c>
    </row>
    <row r="74" spans="1:9" hidden="1" outlineLevel="1">
      <c r="A74" s="98"/>
      <c r="B74" s="98" t="s">
        <v>388</v>
      </c>
      <c r="C74" s="98" t="s">
        <v>318</v>
      </c>
      <c r="D74" s="241">
        <f>VLOOKUP(C74,[4]Factors!$B$1:$E$65536,4,FALSE)</f>
        <v>0</v>
      </c>
      <c r="E74" s="98" t="s">
        <v>319</v>
      </c>
      <c r="F74" s="99">
        <v>-415409.79166666669</v>
      </c>
      <c r="G74" s="99">
        <v>0</v>
      </c>
      <c r="H74" s="140">
        <f t="shared" si="3"/>
        <v>-415409.79166666669</v>
      </c>
    </row>
    <row r="75" spans="1:9" hidden="1" outlineLevel="1">
      <c r="A75" s="98"/>
      <c r="B75" s="98" t="s">
        <v>389</v>
      </c>
      <c r="C75" s="98" t="s">
        <v>268</v>
      </c>
      <c r="D75" s="241">
        <f>VLOOKUP(C75,[4]Factors!$B$1:$E$65536,4,FALSE)</f>
        <v>0</v>
      </c>
      <c r="E75" s="98" t="s">
        <v>325</v>
      </c>
      <c r="F75" s="99">
        <v>3395.2783333333532</v>
      </c>
      <c r="G75" s="99">
        <v>0</v>
      </c>
      <c r="H75" s="140">
        <f t="shared" si="3"/>
        <v>3395.2783333333532</v>
      </c>
    </row>
    <row r="76" spans="1:9" hidden="1" outlineLevel="1">
      <c r="A76" s="98"/>
      <c r="B76" s="98" t="s">
        <v>390</v>
      </c>
      <c r="C76" s="98" t="s">
        <v>268</v>
      </c>
      <c r="D76" s="241">
        <f>VLOOKUP(C76,[4]Factors!$B$1:$E$65536,4,FALSE)</f>
        <v>0</v>
      </c>
      <c r="E76" s="98" t="s">
        <v>319</v>
      </c>
      <c r="F76" s="99">
        <v>347245.39125000016</v>
      </c>
      <c r="G76" s="99">
        <v>0</v>
      </c>
      <c r="H76" s="140">
        <f t="shared" si="3"/>
        <v>347245.39125000016</v>
      </c>
    </row>
    <row r="77" spans="1:9" hidden="1" outlineLevel="1">
      <c r="A77" s="98"/>
      <c r="B77" s="98" t="s">
        <v>391</v>
      </c>
      <c r="C77" s="98" t="s">
        <v>268</v>
      </c>
      <c r="D77" s="241">
        <f>VLOOKUP(C77,[4]Factors!$B$1:$E$65536,4,FALSE)</f>
        <v>0</v>
      </c>
      <c r="E77" s="98" t="s">
        <v>319</v>
      </c>
      <c r="F77" s="99">
        <v>-39984.412499999999</v>
      </c>
      <c r="G77" s="99">
        <v>0</v>
      </c>
      <c r="H77" s="140">
        <f t="shared" si="3"/>
        <v>-39984.412499999999</v>
      </c>
    </row>
    <row r="78" spans="1:9" hidden="1" outlineLevel="1">
      <c r="A78" s="98"/>
      <c r="B78" s="98" t="s">
        <v>391</v>
      </c>
      <c r="C78" s="98" t="s">
        <v>318</v>
      </c>
      <c r="D78" s="241">
        <f>VLOOKUP(C78,[4]Factors!$B$1:$E$65536,4,FALSE)</f>
        <v>0</v>
      </c>
      <c r="E78" s="98" t="s">
        <v>319</v>
      </c>
      <c r="F78" s="99">
        <v>39984.412499999999</v>
      </c>
      <c r="G78" s="99">
        <v>0</v>
      </c>
      <c r="H78" s="140">
        <f t="shared" si="3"/>
        <v>39984.412499999999</v>
      </c>
    </row>
    <row r="79" spans="1:9" hidden="1" outlineLevel="1">
      <c r="A79" s="98"/>
      <c r="B79" s="98" t="s">
        <v>392</v>
      </c>
      <c r="C79" s="98" t="s">
        <v>268</v>
      </c>
      <c r="D79" s="241">
        <f>VLOOKUP(C79,[4]Factors!$B$1:$E$65536,4,FALSE)</f>
        <v>0</v>
      </c>
      <c r="E79" s="98" t="s">
        <v>319</v>
      </c>
      <c r="F79" s="99">
        <v>29409.756249999995</v>
      </c>
      <c r="G79" s="99">
        <v>0</v>
      </c>
      <c r="H79" s="140">
        <f t="shared" si="3"/>
        <v>29409.756249999995</v>
      </c>
    </row>
    <row r="80" spans="1:9" hidden="1" outlineLevel="1">
      <c r="A80" s="98"/>
      <c r="B80" s="98" t="s">
        <v>392</v>
      </c>
      <c r="C80" s="98" t="s">
        <v>318</v>
      </c>
      <c r="D80" s="241">
        <f>VLOOKUP(C80,[4]Factors!$B$1:$E$65536,4,FALSE)</f>
        <v>0</v>
      </c>
      <c r="E80" s="98" t="s">
        <v>319</v>
      </c>
      <c r="F80" s="99">
        <v>-29409.756249999995</v>
      </c>
      <c r="G80" s="99">
        <v>0</v>
      </c>
      <c r="H80" s="140">
        <f t="shared" si="3"/>
        <v>-29409.756249999995</v>
      </c>
    </row>
    <row r="81" spans="1:12" hidden="1" outlineLevel="1">
      <c r="A81" s="98"/>
      <c r="B81" s="98" t="s">
        <v>393</v>
      </c>
      <c r="C81" s="98" t="s">
        <v>268</v>
      </c>
      <c r="D81" s="241">
        <f>VLOOKUP(C81,[4]Factors!$B$1:$E$65536,4,FALSE)</f>
        <v>0</v>
      </c>
      <c r="E81" s="98" t="s">
        <v>319</v>
      </c>
      <c r="F81" s="99">
        <v>28715.48</v>
      </c>
      <c r="G81" s="99">
        <v>0</v>
      </c>
      <c r="H81" s="140">
        <f t="shared" si="3"/>
        <v>28715.48</v>
      </c>
    </row>
    <row r="82" spans="1:12" hidden="1" outlineLevel="1">
      <c r="A82" s="98"/>
      <c r="B82" s="98" t="s">
        <v>393</v>
      </c>
      <c r="C82" s="98" t="s">
        <v>318</v>
      </c>
      <c r="D82" s="241">
        <f>VLOOKUP(C82,[4]Factors!$B$1:$E$65536,4,FALSE)</f>
        <v>0</v>
      </c>
      <c r="E82" s="98" t="s">
        <v>319</v>
      </c>
      <c r="F82" s="99">
        <v>-77756.026250000054</v>
      </c>
      <c r="G82" s="99">
        <v>0</v>
      </c>
      <c r="H82" s="140">
        <f t="shared" si="3"/>
        <v>-77756.026250000054</v>
      </c>
    </row>
    <row r="83" spans="1:12" hidden="1" outlineLevel="1">
      <c r="A83" s="98"/>
      <c r="B83" s="98" t="s">
        <v>394</v>
      </c>
      <c r="C83" s="98" t="s">
        <v>318</v>
      </c>
      <c r="D83" s="241">
        <f>VLOOKUP(C83,[4]Factors!$B$1:$E$65536,4,FALSE)</f>
        <v>0</v>
      </c>
      <c r="E83" s="98" t="s">
        <v>319</v>
      </c>
      <c r="F83" s="99">
        <v>6845658.5558333173</v>
      </c>
      <c r="G83" s="99">
        <v>0</v>
      </c>
      <c r="H83" s="140">
        <f t="shared" si="3"/>
        <v>6845658.5558333173</v>
      </c>
    </row>
    <row r="84" spans="1:12" hidden="1" outlineLevel="1">
      <c r="A84" s="98"/>
      <c r="B84" s="98" t="s">
        <v>395</v>
      </c>
      <c r="C84" s="98" t="s">
        <v>318</v>
      </c>
      <c r="D84" s="241">
        <f>VLOOKUP(C84,[4]Factors!$B$1:$E$65536,4,FALSE)</f>
        <v>0</v>
      </c>
      <c r="E84" s="98" t="s">
        <v>316</v>
      </c>
      <c r="F84" s="99">
        <v>-332319.51000000013</v>
      </c>
      <c r="G84" s="99">
        <v>0</v>
      </c>
      <c r="H84" s="140">
        <f t="shared" si="3"/>
        <v>-332319.51000000013</v>
      </c>
    </row>
    <row r="85" spans="1:12" hidden="1" outlineLevel="1">
      <c r="A85" s="98"/>
      <c r="B85" s="98" t="s">
        <v>396</v>
      </c>
      <c r="C85" s="98" t="s">
        <v>318</v>
      </c>
      <c r="D85" s="241">
        <f>VLOOKUP(C85,[4]Factors!$B$1:$E$65536,4,FALSE)</f>
        <v>0</v>
      </c>
      <c r="E85" s="98" t="s">
        <v>319</v>
      </c>
      <c r="F85" s="99">
        <v>1166229.19875</v>
      </c>
      <c r="G85" s="99">
        <v>0</v>
      </c>
      <c r="H85" s="140">
        <f t="shared" si="3"/>
        <v>1166229.19875</v>
      </c>
    </row>
    <row r="86" spans="1:12" hidden="1" outlineLevel="1">
      <c r="A86" s="98"/>
      <c r="B86" s="98" t="s">
        <v>397</v>
      </c>
      <c r="C86" s="98" t="s">
        <v>318</v>
      </c>
      <c r="D86" s="241">
        <f>VLOOKUP(C86,[4]Factors!$B$1:$E$65536,4,FALSE)</f>
        <v>0</v>
      </c>
      <c r="E86" s="98" t="s">
        <v>325</v>
      </c>
      <c r="F86" s="99">
        <v>186375.43458333344</v>
      </c>
      <c r="G86" s="99">
        <v>0</v>
      </c>
      <c r="H86" s="140">
        <f t="shared" si="3"/>
        <v>186375.43458333344</v>
      </c>
    </row>
    <row r="87" spans="1:12" hidden="1" outlineLevel="1">
      <c r="A87" s="98"/>
      <c r="B87" s="98" t="s">
        <v>398</v>
      </c>
      <c r="C87" s="98" t="s">
        <v>318</v>
      </c>
      <c r="D87" s="241">
        <f>VLOOKUP(C87,[4]Factors!$B$1:$E$65536,4,FALSE)</f>
        <v>0</v>
      </c>
      <c r="E87" s="98" t="s">
        <v>325</v>
      </c>
      <c r="F87" s="99">
        <v>267589.04166666669</v>
      </c>
      <c r="G87" s="99">
        <v>0</v>
      </c>
      <c r="H87" s="140">
        <f t="shared" si="3"/>
        <v>267589.04166666669</v>
      </c>
    </row>
    <row r="88" spans="1:12" hidden="1" outlineLevel="1">
      <c r="A88" s="98"/>
      <c r="B88" s="98" t="s">
        <v>399</v>
      </c>
      <c r="C88" s="98" t="s">
        <v>318</v>
      </c>
      <c r="D88" s="241">
        <f>VLOOKUP(C88,[4]Factors!$B$1:$E$65536,4,FALSE)</f>
        <v>0</v>
      </c>
      <c r="E88" s="98" t="s">
        <v>325</v>
      </c>
      <c r="F88" s="99">
        <v>634183.58333333337</v>
      </c>
      <c r="G88" s="99">
        <v>0</v>
      </c>
      <c r="H88" s="140">
        <f t="shared" si="3"/>
        <v>634183.58333333337</v>
      </c>
    </row>
    <row r="89" spans="1:12" hidden="1" outlineLevel="1">
      <c r="A89" s="98"/>
      <c r="B89" s="98" t="s">
        <v>400</v>
      </c>
      <c r="C89" s="98" t="s">
        <v>318</v>
      </c>
      <c r="D89" s="241">
        <f>VLOOKUP(C89,[4]Factors!$B$1:$E$65536,4,FALSE)</f>
        <v>0</v>
      </c>
      <c r="E89" s="98" t="s">
        <v>325</v>
      </c>
      <c r="F89" s="99">
        <v>4389712.833333333</v>
      </c>
      <c r="G89" s="99">
        <v>0</v>
      </c>
      <c r="H89" s="140">
        <f t="shared" si="3"/>
        <v>4389712.833333333</v>
      </c>
    </row>
    <row r="90" spans="1:12" hidden="1" outlineLevel="1">
      <c r="A90" s="98"/>
      <c r="B90" s="98" t="s">
        <v>401</v>
      </c>
      <c r="C90" s="98" t="s">
        <v>318</v>
      </c>
      <c r="D90" s="241">
        <f>VLOOKUP(C90,[4]Factors!$B$1:$E$65536,4,FALSE)</f>
        <v>0</v>
      </c>
      <c r="E90" s="98" t="s">
        <v>325</v>
      </c>
      <c r="F90" s="99">
        <v>4467332.8933333354</v>
      </c>
      <c r="G90" s="99">
        <v>0</v>
      </c>
      <c r="H90" s="140">
        <f t="shared" si="3"/>
        <v>4467332.8933333354</v>
      </c>
    </row>
    <row r="91" spans="1:12" hidden="1" outlineLevel="1">
      <c r="A91" s="98"/>
      <c r="B91" s="98" t="s">
        <v>402</v>
      </c>
      <c r="C91" s="98" t="s">
        <v>318</v>
      </c>
      <c r="D91" s="241">
        <f>VLOOKUP(C91,[4]Factors!$B$1:$E$65536,4,FALSE)</f>
        <v>0</v>
      </c>
      <c r="E91" s="98" t="s">
        <v>325</v>
      </c>
      <c r="F91" s="99">
        <v>1729769.9583333333</v>
      </c>
      <c r="G91" s="99">
        <v>0</v>
      </c>
      <c r="H91" s="140">
        <f t="shared" si="3"/>
        <v>1729769.9583333333</v>
      </c>
    </row>
    <row r="92" spans="1:12" hidden="1" outlineLevel="1">
      <c r="A92" s="98"/>
      <c r="B92" s="98" t="s">
        <v>403</v>
      </c>
      <c r="C92" s="98" t="s">
        <v>404</v>
      </c>
      <c r="D92" s="241">
        <v>0</v>
      </c>
      <c r="E92" s="98" t="s">
        <v>325</v>
      </c>
      <c r="F92" s="99">
        <v>84017</v>
      </c>
      <c r="G92" s="99">
        <v>0</v>
      </c>
      <c r="H92" s="99">
        <f t="shared" si="3"/>
        <v>84017</v>
      </c>
      <c r="I92" s="99"/>
    </row>
    <row r="93" spans="1:12" hidden="1" outlineLevel="1">
      <c r="A93" s="98"/>
      <c r="B93" s="98" t="s">
        <v>405</v>
      </c>
      <c r="C93" s="98" t="s">
        <v>406</v>
      </c>
      <c r="D93" s="241">
        <f>VLOOKUP(C93,[4]Factors!$B$1:$E$65536,4,FALSE)</f>
        <v>0</v>
      </c>
      <c r="E93" s="98" t="s">
        <v>325</v>
      </c>
      <c r="F93" s="99">
        <v>-10608208.819999995</v>
      </c>
      <c r="G93" s="99">
        <v>0</v>
      </c>
      <c r="H93" s="99">
        <f t="shared" si="3"/>
        <v>-10608208.819999995</v>
      </c>
      <c r="I93" s="99"/>
    </row>
    <row r="94" spans="1:12" hidden="1" outlineLevel="1">
      <c r="A94" s="98"/>
      <c r="B94" s="98" t="s">
        <v>405</v>
      </c>
      <c r="C94" s="98" t="s">
        <v>407</v>
      </c>
      <c r="D94" s="241">
        <f>VLOOKUP(C94,[4]Factors!$B$1:$E$65536,4,FALSE)</f>
        <v>7.5708155171090558E-2</v>
      </c>
      <c r="E94" s="98" t="s">
        <v>325</v>
      </c>
      <c r="F94" s="99">
        <v>10608208.819999998</v>
      </c>
      <c r="G94" s="99">
        <v>803127.91943189129</v>
      </c>
      <c r="H94" s="99">
        <f t="shared" si="3"/>
        <v>10608208.819999998</v>
      </c>
      <c r="I94" s="99"/>
    </row>
    <row r="95" spans="1:12" hidden="1" outlineLevel="1">
      <c r="A95" s="100"/>
      <c r="B95" s="98" t="s">
        <v>408</v>
      </c>
      <c r="C95" s="98" t="s">
        <v>328</v>
      </c>
      <c r="D95" s="241">
        <v>1</v>
      </c>
      <c r="E95" s="148" t="s">
        <v>316</v>
      </c>
      <c r="F95" s="99">
        <v>474070.74000000017</v>
      </c>
      <c r="G95" s="99">
        <v>474070.74000000017</v>
      </c>
      <c r="H95" s="99">
        <f t="shared" si="3"/>
        <v>474070.74000000017</v>
      </c>
      <c r="I95" s="99"/>
    </row>
    <row r="96" spans="1:12" collapsed="1">
      <c r="A96" s="101" t="s">
        <v>94</v>
      </c>
      <c r="B96" s="101"/>
      <c r="C96" s="101"/>
      <c r="D96" s="101"/>
      <c r="E96" s="101"/>
      <c r="F96" s="102">
        <v>1816391584.9208333</v>
      </c>
      <c r="G96" s="102">
        <v>13830508.039840423</v>
      </c>
      <c r="H96" s="102">
        <f>SUM(H2:H95)</f>
        <v>1165889659.3412499</v>
      </c>
      <c r="I96" s="102">
        <f>SUM(I2:I95)</f>
        <v>650501925.57958353</v>
      </c>
      <c r="K96" s="106">
        <f>+'ISWC - As Approved'!P79-F96</f>
        <v>3.749847412109375E-3</v>
      </c>
      <c r="L96" s="106">
        <f>+'ISWC - As Approved'!X79-G96</f>
        <v>0</v>
      </c>
    </row>
    <row r="97" spans="1:12">
      <c r="A97" s="103"/>
      <c r="B97" s="103"/>
      <c r="C97" s="103"/>
      <c r="D97" s="103"/>
      <c r="E97" s="103"/>
      <c r="F97" s="104"/>
      <c r="G97" s="104"/>
      <c r="H97" s="104"/>
      <c r="I97" s="104"/>
      <c r="K97" s="106"/>
      <c r="L97" s="106"/>
    </row>
    <row r="98" spans="1:12" hidden="1" outlineLevel="1">
      <c r="A98" s="98"/>
      <c r="B98" s="98" t="s">
        <v>409</v>
      </c>
      <c r="C98" s="98" t="s">
        <v>406</v>
      </c>
      <c r="D98" s="241">
        <f>VLOOKUP(C98,[4]Factors!$B$1:$E$65536,4,FALSE)</f>
        <v>0</v>
      </c>
      <c r="E98" s="98"/>
      <c r="F98" s="99">
        <v>1047819.5149999998</v>
      </c>
      <c r="G98" s="99">
        <v>0</v>
      </c>
      <c r="H98" s="99">
        <f t="shared" ref="H98:H129" si="4">F98</f>
        <v>1047819.5149999998</v>
      </c>
      <c r="I98" s="99"/>
      <c r="K98" s="106"/>
      <c r="L98" s="106"/>
    </row>
    <row r="99" spans="1:12" hidden="1" outlineLevel="1">
      <c r="A99" s="98"/>
      <c r="B99" s="98" t="s">
        <v>410</v>
      </c>
      <c r="C99" s="98" t="s">
        <v>406</v>
      </c>
      <c r="D99" s="241">
        <f>VLOOKUP(C99,[4]Factors!$B$1:$E$65536,4,FALSE)</f>
        <v>0</v>
      </c>
      <c r="E99" s="98"/>
      <c r="F99" s="99">
        <v>21250</v>
      </c>
      <c r="G99" s="99">
        <v>0</v>
      </c>
      <c r="H99" s="99">
        <f t="shared" si="4"/>
        <v>21250</v>
      </c>
      <c r="I99" s="99"/>
      <c r="K99" s="106"/>
      <c r="L99" s="106"/>
    </row>
    <row r="100" spans="1:12" hidden="1" outlineLevel="1">
      <c r="A100" s="98"/>
      <c r="B100" s="98" t="s">
        <v>411</v>
      </c>
      <c r="C100" s="98" t="s">
        <v>330</v>
      </c>
      <c r="D100" s="241">
        <f>VLOOKUP(C100,[4]Factors!$B$1:$E$65536,4,FALSE)</f>
        <v>0</v>
      </c>
      <c r="E100" s="98"/>
      <c r="F100" s="99">
        <v>613568.38</v>
      </c>
      <c r="G100" s="99">
        <v>0</v>
      </c>
      <c r="H100" s="99">
        <f t="shared" si="4"/>
        <v>613568.38</v>
      </c>
      <c r="I100" s="99"/>
      <c r="K100" s="106"/>
      <c r="L100" s="106"/>
    </row>
    <row r="101" spans="1:12" hidden="1" outlineLevel="1">
      <c r="A101" s="98"/>
      <c r="B101" s="98" t="s">
        <v>412</v>
      </c>
      <c r="C101" s="98" t="s">
        <v>330</v>
      </c>
      <c r="D101" s="241">
        <f>VLOOKUP(C101,[4]Factors!$B$1:$E$65536,4,FALSE)</f>
        <v>0</v>
      </c>
      <c r="E101" s="98"/>
      <c r="F101" s="99">
        <v>8815763.6450000033</v>
      </c>
      <c r="G101" s="99">
        <v>0</v>
      </c>
      <c r="H101" s="99">
        <f t="shared" si="4"/>
        <v>8815763.6450000033</v>
      </c>
      <c r="I101" s="99"/>
      <c r="K101" s="106"/>
      <c r="L101" s="106"/>
    </row>
    <row r="102" spans="1:12" hidden="1" outlineLevel="1">
      <c r="A102" s="98"/>
      <c r="B102" s="98" t="s">
        <v>413</v>
      </c>
      <c r="C102" s="98" t="s">
        <v>268</v>
      </c>
      <c r="D102" s="241">
        <f>VLOOKUP(C102,[4]Factors!$B$1:$E$65536,4,FALSE)</f>
        <v>0</v>
      </c>
      <c r="E102" s="98"/>
      <c r="F102" s="99">
        <v>-1.0551900686550653E-8</v>
      </c>
      <c r="G102" s="99">
        <v>0</v>
      </c>
      <c r="H102" s="99">
        <f t="shared" si="4"/>
        <v>-1.0551900686550653E-8</v>
      </c>
      <c r="I102" s="99"/>
      <c r="K102" s="106"/>
      <c r="L102" s="106"/>
    </row>
    <row r="103" spans="1:12" hidden="1" outlineLevel="1">
      <c r="A103" s="98"/>
      <c r="B103" s="98" t="s">
        <v>414</v>
      </c>
      <c r="C103" s="98" t="s">
        <v>268</v>
      </c>
      <c r="D103" s="241">
        <f>VLOOKUP(C103,[4]Factors!$B$1:$E$65536,4,FALSE)</f>
        <v>0</v>
      </c>
      <c r="E103" s="98"/>
      <c r="F103" s="99">
        <v>0</v>
      </c>
      <c r="G103" s="99">
        <v>0</v>
      </c>
      <c r="H103" s="99">
        <f t="shared" si="4"/>
        <v>0</v>
      </c>
      <c r="I103" s="99"/>
      <c r="K103" s="106"/>
      <c r="L103" s="106"/>
    </row>
    <row r="104" spans="1:12" hidden="1" outlineLevel="1">
      <c r="A104" s="98"/>
      <c r="B104" s="98" t="s">
        <v>415</v>
      </c>
      <c r="C104" s="98" t="s">
        <v>318</v>
      </c>
      <c r="D104" s="241">
        <f>VLOOKUP(C104,[4]Factors!$B$1:$E$65536,4,FALSE)</f>
        <v>0</v>
      </c>
      <c r="E104" s="98"/>
      <c r="F104" s="99">
        <v>-1.3642420526593924E-12</v>
      </c>
      <c r="G104" s="99">
        <v>0</v>
      </c>
      <c r="H104" s="99">
        <f t="shared" si="4"/>
        <v>-1.3642420526593924E-12</v>
      </c>
      <c r="I104" s="99"/>
      <c r="K104" s="106"/>
      <c r="L104" s="106"/>
    </row>
    <row r="105" spans="1:12" hidden="1" outlineLevel="1">
      <c r="A105" s="98"/>
      <c r="B105" s="98" t="s">
        <v>416</v>
      </c>
      <c r="C105" s="98" t="s">
        <v>318</v>
      </c>
      <c r="D105" s="241">
        <f>VLOOKUP(C105,[4]Factors!$B$1:$E$65536,4,FALSE)</f>
        <v>0</v>
      </c>
      <c r="E105" s="98"/>
      <c r="F105" s="99">
        <v>0</v>
      </c>
      <c r="G105" s="99">
        <v>0</v>
      </c>
      <c r="H105" s="99">
        <f t="shared" si="4"/>
        <v>0</v>
      </c>
      <c r="I105" s="99"/>
      <c r="K105" s="106"/>
      <c r="L105" s="106"/>
    </row>
    <row r="106" spans="1:12" hidden="1" outlineLevel="1">
      <c r="A106" s="98"/>
      <c r="B106" s="98" t="s">
        <v>417</v>
      </c>
      <c r="C106" s="98" t="s">
        <v>318</v>
      </c>
      <c r="D106" s="241">
        <f>VLOOKUP(C106,[4]Factors!$B$1:$E$65536,4,FALSE)</f>
        <v>0</v>
      </c>
      <c r="E106" s="98"/>
      <c r="F106" s="99">
        <v>4.3655745685100555E-11</v>
      </c>
      <c r="G106" s="99">
        <v>0</v>
      </c>
      <c r="H106" s="99">
        <f t="shared" si="4"/>
        <v>4.3655745685100555E-11</v>
      </c>
      <c r="I106" s="99"/>
      <c r="K106" s="106"/>
      <c r="L106" s="106"/>
    </row>
    <row r="107" spans="1:12" hidden="1" outlineLevel="1">
      <c r="A107" s="98"/>
      <c r="B107" s="98" t="s">
        <v>418</v>
      </c>
      <c r="C107" s="98" t="s">
        <v>318</v>
      </c>
      <c r="D107" s="241">
        <f>VLOOKUP(C107,[4]Factors!$B$1:$E$65536,4,FALSE)</f>
        <v>0</v>
      </c>
      <c r="E107" s="98"/>
      <c r="F107" s="99">
        <v>-1.1641532182693481E-10</v>
      </c>
      <c r="G107" s="99">
        <v>0</v>
      </c>
      <c r="H107" s="99">
        <f t="shared" si="4"/>
        <v>-1.1641532182693481E-10</v>
      </c>
      <c r="I107" s="99"/>
      <c r="K107" s="106"/>
      <c r="L107" s="106"/>
    </row>
    <row r="108" spans="1:12" hidden="1" outlineLevel="1">
      <c r="A108" s="98"/>
      <c r="B108" s="98" t="s">
        <v>419</v>
      </c>
      <c r="C108" s="98" t="s">
        <v>318</v>
      </c>
      <c r="D108" s="241">
        <f>VLOOKUP(C108,[4]Factors!$B$1:$E$65536,4,FALSE)</f>
        <v>0</v>
      </c>
      <c r="E108" s="98"/>
      <c r="F108" s="99">
        <v>-5.8207660913467407E-11</v>
      </c>
      <c r="G108" s="99">
        <v>0</v>
      </c>
      <c r="H108" s="99">
        <f t="shared" si="4"/>
        <v>-5.8207660913467407E-11</v>
      </c>
      <c r="I108" s="99"/>
      <c r="K108" s="106"/>
      <c r="L108" s="106"/>
    </row>
    <row r="109" spans="1:12" hidden="1" outlineLevel="1">
      <c r="A109" s="98"/>
      <c r="B109" s="98" t="s">
        <v>420</v>
      </c>
      <c r="C109" s="98" t="s">
        <v>268</v>
      </c>
      <c r="D109" s="241">
        <f>VLOOKUP(C109,[4]Factors!$B$1:$E$65536,4,FALSE)</f>
        <v>0</v>
      </c>
      <c r="E109" s="98"/>
      <c r="F109" s="99">
        <v>14250.75</v>
      </c>
      <c r="G109" s="99">
        <v>0</v>
      </c>
      <c r="H109" s="99">
        <f t="shared" si="4"/>
        <v>14250.75</v>
      </c>
      <c r="I109" s="99"/>
      <c r="K109" s="106"/>
      <c r="L109" s="106"/>
    </row>
    <row r="110" spans="1:12" hidden="1" outlineLevel="1">
      <c r="A110" s="98"/>
      <c r="B110" s="98" t="s">
        <v>421</v>
      </c>
      <c r="C110" s="98" t="s">
        <v>268</v>
      </c>
      <c r="D110" s="241">
        <f>VLOOKUP(C110,[4]Factors!$B$1:$E$65536,4,FALSE)</f>
        <v>0</v>
      </c>
      <c r="E110" s="98"/>
      <c r="F110" s="99">
        <v>-2.9103830456733704E-11</v>
      </c>
      <c r="G110" s="99">
        <v>0</v>
      </c>
      <c r="H110" s="99">
        <f t="shared" si="4"/>
        <v>-2.9103830456733704E-11</v>
      </c>
      <c r="I110" s="99"/>
      <c r="K110" s="106"/>
      <c r="L110" s="106"/>
    </row>
    <row r="111" spans="1:12" hidden="1" outlineLevel="1">
      <c r="A111" s="98"/>
      <c r="B111" s="98" t="s">
        <v>422</v>
      </c>
      <c r="C111" s="98" t="s">
        <v>318</v>
      </c>
      <c r="D111" s="241">
        <f>VLOOKUP(C111,[4]Factors!$B$1:$E$65536,4,FALSE)</f>
        <v>0</v>
      </c>
      <c r="E111" s="98"/>
      <c r="F111" s="99">
        <v>2.0372681319713593E-10</v>
      </c>
      <c r="G111" s="99">
        <v>0</v>
      </c>
      <c r="H111" s="99">
        <f t="shared" si="4"/>
        <v>2.0372681319713593E-10</v>
      </c>
      <c r="I111" s="99"/>
      <c r="K111" s="106"/>
      <c r="L111" s="106"/>
    </row>
    <row r="112" spans="1:12" hidden="1" outlineLevel="1">
      <c r="A112" s="98"/>
      <c r="B112" s="98" t="s">
        <v>423</v>
      </c>
      <c r="C112" s="98" t="s">
        <v>318</v>
      </c>
      <c r="D112" s="241">
        <f>VLOOKUP(C112,[4]Factors!$B$1:$E$65536,4,FALSE)</f>
        <v>0</v>
      </c>
      <c r="E112" s="98"/>
      <c r="F112" s="99">
        <v>0</v>
      </c>
      <c r="G112" s="99">
        <v>0</v>
      </c>
      <c r="H112" s="99">
        <f t="shared" si="4"/>
        <v>0</v>
      </c>
      <c r="I112" s="99"/>
      <c r="K112" s="106"/>
      <c r="L112" s="106"/>
    </row>
    <row r="113" spans="1:12" hidden="1" outlineLevel="1">
      <c r="A113" s="98"/>
      <c r="B113" s="98" t="s">
        <v>424</v>
      </c>
      <c r="C113" s="98" t="s">
        <v>318</v>
      </c>
      <c r="D113" s="241">
        <f>VLOOKUP(C113,[4]Factors!$B$1:$E$65536,4,FALSE)</f>
        <v>0</v>
      </c>
      <c r="E113" s="98"/>
      <c r="F113" s="99">
        <v>1.4551915228366852E-11</v>
      </c>
      <c r="G113" s="99">
        <v>0</v>
      </c>
      <c r="H113" s="99">
        <f t="shared" si="4"/>
        <v>1.4551915228366852E-11</v>
      </c>
      <c r="I113" s="99"/>
      <c r="K113" s="106"/>
      <c r="L113" s="106"/>
    </row>
    <row r="114" spans="1:12" hidden="1" outlineLevel="1">
      <c r="A114" s="98"/>
      <c r="B114" s="98" t="s">
        <v>425</v>
      </c>
      <c r="C114" s="98" t="s">
        <v>318</v>
      </c>
      <c r="D114" s="241">
        <f>VLOOKUP(C114,[4]Factors!$B$1:$E$65536,4,FALSE)</f>
        <v>0</v>
      </c>
      <c r="E114" s="98"/>
      <c r="F114" s="99">
        <v>5.4569682106375694E-12</v>
      </c>
      <c r="G114" s="99">
        <v>0</v>
      </c>
      <c r="H114" s="99">
        <f t="shared" si="4"/>
        <v>5.4569682106375694E-12</v>
      </c>
      <c r="I114" s="99"/>
      <c r="K114" s="106"/>
      <c r="L114" s="106"/>
    </row>
    <row r="115" spans="1:12" hidden="1" outlineLevel="1">
      <c r="A115" s="98"/>
      <c r="B115" s="98" t="s">
        <v>426</v>
      </c>
      <c r="C115" s="98" t="s">
        <v>406</v>
      </c>
      <c r="D115" s="241">
        <f>VLOOKUP(C115,[4]Factors!$B$1:$E$65536,4,FALSE)</f>
        <v>0</v>
      </c>
      <c r="E115" s="98"/>
      <c r="F115" s="99">
        <v>3686999.7600000021</v>
      </c>
      <c r="G115" s="99">
        <v>0</v>
      </c>
      <c r="H115" s="99">
        <f t="shared" si="4"/>
        <v>3686999.7600000021</v>
      </c>
      <c r="I115" s="99"/>
      <c r="K115" s="106"/>
      <c r="L115" s="106"/>
    </row>
    <row r="116" spans="1:12" hidden="1" outlineLevel="1">
      <c r="A116" s="98"/>
      <c r="B116" s="98" t="s">
        <v>427</v>
      </c>
      <c r="C116" s="98" t="s">
        <v>406</v>
      </c>
      <c r="D116" s="241">
        <f>VLOOKUP(C116,[4]Factors!$B$1:$E$65536,4,FALSE)</f>
        <v>0</v>
      </c>
      <c r="E116" s="98"/>
      <c r="F116" s="99">
        <v>6880769.1899999967</v>
      </c>
      <c r="G116" s="99">
        <v>0</v>
      </c>
      <c r="H116" s="99">
        <f t="shared" si="4"/>
        <v>6880769.1899999967</v>
      </c>
      <c r="I116" s="99"/>
      <c r="K116" s="106"/>
      <c r="L116" s="106"/>
    </row>
    <row r="117" spans="1:12" hidden="1" outlineLevel="1">
      <c r="A117" s="98"/>
      <c r="B117" s="98" t="s">
        <v>428</v>
      </c>
      <c r="C117" s="98" t="s">
        <v>330</v>
      </c>
      <c r="D117" s="241">
        <f>VLOOKUP(C117,[4]Factors!$B$1:$E$65536,4,FALSE)</f>
        <v>0</v>
      </c>
      <c r="E117" s="98"/>
      <c r="F117" s="99">
        <v>1225000</v>
      </c>
      <c r="G117" s="99">
        <v>0</v>
      </c>
      <c r="H117" s="99">
        <f t="shared" si="4"/>
        <v>1225000</v>
      </c>
      <c r="I117" s="99"/>
      <c r="K117" s="106"/>
      <c r="L117" s="106"/>
    </row>
    <row r="118" spans="1:12" hidden="1" outlineLevel="1">
      <c r="A118" s="98"/>
      <c r="B118" s="98" t="s">
        <v>429</v>
      </c>
      <c r="C118" s="98" t="s">
        <v>256</v>
      </c>
      <c r="D118" s="241">
        <f>VLOOKUP(C118,[4]Factors!$B$1:$E$65536,4,FALSE)</f>
        <v>8.043396137671209E-2</v>
      </c>
      <c r="E118" s="98"/>
      <c r="F118" s="99">
        <v>0</v>
      </c>
      <c r="G118" s="99">
        <v>0</v>
      </c>
      <c r="H118" s="99">
        <f t="shared" si="4"/>
        <v>0</v>
      </c>
      <c r="I118" s="99"/>
      <c r="K118" s="106"/>
      <c r="L118" s="106"/>
    </row>
    <row r="119" spans="1:12" hidden="1" outlineLevel="1">
      <c r="A119" s="98"/>
      <c r="B119" s="98" t="s">
        <v>430</v>
      </c>
      <c r="C119" s="98" t="s">
        <v>268</v>
      </c>
      <c r="D119" s="241">
        <f>VLOOKUP(C119,[4]Factors!$B$1:$E$65536,4,FALSE)</f>
        <v>0</v>
      </c>
      <c r="E119" s="98"/>
      <c r="F119" s="99">
        <v>28995.862916666767</v>
      </c>
      <c r="G119" s="99">
        <v>0</v>
      </c>
      <c r="H119" s="99">
        <f t="shared" si="4"/>
        <v>28995.862916666767</v>
      </c>
      <c r="I119" s="99"/>
      <c r="K119" s="106"/>
      <c r="L119" s="106"/>
    </row>
    <row r="120" spans="1:12" hidden="1" outlineLevel="1">
      <c r="A120" s="98"/>
      <c r="B120" s="98" t="s">
        <v>431</v>
      </c>
      <c r="C120" s="98" t="s">
        <v>268</v>
      </c>
      <c r="D120" s="241">
        <f>VLOOKUP(C120,[4]Factors!$B$1:$E$65536,4,FALSE)</f>
        <v>0</v>
      </c>
      <c r="E120" s="98"/>
      <c r="F120" s="99">
        <v>-1.0368239600211382E-10</v>
      </c>
      <c r="G120" s="99">
        <v>0</v>
      </c>
      <c r="H120" s="99">
        <f t="shared" si="4"/>
        <v>-1.0368239600211382E-10</v>
      </c>
      <c r="I120" s="99"/>
      <c r="K120" s="106"/>
      <c r="L120" s="106"/>
    </row>
    <row r="121" spans="1:12" hidden="1" outlineLevel="1">
      <c r="A121" s="98"/>
      <c r="B121" s="98" t="s">
        <v>432</v>
      </c>
      <c r="C121" s="98" t="s">
        <v>406</v>
      </c>
      <c r="D121" s="241">
        <f>VLOOKUP(C121,[4]Factors!$B$1:$E$65536,4,FALSE)</f>
        <v>0</v>
      </c>
      <c r="E121" s="98"/>
      <c r="F121" s="99">
        <v>1696396</v>
      </c>
      <c r="G121" s="99">
        <v>0</v>
      </c>
      <c r="H121" s="99">
        <f t="shared" si="4"/>
        <v>1696396</v>
      </c>
      <c r="I121" s="99"/>
      <c r="K121" s="106"/>
      <c r="L121" s="106"/>
    </row>
    <row r="122" spans="1:12" hidden="1" outlineLevel="1">
      <c r="A122" s="98"/>
      <c r="B122" s="98" t="s">
        <v>433</v>
      </c>
      <c r="C122" s="98" t="s">
        <v>268</v>
      </c>
      <c r="D122" s="241">
        <f>VLOOKUP(C122,[4]Factors!$B$1:$E$65536,4,FALSE)</f>
        <v>0</v>
      </c>
      <c r="E122" s="98"/>
      <c r="F122" s="99">
        <v>960109.36000000406</v>
      </c>
      <c r="G122" s="99">
        <v>0</v>
      </c>
      <c r="H122" s="99">
        <f t="shared" si="4"/>
        <v>960109.36000000406</v>
      </c>
      <c r="I122" s="99"/>
      <c r="K122" s="106"/>
      <c r="L122" s="106"/>
    </row>
    <row r="123" spans="1:12" hidden="1" outlineLevel="1">
      <c r="A123" s="98"/>
      <c r="B123" s="98" t="s">
        <v>434</v>
      </c>
      <c r="C123" s="98" t="s">
        <v>292</v>
      </c>
      <c r="D123" s="241">
        <f>VLOOKUP(C123,[4]Factors!$B$1:$E$65536,4,FALSE)</f>
        <v>6.8469811870277855E-2</v>
      </c>
      <c r="E123" s="98"/>
      <c r="F123" s="99">
        <v>15021.408749999566</v>
      </c>
      <c r="G123" s="99">
        <v>1028.513031139016</v>
      </c>
      <c r="H123" s="99">
        <f t="shared" si="4"/>
        <v>15021.408749999566</v>
      </c>
      <c r="I123" s="99"/>
      <c r="K123" s="106"/>
      <c r="L123" s="106"/>
    </row>
    <row r="124" spans="1:12" hidden="1" outlineLevel="1">
      <c r="A124" s="98"/>
      <c r="B124" s="98" t="s">
        <v>435</v>
      </c>
      <c r="C124" s="98" t="s">
        <v>292</v>
      </c>
      <c r="D124" s="241">
        <f>VLOOKUP(C124,[4]Factors!$B$1:$E$65536,4,FALSE)</f>
        <v>6.8469811870277855E-2</v>
      </c>
      <c r="E124" s="98"/>
      <c r="F124" s="99">
        <v>0</v>
      </c>
      <c r="G124" s="99">
        <v>0</v>
      </c>
      <c r="H124" s="99">
        <f t="shared" si="4"/>
        <v>0</v>
      </c>
      <c r="I124" s="99"/>
      <c r="K124" s="106"/>
      <c r="L124" s="106"/>
    </row>
    <row r="125" spans="1:12" hidden="1" outlineLevel="1">
      <c r="A125" s="98"/>
      <c r="B125" s="148" t="s">
        <v>436</v>
      </c>
      <c r="C125" s="148" t="s">
        <v>318</v>
      </c>
      <c r="D125" s="242">
        <f>VLOOKUP(C125,[4]Factors!$B$1:$E$65536,4,FALSE)</f>
        <v>0</v>
      </c>
      <c r="E125" s="148"/>
      <c r="F125" s="150">
        <v>735159.22750000004</v>
      </c>
      <c r="G125" s="99">
        <v>0</v>
      </c>
      <c r="H125" s="99">
        <f t="shared" si="4"/>
        <v>735159.22750000004</v>
      </c>
      <c r="I125" s="99"/>
      <c r="K125" s="106"/>
      <c r="L125" s="106"/>
    </row>
    <row r="126" spans="1:12" hidden="1" outlineLevel="1">
      <c r="A126" s="98"/>
      <c r="B126" s="148" t="s">
        <v>437</v>
      </c>
      <c r="C126" s="148" t="s">
        <v>318</v>
      </c>
      <c r="D126" s="242">
        <f>VLOOKUP(C126,[4]Factors!$B$1:$E$65536,4,FALSE)</f>
        <v>0</v>
      </c>
      <c r="E126" s="148"/>
      <c r="F126" s="150">
        <v>152865.18750000049</v>
      </c>
      <c r="G126" s="99">
        <v>0</v>
      </c>
      <c r="H126" s="99">
        <f t="shared" si="4"/>
        <v>152865.18750000049</v>
      </c>
      <c r="I126" s="99"/>
      <c r="K126" s="106"/>
      <c r="L126" s="106"/>
    </row>
    <row r="127" spans="1:12" hidden="1" outlineLevel="1">
      <c r="A127" s="98"/>
      <c r="B127" s="148" t="s">
        <v>438</v>
      </c>
      <c r="C127" s="148" t="s">
        <v>318</v>
      </c>
      <c r="D127" s="242">
        <f>VLOOKUP(C127,[4]Factors!$B$1:$E$65536,4,FALSE)</f>
        <v>0</v>
      </c>
      <c r="E127" s="148"/>
      <c r="F127" s="150">
        <v>267667.75541666616</v>
      </c>
      <c r="G127" s="99">
        <v>0</v>
      </c>
      <c r="H127" s="99">
        <f t="shared" si="4"/>
        <v>267667.75541666616</v>
      </c>
      <c r="I127" s="99"/>
      <c r="K127" s="106"/>
      <c r="L127" s="106"/>
    </row>
    <row r="128" spans="1:12" hidden="1" outlineLevel="1">
      <c r="A128" s="98"/>
      <c r="B128" s="148" t="s">
        <v>439</v>
      </c>
      <c r="C128" s="148" t="s">
        <v>318</v>
      </c>
      <c r="D128" s="242">
        <f>VLOOKUP(C128,[4]Factors!$B$1:$E$65536,4,FALSE)</f>
        <v>0</v>
      </c>
      <c r="E128" s="148"/>
      <c r="F128" s="150">
        <v>871449.58999999985</v>
      </c>
      <c r="G128" s="99">
        <v>0</v>
      </c>
      <c r="H128" s="99">
        <f t="shared" si="4"/>
        <v>871449.58999999985</v>
      </c>
      <c r="I128" s="99"/>
      <c r="K128" s="106"/>
      <c r="L128" s="106"/>
    </row>
    <row r="129" spans="1:12" hidden="1" outlineLevel="1">
      <c r="A129" s="98"/>
      <c r="B129" s="98" t="s">
        <v>440</v>
      </c>
      <c r="C129" s="98" t="s">
        <v>256</v>
      </c>
      <c r="D129" s="241">
        <f>VLOOKUP(C129,[4]Factors!$B$1:$E$65536,4,FALSE)</f>
        <v>8.043396137671209E-2</v>
      </c>
      <c r="E129" s="98"/>
      <c r="F129" s="99">
        <v>125077.62</v>
      </c>
      <c r="G129" s="99">
        <v>10060.488456171071</v>
      </c>
      <c r="H129" s="99">
        <f t="shared" si="4"/>
        <v>125077.62</v>
      </c>
      <c r="I129" s="99"/>
      <c r="K129" s="106"/>
      <c r="L129" s="106"/>
    </row>
    <row r="130" spans="1:12" hidden="1" outlineLevel="1">
      <c r="A130" s="98"/>
      <c r="B130" s="98" t="s">
        <v>441</v>
      </c>
      <c r="C130" s="98" t="s">
        <v>256</v>
      </c>
      <c r="D130" s="241">
        <f>VLOOKUP(C130,[4]Factors!$B$1:$E$65536,4,FALSE)</f>
        <v>8.043396137671209E-2</v>
      </c>
      <c r="E130" s="98"/>
      <c r="F130" s="99">
        <v>-5.8207660913467407E-11</v>
      </c>
      <c r="G130" s="99">
        <v>-4.6818727497425914E-12</v>
      </c>
      <c r="H130" s="99">
        <f t="shared" ref="H130:H157" si="5">F130</f>
        <v>-5.8207660913467407E-11</v>
      </c>
      <c r="I130" s="99"/>
      <c r="K130" s="106"/>
      <c r="L130" s="106"/>
    </row>
    <row r="131" spans="1:12" hidden="1" outlineLevel="1">
      <c r="A131" s="98"/>
      <c r="B131" s="98" t="s">
        <v>442</v>
      </c>
      <c r="C131" s="98" t="s">
        <v>256</v>
      </c>
      <c r="D131" s="241">
        <f>VLOOKUP(C131,[4]Factors!$B$1:$E$65536,4,FALSE)</f>
        <v>8.043396137671209E-2</v>
      </c>
      <c r="E131" s="98"/>
      <c r="F131" s="99">
        <v>-7.2759576141834259E-12</v>
      </c>
      <c r="G131" s="99">
        <v>-5.8523409371782393E-13</v>
      </c>
      <c r="H131" s="99">
        <f t="shared" si="5"/>
        <v>-7.2759576141834259E-12</v>
      </c>
      <c r="I131" s="99"/>
      <c r="K131" s="106"/>
      <c r="L131" s="106"/>
    </row>
    <row r="132" spans="1:12" hidden="1" outlineLevel="1">
      <c r="A132" s="98"/>
      <c r="B132" s="98" t="s">
        <v>443</v>
      </c>
      <c r="C132" s="98" t="s">
        <v>256</v>
      </c>
      <c r="D132" s="241">
        <f>VLOOKUP(C132,[4]Factors!$B$1:$E$65536,4,FALSE)</f>
        <v>8.043396137671209E-2</v>
      </c>
      <c r="E132" s="98"/>
      <c r="F132" s="99">
        <v>835733.20000000065</v>
      </c>
      <c r="G132" s="99">
        <v>67221.33193003606</v>
      </c>
      <c r="H132" s="99">
        <f t="shared" si="5"/>
        <v>835733.20000000065</v>
      </c>
      <c r="I132" s="99"/>
      <c r="K132" s="106"/>
      <c r="L132" s="106"/>
    </row>
    <row r="133" spans="1:12" hidden="1" outlineLevel="1">
      <c r="A133" s="98"/>
      <c r="B133" s="98" t="s">
        <v>444</v>
      </c>
      <c r="C133" s="98" t="s">
        <v>256</v>
      </c>
      <c r="D133" s="241">
        <f>VLOOKUP(C133,[4]Factors!$B$1:$E$65536,4,FALSE)</f>
        <v>8.043396137671209E-2</v>
      </c>
      <c r="E133" s="98"/>
      <c r="F133" s="99">
        <v>0</v>
      </c>
      <c r="G133" s="99">
        <v>0</v>
      </c>
      <c r="H133" s="99">
        <f t="shared" si="5"/>
        <v>0</v>
      </c>
      <c r="I133" s="99"/>
      <c r="K133" s="106"/>
      <c r="L133" s="106"/>
    </row>
    <row r="134" spans="1:12" hidden="1" outlineLevel="1">
      <c r="A134" s="98"/>
      <c r="B134" s="98" t="s">
        <v>445</v>
      </c>
      <c r="C134" s="98" t="s">
        <v>256</v>
      </c>
      <c r="D134" s="241">
        <f>VLOOKUP(C134,[4]Factors!$B$1:$E$65536,4,FALSE)</f>
        <v>8.043396137671209E-2</v>
      </c>
      <c r="E134" s="98"/>
      <c r="F134" s="99">
        <v>13379000</v>
      </c>
      <c r="G134" s="99">
        <v>1076125.9692590311</v>
      </c>
      <c r="H134" s="99">
        <f t="shared" si="5"/>
        <v>13379000</v>
      </c>
      <c r="I134" s="99"/>
      <c r="K134" s="106"/>
      <c r="L134" s="106"/>
    </row>
    <row r="135" spans="1:12" hidden="1" outlineLevel="1">
      <c r="A135" s="98"/>
      <c r="B135" s="98" t="s">
        <v>446</v>
      </c>
      <c r="C135" s="98" t="s">
        <v>256</v>
      </c>
      <c r="D135" s="241">
        <f>VLOOKUP(C135,[4]Factors!$B$1:$E$65536,4,FALSE)</f>
        <v>8.043396137671209E-2</v>
      </c>
      <c r="E135" s="98"/>
      <c r="F135" s="99">
        <v>0</v>
      </c>
      <c r="G135" s="99">
        <v>0</v>
      </c>
      <c r="H135" s="99">
        <f t="shared" si="5"/>
        <v>0</v>
      </c>
      <c r="I135" s="99"/>
      <c r="K135" s="106"/>
      <c r="L135" s="106"/>
    </row>
    <row r="136" spans="1:12" hidden="1" outlineLevel="1">
      <c r="A136" s="98"/>
      <c r="B136" s="98" t="s">
        <v>447</v>
      </c>
      <c r="C136" s="98" t="s">
        <v>268</v>
      </c>
      <c r="D136" s="241">
        <f>VLOOKUP(C136,[4]Factors!$B$1:$E$65536,4,FALSE)</f>
        <v>0</v>
      </c>
      <c r="E136" s="98"/>
      <c r="F136" s="99">
        <v>-2.3283064365386963E-10</v>
      </c>
      <c r="G136" s="99">
        <v>0</v>
      </c>
      <c r="H136" s="99">
        <f t="shared" si="5"/>
        <v>-2.3283064365386963E-10</v>
      </c>
      <c r="I136" s="99"/>
      <c r="K136" s="106"/>
      <c r="L136" s="106"/>
    </row>
    <row r="137" spans="1:12" hidden="1" outlineLevel="1">
      <c r="A137" s="98"/>
      <c r="B137" s="98" t="s">
        <v>448</v>
      </c>
      <c r="C137" s="98" t="s">
        <v>256</v>
      </c>
      <c r="D137" s="241">
        <f>VLOOKUP(C137,[4]Factors!$B$1:$E$65536,4,FALSE)</f>
        <v>8.043396137671209E-2</v>
      </c>
      <c r="E137" s="98"/>
      <c r="F137" s="99">
        <v>-8.149072527885437E-10</v>
      </c>
      <c r="G137" s="99">
        <v>-6.5546218496396278E-11</v>
      </c>
      <c r="H137" s="99">
        <f t="shared" si="5"/>
        <v>-8.149072527885437E-10</v>
      </c>
      <c r="I137" s="99"/>
      <c r="K137" s="106"/>
      <c r="L137" s="106"/>
    </row>
    <row r="138" spans="1:12" hidden="1" outlineLevel="1">
      <c r="A138" s="98"/>
      <c r="B138" s="98" t="s">
        <v>449</v>
      </c>
      <c r="C138" s="98" t="s">
        <v>256</v>
      </c>
      <c r="D138" s="241">
        <f>VLOOKUP(C138,[4]Factors!$B$1:$E$65536,4,FALSE)</f>
        <v>8.043396137671209E-2</v>
      </c>
      <c r="E138" s="98"/>
      <c r="F138" s="99">
        <v>0</v>
      </c>
      <c r="G138" s="99">
        <v>0</v>
      </c>
      <c r="H138" s="99">
        <f t="shared" si="5"/>
        <v>0</v>
      </c>
      <c r="I138" s="99"/>
      <c r="K138" s="106"/>
      <c r="L138" s="106"/>
    </row>
    <row r="139" spans="1:12" hidden="1" outlineLevel="1">
      <c r="A139" s="98"/>
      <c r="B139" s="98" t="s">
        <v>450</v>
      </c>
      <c r="C139" s="98" t="s">
        <v>451</v>
      </c>
      <c r="D139" s="241">
        <f>VLOOKUP(C139,[4]Factors!$B$1:$E$65536,4,FALSE)</f>
        <v>0.2262649010137</v>
      </c>
      <c r="E139" s="98"/>
      <c r="F139" s="99">
        <v>4220791.16</v>
      </c>
      <c r="G139" s="99">
        <v>955016.8940169001</v>
      </c>
      <c r="H139" s="99">
        <f t="shared" si="5"/>
        <v>4220791.16</v>
      </c>
      <c r="I139" s="99"/>
      <c r="K139" s="106"/>
      <c r="L139" s="106"/>
    </row>
    <row r="140" spans="1:12" hidden="1" outlineLevel="1">
      <c r="A140" s="98"/>
      <c r="B140" s="98" t="s">
        <v>452</v>
      </c>
      <c r="C140" s="98" t="s">
        <v>256</v>
      </c>
      <c r="D140" s="241">
        <f>VLOOKUP(C140,[4]Factors!$B$1:$E$65536,4,FALSE)</f>
        <v>8.043396137671209E-2</v>
      </c>
      <c r="E140" s="98"/>
      <c r="F140" s="99">
        <v>461010</v>
      </c>
      <c r="G140" s="99">
        <v>37080.860534278043</v>
      </c>
      <c r="H140" s="99">
        <f t="shared" si="5"/>
        <v>461010</v>
      </c>
      <c r="I140" s="99"/>
      <c r="K140" s="106"/>
      <c r="L140" s="106"/>
    </row>
    <row r="141" spans="1:12" hidden="1" outlineLevel="1">
      <c r="A141" s="98"/>
      <c r="B141" s="98" t="s">
        <v>453</v>
      </c>
      <c r="C141" s="98" t="s">
        <v>256</v>
      </c>
      <c r="D141" s="241">
        <f>VLOOKUP(C141,[4]Factors!$B$1:$E$65536,4,FALSE)</f>
        <v>8.043396137671209E-2</v>
      </c>
      <c r="E141" s="98"/>
      <c r="F141" s="99">
        <v>1159280</v>
      </c>
      <c r="G141" s="99">
        <v>93245.48274479479</v>
      </c>
      <c r="H141" s="99">
        <f t="shared" si="5"/>
        <v>1159280</v>
      </c>
      <c r="I141" s="99"/>
      <c r="K141" s="106"/>
      <c r="L141" s="106"/>
    </row>
    <row r="142" spans="1:12" hidden="1" outlineLevel="1">
      <c r="A142" s="98"/>
      <c r="B142" s="98" t="s">
        <v>454</v>
      </c>
      <c r="C142" s="98" t="s">
        <v>330</v>
      </c>
      <c r="D142" s="241">
        <f>VLOOKUP(C142,[4]Factors!$B$1:$E$65536,4,FALSE)</f>
        <v>0</v>
      </c>
      <c r="E142" s="98"/>
      <c r="F142" s="99">
        <v>25000</v>
      </c>
      <c r="G142" s="99">
        <v>0</v>
      </c>
      <c r="H142" s="99">
        <f t="shared" si="5"/>
        <v>25000</v>
      </c>
      <c r="I142" s="99"/>
      <c r="K142" s="106"/>
      <c r="L142" s="106"/>
    </row>
    <row r="143" spans="1:12" hidden="1" outlineLevel="1">
      <c r="A143" s="98"/>
      <c r="B143" s="98" t="s">
        <v>454</v>
      </c>
      <c r="C143" s="98" t="s">
        <v>256</v>
      </c>
      <c r="D143" s="241">
        <f>VLOOKUP(C143,[4]Factors!$B$1:$E$65536,4,FALSE)</f>
        <v>8.043396137671209E-2</v>
      </c>
      <c r="E143" s="98"/>
      <c r="F143" s="99">
        <v>3610586.2291666665</v>
      </c>
      <c r="G143" s="99">
        <v>290413.75330408022</v>
      </c>
      <c r="H143" s="99">
        <f t="shared" si="5"/>
        <v>3610586.2291666665</v>
      </c>
      <c r="I143" s="99"/>
      <c r="K143" s="106"/>
      <c r="L143" s="106"/>
    </row>
    <row r="144" spans="1:12" hidden="1" outlineLevel="1">
      <c r="A144" s="98"/>
      <c r="B144" s="98" t="s">
        <v>455</v>
      </c>
      <c r="C144" s="98" t="s">
        <v>268</v>
      </c>
      <c r="D144" s="241">
        <f>VLOOKUP(C144,[4]Factors!$B$1:$E$65536,4,FALSE)</f>
        <v>0</v>
      </c>
      <c r="E144" s="98"/>
      <c r="F144" s="99">
        <v>0</v>
      </c>
      <c r="G144" s="99">
        <v>0</v>
      </c>
      <c r="H144" s="99">
        <f t="shared" si="5"/>
        <v>0</v>
      </c>
      <c r="I144" s="99"/>
      <c r="K144" s="106"/>
      <c r="L144" s="106"/>
    </row>
    <row r="145" spans="1:12" hidden="1" outlineLevel="1">
      <c r="A145" s="98"/>
      <c r="B145" s="98" t="s">
        <v>456</v>
      </c>
      <c r="C145" s="98" t="s">
        <v>256</v>
      </c>
      <c r="D145" s="241">
        <f>VLOOKUP(C145,[4]Factors!$B$1:$E$65536,4,FALSE)</f>
        <v>8.043396137671209E-2</v>
      </c>
      <c r="E145" s="98"/>
      <c r="F145" s="99">
        <v>172625</v>
      </c>
      <c r="G145" s="99">
        <v>13884.912582654924</v>
      </c>
      <c r="H145" s="99">
        <f t="shared" si="5"/>
        <v>172625</v>
      </c>
      <c r="I145" s="99"/>
      <c r="K145" s="106"/>
      <c r="L145" s="106"/>
    </row>
    <row r="146" spans="1:12" hidden="1" outlineLevel="1">
      <c r="A146" s="98"/>
      <c r="B146" s="238" t="s">
        <v>457</v>
      </c>
      <c r="C146" s="98" t="s">
        <v>268</v>
      </c>
      <c r="D146" s="241">
        <f>VLOOKUP(C146,[4]Factors!$B$1:$E$65536,4,FALSE)</f>
        <v>0</v>
      </c>
      <c r="E146" s="98"/>
      <c r="F146" s="99">
        <v>150120.01291666552</v>
      </c>
      <c r="G146" s="99">
        <v>0</v>
      </c>
      <c r="H146" s="99">
        <f t="shared" si="5"/>
        <v>150120.01291666552</v>
      </c>
      <c r="I146" s="99"/>
      <c r="K146" s="106"/>
      <c r="L146" s="106"/>
    </row>
    <row r="147" spans="1:12" hidden="1" outlineLevel="1">
      <c r="A147" s="98"/>
      <c r="B147" s="98" t="s">
        <v>458</v>
      </c>
      <c r="C147" s="98" t="s">
        <v>268</v>
      </c>
      <c r="D147" s="241">
        <f>VLOOKUP(C147,[4]Factors!$B$1:$E$65536,4,FALSE)</f>
        <v>0</v>
      </c>
      <c r="E147" s="98"/>
      <c r="F147" s="99">
        <v>-150120.0129166618</v>
      </c>
      <c r="G147" s="99">
        <v>0</v>
      </c>
      <c r="H147" s="99">
        <f t="shared" si="5"/>
        <v>-150120.0129166618</v>
      </c>
      <c r="I147" s="99"/>
      <c r="K147" s="106"/>
      <c r="L147" s="106"/>
    </row>
    <row r="148" spans="1:12" hidden="1" outlineLevel="1">
      <c r="A148" s="98"/>
      <c r="B148" s="148" t="s">
        <v>459</v>
      </c>
      <c r="C148" s="148" t="s">
        <v>318</v>
      </c>
      <c r="D148" s="242">
        <f>VLOOKUP(C148,[4]Factors!$B$1:$E$65536,4,FALSE)</f>
        <v>0</v>
      </c>
      <c r="E148" s="148"/>
      <c r="F148" s="150">
        <v>1846556.7087500021</v>
      </c>
      <c r="G148" s="99">
        <v>0</v>
      </c>
      <c r="H148" s="99">
        <f t="shared" si="5"/>
        <v>1846556.7087500021</v>
      </c>
      <c r="I148" s="99"/>
      <c r="K148" s="106"/>
      <c r="L148" s="106"/>
    </row>
    <row r="149" spans="1:12" hidden="1" outlineLevel="1">
      <c r="A149" s="98"/>
      <c r="B149" s="148" t="s">
        <v>460</v>
      </c>
      <c r="C149" s="148" t="s">
        <v>268</v>
      </c>
      <c r="D149" s="242">
        <f>VLOOKUP(C149,[4]Factors!$B$1:$E$65536,4,FALSE)</f>
        <v>0</v>
      </c>
      <c r="E149" s="148"/>
      <c r="F149" s="150">
        <v>556839.39000000013</v>
      </c>
      <c r="G149" s="99">
        <v>0</v>
      </c>
      <c r="H149" s="99">
        <f t="shared" si="5"/>
        <v>556839.39000000013</v>
      </c>
      <c r="I149" s="99"/>
      <c r="K149" s="106"/>
      <c r="L149" s="106"/>
    </row>
    <row r="150" spans="1:12" hidden="1" outlineLevel="1">
      <c r="A150" s="98"/>
      <c r="B150" s="148" t="s">
        <v>461</v>
      </c>
      <c r="C150" s="148" t="s">
        <v>318</v>
      </c>
      <c r="D150" s="242">
        <f>VLOOKUP(C150,[4]Factors!$B$1:$E$65536,4,FALSE)</f>
        <v>0</v>
      </c>
      <c r="E150" s="148"/>
      <c r="F150" s="150">
        <v>8582975.2645833325</v>
      </c>
      <c r="G150" s="99">
        <v>0</v>
      </c>
      <c r="H150" s="99">
        <f t="shared" si="5"/>
        <v>8582975.2645833325</v>
      </c>
      <c r="I150" s="99"/>
      <c r="K150" s="106"/>
      <c r="L150" s="106"/>
    </row>
    <row r="151" spans="1:12" hidden="1" outlineLevel="1">
      <c r="A151" s="98"/>
      <c r="B151" s="98" t="s">
        <v>462</v>
      </c>
      <c r="C151" s="98" t="s">
        <v>268</v>
      </c>
      <c r="D151" s="241">
        <f>VLOOKUP(C151,[4]Factors!$B$1:$E$65536,4,FALSE)</f>
        <v>0</v>
      </c>
      <c r="E151" s="98"/>
      <c r="F151" s="99">
        <v>1255376.2091666597</v>
      </c>
      <c r="G151" s="99">
        <v>0</v>
      </c>
      <c r="H151" s="99">
        <f t="shared" si="5"/>
        <v>1255376.2091666597</v>
      </c>
      <c r="I151" s="99"/>
      <c r="K151" s="106"/>
      <c r="L151" s="106"/>
    </row>
    <row r="152" spans="1:12" hidden="1" outlineLevel="1">
      <c r="A152" s="98"/>
      <c r="B152" s="98" t="s">
        <v>463</v>
      </c>
      <c r="C152" s="98" t="s">
        <v>268</v>
      </c>
      <c r="D152" s="241">
        <f>VLOOKUP(C152,[4]Factors!$B$1:$E$65536,4,FALSE)</f>
        <v>0</v>
      </c>
      <c r="E152" s="98"/>
      <c r="F152" s="99">
        <v>-1255376.2091666667</v>
      </c>
      <c r="G152" s="99">
        <v>0</v>
      </c>
      <c r="H152" s="99">
        <f t="shared" si="5"/>
        <v>-1255376.2091666667</v>
      </c>
      <c r="I152" s="99"/>
      <c r="K152" s="106"/>
      <c r="L152" s="106"/>
    </row>
    <row r="153" spans="1:12" hidden="1" outlineLevel="1">
      <c r="A153" s="98"/>
      <c r="B153" s="98" t="s">
        <v>464</v>
      </c>
      <c r="C153" s="98" t="s">
        <v>330</v>
      </c>
      <c r="D153" s="241">
        <f>VLOOKUP(C153,[4]Factors!$B$1:$E$65536,4,FALSE)</f>
        <v>0</v>
      </c>
      <c r="E153" s="98"/>
      <c r="F153" s="99">
        <v>10653686.85916668</v>
      </c>
      <c r="G153" s="99">
        <v>0</v>
      </c>
      <c r="H153" s="99">
        <f t="shared" si="5"/>
        <v>10653686.85916668</v>
      </c>
      <c r="I153" s="99"/>
      <c r="K153" s="106"/>
      <c r="L153" s="106"/>
    </row>
    <row r="154" spans="1:12" hidden="1" outlineLevel="1">
      <c r="A154" s="98"/>
      <c r="B154" s="98" t="s">
        <v>465</v>
      </c>
      <c r="C154" s="98" t="s">
        <v>451</v>
      </c>
      <c r="D154" s="241">
        <f>VLOOKUP(C154,[4]Factors!$B$1:$E$65536,4,FALSE)</f>
        <v>0.2262649010137</v>
      </c>
      <c r="E154" s="98"/>
      <c r="F154" s="99">
        <v>7378732.1558333337</v>
      </c>
      <c r="G154" s="99">
        <v>1669548.1008462345</v>
      </c>
      <c r="H154" s="99">
        <f t="shared" si="5"/>
        <v>7378732.1558333337</v>
      </c>
      <c r="I154" s="99"/>
      <c r="K154" s="106"/>
      <c r="L154" s="106"/>
    </row>
    <row r="155" spans="1:12" hidden="1" outlineLevel="1">
      <c r="A155" s="98"/>
      <c r="B155" s="98" t="s">
        <v>466</v>
      </c>
      <c r="C155" s="98" t="s">
        <v>330</v>
      </c>
      <c r="D155" s="241">
        <f>VLOOKUP(C155,[4]Factors!$B$1:$E$65536,4,FALSE)</f>
        <v>0</v>
      </c>
      <c r="E155" s="98"/>
      <c r="F155" s="99">
        <v>2736309.514999995</v>
      </c>
      <c r="G155" s="99">
        <v>0</v>
      </c>
      <c r="H155" s="99">
        <f t="shared" si="5"/>
        <v>2736309.514999995</v>
      </c>
      <c r="I155" s="99"/>
      <c r="K155" s="106"/>
      <c r="L155" s="106"/>
    </row>
    <row r="156" spans="1:12" hidden="1" outlineLevel="1">
      <c r="A156" s="98"/>
      <c r="B156" s="148" t="s">
        <v>467</v>
      </c>
      <c r="C156" s="148" t="s">
        <v>318</v>
      </c>
      <c r="D156" s="242">
        <f>VLOOKUP(C156,[4]Factors!$B$1:$E$65536,4,FALSE)</f>
        <v>0</v>
      </c>
      <c r="E156" s="152" t="s">
        <v>666</v>
      </c>
      <c r="F156" s="150">
        <v>4497457.8266666671</v>
      </c>
      <c r="G156" s="99">
        <v>0</v>
      </c>
      <c r="H156" s="99">
        <f t="shared" si="5"/>
        <v>4497457.8266666671</v>
      </c>
      <c r="I156" s="99"/>
      <c r="K156" s="106"/>
      <c r="L156" s="106"/>
    </row>
    <row r="157" spans="1:12" hidden="1" outlineLevel="1">
      <c r="A157" s="100"/>
      <c r="B157" s="148" t="s">
        <v>468</v>
      </c>
      <c r="C157" s="148" t="s">
        <v>268</v>
      </c>
      <c r="D157" s="242">
        <f>VLOOKUP(C157,[4]Factors!$B$1:$E$65536,4,FALSE)</f>
        <v>0</v>
      </c>
      <c r="E157" s="148"/>
      <c r="F157" s="150">
        <v>240089.95833333334</v>
      </c>
      <c r="G157" s="150">
        <v>0</v>
      </c>
      <c r="H157" s="150">
        <f t="shared" si="5"/>
        <v>240089.95833333334</v>
      </c>
      <c r="I157" s="150"/>
      <c r="K157" s="106"/>
      <c r="L157" s="106"/>
    </row>
    <row r="158" spans="1:12" collapsed="1">
      <c r="A158" s="101" t="s">
        <v>88</v>
      </c>
      <c r="B158" s="101"/>
      <c r="C158" s="101"/>
      <c r="D158" s="101"/>
      <c r="E158" s="101"/>
      <c r="F158" s="102">
        <f>SUM(F98:F157)</f>
        <v>87514836.51958333</v>
      </c>
      <c r="G158" s="102">
        <v>4213626.3067053203</v>
      </c>
      <c r="H158" s="102">
        <f>SUM(H98:H157)</f>
        <v>87514836.51958333</v>
      </c>
      <c r="I158" s="102">
        <f>SUM(I98:I157)</f>
        <v>0</v>
      </c>
      <c r="K158" s="106">
        <f>+'ISWC - As Approved'!P85-F158</f>
        <v>-3.0416667461395264E-2</v>
      </c>
      <c r="L158" s="106">
        <f>+'ISWC - As Approved'!X85-G158</f>
        <v>-1.3038516044616699E-8</v>
      </c>
    </row>
    <row r="159" spans="1:12">
      <c r="A159" s="103"/>
      <c r="B159" s="103"/>
      <c r="C159" s="103"/>
      <c r="D159" s="103"/>
      <c r="E159" s="103"/>
      <c r="F159" s="104"/>
      <c r="G159" s="104"/>
      <c r="H159" s="104"/>
      <c r="I159" s="104"/>
      <c r="K159" s="106"/>
      <c r="L159" s="106"/>
    </row>
    <row r="160" spans="1:12" hidden="1" outlineLevel="1">
      <c r="A160" s="103"/>
      <c r="B160" s="98" t="s">
        <v>441</v>
      </c>
      <c r="C160" s="98" t="s">
        <v>256</v>
      </c>
      <c r="D160" s="241">
        <f>VLOOKUP(C160,[4]Factors!$B$1:$E$65536,4,FALSE)</f>
        <v>8.043396137671209E-2</v>
      </c>
      <c r="E160" s="98"/>
      <c r="F160" s="99">
        <v>0</v>
      </c>
      <c r="G160" s="99">
        <v>0</v>
      </c>
      <c r="H160" s="99">
        <f t="shared" ref="H160:H166" si="6">F160</f>
        <v>0</v>
      </c>
      <c r="I160" s="99"/>
      <c r="K160" s="106"/>
      <c r="L160" s="106"/>
    </row>
    <row r="161" spans="1:12" hidden="1" outlineLevel="1">
      <c r="A161" s="103"/>
      <c r="B161" s="98" t="s">
        <v>448</v>
      </c>
      <c r="C161" s="98" t="s">
        <v>256</v>
      </c>
      <c r="D161" s="241">
        <f>VLOOKUP(C161,[4]Factors!$B$1:$E$65536,4,FALSE)</f>
        <v>8.043396137671209E-2</v>
      </c>
      <c r="E161" s="98"/>
      <c r="F161" s="99">
        <v>0</v>
      </c>
      <c r="G161" s="99">
        <v>0</v>
      </c>
      <c r="H161" s="99">
        <f t="shared" si="6"/>
        <v>0</v>
      </c>
      <c r="I161" s="99"/>
      <c r="K161" s="106"/>
      <c r="L161" s="106"/>
    </row>
    <row r="162" spans="1:12" hidden="1" outlineLevel="1">
      <c r="A162" s="103"/>
      <c r="B162" s="98" t="s">
        <v>469</v>
      </c>
      <c r="C162" s="98" t="s">
        <v>268</v>
      </c>
      <c r="D162" s="241">
        <f>VLOOKUP(C162,[4]Factors!$B$1:$E$65536,4,FALSE)</f>
        <v>0</v>
      </c>
      <c r="E162" s="98"/>
      <c r="F162" s="99">
        <v>0</v>
      </c>
      <c r="G162" s="99">
        <v>0</v>
      </c>
      <c r="H162" s="99">
        <f t="shared" si="6"/>
        <v>0</v>
      </c>
      <c r="I162" s="99"/>
      <c r="K162" s="106"/>
      <c r="L162" s="106"/>
    </row>
    <row r="163" spans="1:12" hidden="1" outlineLevel="1">
      <c r="A163" s="103"/>
      <c r="B163" s="148" t="s">
        <v>470</v>
      </c>
      <c r="C163" s="148" t="s">
        <v>268</v>
      </c>
      <c r="D163" s="242">
        <f>VLOOKUP(C163,[4]Factors!$B$1:$E$65536,4,FALSE)</f>
        <v>0</v>
      </c>
      <c r="E163" s="148"/>
      <c r="F163" s="150">
        <v>-13226.373333333335</v>
      </c>
      <c r="G163" s="99">
        <v>0</v>
      </c>
      <c r="H163" s="99">
        <f t="shared" si="6"/>
        <v>-13226.373333333335</v>
      </c>
      <c r="I163" s="99"/>
      <c r="K163" s="106"/>
      <c r="L163" s="106"/>
    </row>
    <row r="164" spans="1:12" hidden="1" outlineLevel="1">
      <c r="A164" s="103"/>
      <c r="B164" s="98" t="s">
        <v>471</v>
      </c>
      <c r="C164" s="98" t="s">
        <v>315</v>
      </c>
      <c r="D164" s="241">
        <v>0</v>
      </c>
      <c r="E164" s="98"/>
      <c r="F164" s="99">
        <v>-11251.041666666666</v>
      </c>
      <c r="G164" s="99">
        <v>0</v>
      </c>
      <c r="H164" s="99">
        <f t="shared" si="6"/>
        <v>-11251.041666666666</v>
      </c>
      <c r="I164" s="99"/>
      <c r="K164" s="106"/>
      <c r="L164" s="106"/>
    </row>
    <row r="165" spans="1:12" hidden="1" outlineLevel="1">
      <c r="A165" s="103"/>
      <c r="B165" s="98" t="s">
        <v>471</v>
      </c>
      <c r="C165" s="98" t="s">
        <v>451</v>
      </c>
      <c r="D165" s="241">
        <f>VLOOKUP(C165,[4]Factors!$B$1:$E$65536,4,FALSE)</f>
        <v>0.2262649010137</v>
      </c>
      <c r="E165" s="98"/>
      <c r="F165" s="99">
        <v>-1100</v>
      </c>
      <c r="G165" s="99">
        <v>-248.89139111507001</v>
      </c>
      <c r="H165" s="99">
        <f t="shared" si="6"/>
        <v>-1100</v>
      </c>
      <c r="I165" s="99"/>
      <c r="K165" s="106"/>
      <c r="L165" s="106"/>
    </row>
    <row r="166" spans="1:12" hidden="1" outlineLevel="1">
      <c r="A166" s="103"/>
      <c r="B166" s="98" t="s">
        <v>472</v>
      </c>
      <c r="C166" s="98" t="s">
        <v>268</v>
      </c>
      <c r="D166" s="241">
        <f>VLOOKUP(C166,[4]Factors!$B$1:$E$65536,4,FALSE)</f>
        <v>0</v>
      </c>
      <c r="E166" s="98"/>
      <c r="F166" s="99">
        <v>0</v>
      </c>
      <c r="G166" s="99">
        <v>0</v>
      </c>
      <c r="H166" s="99">
        <f t="shared" si="6"/>
        <v>0</v>
      </c>
      <c r="I166" s="99"/>
      <c r="K166" s="106"/>
      <c r="L166" s="106"/>
    </row>
    <row r="167" spans="1:12" hidden="1" outlineLevel="1">
      <c r="A167" s="103"/>
      <c r="B167" s="148" t="s">
        <v>473</v>
      </c>
      <c r="C167" s="148" t="s">
        <v>268</v>
      </c>
      <c r="D167" s="242">
        <f>VLOOKUP(C167,[4]Factors!$B$1:$E$65536,4,FALSE)</f>
        <v>0</v>
      </c>
      <c r="E167" s="148"/>
      <c r="F167" s="150">
        <v>-98736976.795833334</v>
      </c>
      <c r="G167" s="99">
        <v>0</v>
      </c>
      <c r="H167" s="99">
        <f t="shared" ref="H167:H209" si="7">F167</f>
        <v>-98736976.795833334</v>
      </c>
      <c r="I167" s="99"/>
      <c r="K167" s="106"/>
      <c r="L167" s="106"/>
    </row>
    <row r="168" spans="1:12" hidden="1" outlineLevel="1">
      <c r="A168" s="103"/>
      <c r="B168" s="98" t="s">
        <v>474</v>
      </c>
      <c r="C168" s="98" t="s">
        <v>407</v>
      </c>
      <c r="D168" s="241">
        <f>VLOOKUP(C168,[4]Factors!$B$1:$E$65536,4,FALSE)</f>
        <v>7.5708155171090558E-2</v>
      </c>
      <c r="E168" s="98"/>
      <c r="F168" s="99">
        <v>-1040085.8995833335</v>
      </c>
      <c r="G168" s="99">
        <v>-75312.496749805869</v>
      </c>
      <c r="H168" s="99">
        <f t="shared" si="7"/>
        <v>-1040085.8995833335</v>
      </c>
      <c r="I168" s="99"/>
      <c r="K168" s="106"/>
      <c r="L168" s="106"/>
    </row>
    <row r="169" spans="1:12" hidden="1" outlineLevel="1">
      <c r="A169" s="103"/>
      <c r="B169" s="148" t="s">
        <v>475</v>
      </c>
      <c r="C169" s="148" t="s">
        <v>268</v>
      </c>
      <c r="D169" s="242">
        <f>VLOOKUP(C169,[4]Factors!$B$1:$E$65536,4,FALSE)</f>
        <v>0</v>
      </c>
      <c r="E169" s="148"/>
      <c r="F169" s="150">
        <v>-13069499.514999999</v>
      </c>
      <c r="G169" s="99">
        <v>0</v>
      </c>
      <c r="H169" s="99">
        <f t="shared" si="7"/>
        <v>-13069499.514999999</v>
      </c>
      <c r="I169" s="99"/>
      <c r="K169" s="106"/>
      <c r="L169" s="106"/>
    </row>
    <row r="170" spans="1:12" hidden="1" outlineLevel="1">
      <c r="A170" s="103"/>
      <c r="B170" s="148" t="s">
        <v>476</v>
      </c>
      <c r="C170" s="148" t="s">
        <v>268</v>
      </c>
      <c r="D170" s="242">
        <f>VLOOKUP(C170,[4]Factors!$B$1:$E$65536,4,FALSE)</f>
        <v>0</v>
      </c>
      <c r="E170" s="148"/>
      <c r="F170" s="150">
        <v>-90735.123750000726</v>
      </c>
      <c r="G170" s="99">
        <v>0</v>
      </c>
      <c r="H170" s="99">
        <f t="shared" si="7"/>
        <v>-90735.123750000726</v>
      </c>
      <c r="I170" s="99"/>
      <c r="K170" s="106"/>
      <c r="L170" s="106"/>
    </row>
    <row r="171" spans="1:12" hidden="1" outlineLevel="1">
      <c r="A171" s="103"/>
      <c r="B171" s="148" t="s">
        <v>477</v>
      </c>
      <c r="C171" s="148" t="s">
        <v>268</v>
      </c>
      <c r="D171" s="242">
        <f>VLOOKUP(C171,[4]Factors!$B$1:$E$65536,4,FALSE)</f>
        <v>0</v>
      </c>
      <c r="E171" s="148"/>
      <c r="F171" s="150">
        <v>-47635.95124999946</v>
      </c>
      <c r="G171" s="99">
        <v>0</v>
      </c>
      <c r="H171" s="99">
        <f t="shared" si="7"/>
        <v>-47635.95124999946</v>
      </c>
      <c r="I171" s="99"/>
      <c r="K171" s="106"/>
      <c r="L171" s="106"/>
    </row>
    <row r="172" spans="1:12" hidden="1" outlineLevel="1">
      <c r="A172" s="103"/>
      <c r="B172" s="148" t="s">
        <v>478</v>
      </c>
      <c r="C172" s="148" t="s">
        <v>268</v>
      </c>
      <c r="D172" s="242">
        <f>VLOOKUP(C172,[4]Factors!$B$1:$E$65536,4,FALSE)</f>
        <v>0</v>
      </c>
      <c r="E172" s="148"/>
      <c r="F172" s="150">
        <v>-43099.172499999935</v>
      </c>
      <c r="G172" s="99">
        <v>0</v>
      </c>
      <c r="H172" s="99">
        <f t="shared" si="7"/>
        <v>-43099.172499999935</v>
      </c>
      <c r="I172" s="99"/>
      <c r="K172" s="106"/>
      <c r="L172" s="106"/>
    </row>
    <row r="173" spans="1:12" hidden="1" outlineLevel="1">
      <c r="A173" s="103"/>
      <c r="B173" s="148" t="s">
        <v>479</v>
      </c>
      <c r="C173" s="148" t="s">
        <v>268</v>
      </c>
      <c r="D173" s="242">
        <f>VLOOKUP(C173,[4]Factors!$B$1:$E$65536,4,FALSE)</f>
        <v>0</v>
      </c>
      <c r="E173" s="148"/>
      <c r="F173" s="150">
        <v>-6229.3424999993294</v>
      </c>
      <c r="G173" s="99">
        <v>0</v>
      </c>
      <c r="H173" s="99">
        <f t="shared" si="7"/>
        <v>-6229.3424999993294</v>
      </c>
      <c r="I173" s="99"/>
      <c r="K173" s="106"/>
      <c r="L173" s="106"/>
    </row>
    <row r="174" spans="1:12" hidden="1" outlineLevel="1">
      <c r="A174" s="103"/>
      <c r="B174" s="148" t="s">
        <v>480</v>
      </c>
      <c r="C174" s="148" t="s">
        <v>315</v>
      </c>
      <c r="D174" s="242">
        <v>0</v>
      </c>
      <c r="E174" s="148"/>
      <c r="F174" s="150">
        <v>-208213.7916666666</v>
      </c>
      <c r="G174" s="99">
        <v>0</v>
      </c>
      <c r="H174" s="99">
        <f t="shared" si="7"/>
        <v>-208213.7916666666</v>
      </c>
      <c r="I174" s="99"/>
      <c r="K174" s="106"/>
      <c r="L174" s="106"/>
    </row>
    <row r="175" spans="1:12" hidden="1" outlineLevel="1">
      <c r="A175" s="103"/>
      <c r="B175" s="148" t="s">
        <v>480</v>
      </c>
      <c r="C175" s="148" t="s">
        <v>331</v>
      </c>
      <c r="D175" s="242">
        <v>0</v>
      </c>
      <c r="E175" s="148"/>
      <c r="F175" s="150">
        <v>-64197.760833333508</v>
      </c>
      <c r="G175" s="99">
        <v>0</v>
      </c>
      <c r="H175" s="99">
        <f t="shared" si="7"/>
        <v>-64197.760833333508</v>
      </c>
      <c r="I175" s="99"/>
      <c r="K175" s="106"/>
      <c r="L175" s="106"/>
    </row>
    <row r="176" spans="1:12" hidden="1" outlineLevel="1">
      <c r="A176" s="103"/>
      <c r="B176" s="148" t="s">
        <v>480</v>
      </c>
      <c r="C176" s="148" t="s">
        <v>332</v>
      </c>
      <c r="D176" s="242">
        <v>0</v>
      </c>
      <c r="E176" s="148"/>
      <c r="F176" s="150">
        <v>-1659011.6137500026</v>
      </c>
      <c r="G176" s="99">
        <v>0</v>
      </c>
      <c r="H176" s="99">
        <f t="shared" si="7"/>
        <v>-1659011.6137500026</v>
      </c>
      <c r="I176" s="99"/>
      <c r="K176" s="106"/>
      <c r="L176" s="106"/>
    </row>
    <row r="177" spans="1:12" hidden="1" outlineLevel="1">
      <c r="A177" s="103"/>
      <c r="B177" s="148" t="s">
        <v>480</v>
      </c>
      <c r="C177" s="148" t="s">
        <v>283</v>
      </c>
      <c r="D177" s="242">
        <v>0</v>
      </c>
      <c r="E177" s="148"/>
      <c r="F177" s="150">
        <v>-686957.14791666728</v>
      </c>
      <c r="G177" s="99">
        <v>0</v>
      </c>
      <c r="H177" s="99">
        <f t="shared" si="7"/>
        <v>-686957.14791666728</v>
      </c>
      <c r="I177" s="99"/>
      <c r="K177" s="106"/>
      <c r="L177" s="106"/>
    </row>
    <row r="178" spans="1:12" hidden="1" outlineLevel="1">
      <c r="A178" s="103"/>
      <c r="B178" s="148" t="s">
        <v>480</v>
      </c>
      <c r="C178" s="148" t="s">
        <v>328</v>
      </c>
      <c r="D178" s="242">
        <v>1</v>
      </c>
      <c r="E178" s="148"/>
      <c r="F178" s="150">
        <v>-361553.18708333361</v>
      </c>
      <c r="G178" s="99">
        <v>-361553.18708333361</v>
      </c>
      <c r="H178" s="99">
        <f t="shared" si="7"/>
        <v>-361553.18708333361</v>
      </c>
      <c r="I178" s="99"/>
      <c r="K178" s="106"/>
      <c r="L178" s="106"/>
    </row>
    <row r="179" spans="1:12" hidden="1" outlineLevel="1">
      <c r="A179" s="103"/>
      <c r="B179" s="148" t="s">
        <v>480</v>
      </c>
      <c r="C179" s="148" t="s">
        <v>281</v>
      </c>
      <c r="D179" s="242">
        <v>0</v>
      </c>
      <c r="E179" s="148"/>
      <c r="F179" s="150">
        <v>-140546.95708333357</v>
      </c>
      <c r="G179" s="99">
        <v>0</v>
      </c>
      <c r="H179" s="99">
        <f t="shared" si="7"/>
        <v>-140546.95708333357</v>
      </c>
      <c r="I179" s="99"/>
      <c r="K179" s="106"/>
      <c r="L179" s="106"/>
    </row>
    <row r="180" spans="1:12" hidden="1" outlineLevel="1">
      <c r="A180" s="103"/>
      <c r="B180" s="148" t="s">
        <v>481</v>
      </c>
      <c r="C180" s="148" t="s">
        <v>268</v>
      </c>
      <c r="D180" s="242">
        <f>VLOOKUP(C180,[4]Factors!$B$1:$E$65536,4,FALSE)</f>
        <v>0</v>
      </c>
      <c r="E180" s="148"/>
      <c r="F180" s="150">
        <v>-76246.559999999896</v>
      </c>
      <c r="G180" s="99">
        <v>0</v>
      </c>
      <c r="H180" s="99">
        <f t="shared" si="7"/>
        <v>-76246.559999999896</v>
      </c>
      <c r="I180" s="99"/>
      <c r="K180" s="106"/>
      <c r="L180" s="106"/>
    </row>
    <row r="181" spans="1:12" hidden="1" outlineLevel="1">
      <c r="A181" s="103"/>
      <c r="B181" s="98" t="s">
        <v>482</v>
      </c>
      <c r="C181" s="98" t="s">
        <v>318</v>
      </c>
      <c r="D181" s="241">
        <f>VLOOKUP(C181,[4]Factors!$B$1:$E$65536,4,FALSE)</f>
        <v>0</v>
      </c>
      <c r="E181" s="98"/>
      <c r="F181" s="99">
        <v>-119900.79666666966</v>
      </c>
      <c r="G181" s="99">
        <v>0</v>
      </c>
      <c r="H181" s="99">
        <f t="shared" si="7"/>
        <v>-119900.79666666966</v>
      </c>
      <c r="I181" s="99"/>
      <c r="K181" s="106"/>
      <c r="L181" s="106"/>
    </row>
    <row r="182" spans="1:12" hidden="1" outlineLevel="1">
      <c r="A182" s="103"/>
      <c r="B182" s="98" t="s">
        <v>483</v>
      </c>
      <c r="C182" s="98" t="s">
        <v>268</v>
      </c>
      <c r="D182" s="241">
        <f>VLOOKUP(C182,[4]Factors!$B$1:$E$65536,4,FALSE)</f>
        <v>0</v>
      </c>
      <c r="E182" s="98"/>
      <c r="F182" s="99">
        <v>-123607.08374999995</v>
      </c>
      <c r="G182" s="99">
        <v>0</v>
      </c>
      <c r="H182" s="99">
        <f t="shared" si="7"/>
        <v>-123607.08374999995</v>
      </c>
      <c r="I182" s="99"/>
      <c r="K182" s="106"/>
      <c r="L182" s="106"/>
    </row>
    <row r="183" spans="1:12" hidden="1" outlineLevel="1">
      <c r="A183" s="103"/>
      <c r="B183" s="98" t="s">
        <v>484</v>
      </c>
      <c r="C183" s="98" t="s">
        <v>485</v>
      </c>
      <c r="D183" s="241">
        <f>VLOOKUP(C183,[4]Factors!$B$1:$E$65536,4,FALSE)</f>
        <v>0.22648067236840891</v>
      </c>
      <c r="E183" s="98"/>
      <c r="F183" s="99">
        <v>-1310.4837499991991</v>
      </c>
      <c r="G183" s="99">
        <v>-296.79924082769247</v>
      </c>
      <c r="H183" s="99">
        <f t="shared" si="7"/>
        <v>-1310.4837499991991</v>
      </c>
      <c r="I183" s="99"/>
      <c r="K183" s="106"/>
      <c r="L183" s="106"/>
    </row>
    <row r="184" spans="1:12" hidden="1" outlineLevel="1">
      <c r="A184" s="103"/>
      <c r="B184" s="98" t="s">
        <v>486</v>
      </c>
      <c r="C184" s="98" t="s">
        <v>268</v>
      </c>
      <c r="D184" s="241">
        <f>VLOOKUP(C184,[4]Factors!$B$1:$E$65536,4,FALSE)</f>
        <v>0</v>
      </c>
      <c r="E184" s="98"/>
      <c r="F184" s="99">
        <v>-413417</v>
      </c>
      <c r="G184" s="99">
        <v>0</v>
      </c>
      <c r="H184" s="99">
        <f t="shared" si="7"/>
        <v>-413417</v>
      </c>
      <c r="I184" s="99"/>
      <c r="K184" s="106"/>
      <c r="L184" s="106"/>
    </row>
    <row r="185" spans="1:12" hidden="1" outlineLevel="1">
      <c r="A185" s="103"/>
      <c r="B185" s="98" t="s">
        <v>487</v>
      </c>
      <c r="C185" s="98" t="s">
        <v>268</v>
      </c>
      <c r="D185" s="241">
        <f>VLOOKUP(C185,[4]Factors!$B$1:$E$65536,4,FALSE)</f>
        <v>0</v>
      </c>
      <c r="E185" s="98"/>
      <c r="F185" s="99">
        <v>-657175.48541666567</v>
      </c>
      <c r="G185" s="99">
        <v>0</v>
      </c>
      <c r="H185" s="99">
        <f t="shared" si="7"/>
        <v>-657175.48541666567</v>
      </c>
      <c r="I185" s="99"/>
      <c r="K185" s="106"/>
      <c r="L185" s="106"/>
    </row>
    <row r="186" spans="1:12" hidden="1" outlineLevel="1">
      <c r="A186" s="103"/>
      <c r="B186" s="98" t="s">
        <v>488</v>
      </c>
      <c r="C186" s="98" t="s">
        <v>268</v>
      </c>
      <c r="D186" s="241">
        <f>VLOOKUP(C186,[4]Factors!$B$1:$E$65536,4,FALSE)</f>
        <v>0</v>
      </c>
      <c r="E186" s="98"/>
      <c r="F186" s="99">
        <v>-55000</v>
      </c>
      <c r="G186" s="99">
        <v>0</v>
      </c>
      <c r="H186" s="99">
        <f t="shared" si="7"/>
        <v>-55000</v>
      </c>
      <c r="I186" s="99"/>
      <c r="K186" s="106"/>
      <c r="L186" s="106"/>
    </row>
    <row r="187" spans="1:12" hidden="1" outlineLevel="1">
      <c r="A187" s="103"/>
      <c r="B187" s="98" t="s">
        <v>489</v>
      </c>
      <c r="C187" s="98" t="s">
        <v>268</v>
      </c>
      <c r="D187" s="241">
        <f>VLOOKUP(C187,[4]Factors!$B$1:$E$65536,4,FALSE)</f>
        <v>0</v>
      </c>
      <c r="E187" s="98"/>
      <c r="F187" s="99">
        <v>-3.637978807091713E-11</v>
      </c>
      <c r="G187" s="99">
        <v>0</v>
      </c>
      <c r="H187" s="99">
        <f t="shared" si="7"/>
        <v>-3.637978807091713E-11</v>
      </c>
      <c r="I187" s="99"/>
      <c r="K187" s="106"/>
      <c r="L187" s="106"/>
    </row>
    <row r="188" spans="1:12" hidden="1" outlineLevel="1">
      <c r="A188" s="103"/>
      <c r="B188" s="98" t="s">
        <v>490</v>
      </c>
      <c r="C188" s="98" t="s">
        <v>406</v>
      </c>
      <c r="D188" s="241">
        <f>VLOOKUP(C188,[4]Factors!$B$1:$E$65536,4,FALSE)</f>
        <v>0</v>
      </c>
      <c r="E188" s="98"/>
      <c r="F188" s="99">
        <v>-523662.74666666664</v>
      </c>
      <c r="G188" s="99">
        <v>0</v>
      </c>
      <c r="H188" s="99">
        <f t="shared" si="7"/>
        <v>-523662.74666666664</v>
      </c>
      <c r="I188" s="99"/>
      <c r="K188" s="106"/>
      <c r="L188" s="106"/>
    </row>
    <row r="189" spans="1:12" hidden="1" outlineLevel="1">
      <c r="A189" s="103"/>
      <c r="B189" s="98" t="s">
        <v>491</v>
      </c>
      <c r="C189" s="98" t="s">
        <v>406</v>
      </c>
      <c r="D189" s="241">
        <f>VLOOKUP(C189,[4]Factors!$B$1:$E$65536,4,FALSE)</f>
        <v>0</v>
      </c>
      <c r="E189" s="98"/>
      <c r="F189" s="99">
        <v>-5004920.3099999996</v>
      </c>
      <c r="G189" s="99">
        <v>0</v>
      </c>
      <c r="H189" s="99">
        <f t="shared" si="7"/>
        <v>-5004920.3099999996</v>
      </c>
      <c r="I189" s="99"/>
      <c r="K189" s="106"/>
      <c r="L189" s="106"/>
    </row>
    <row r="190" spans="1:12" hidden="1" outlineLevel="1">
      <c r="A190" s="103"/>
      <c r="B190" s="98" t="s">
        <v>492</v>
      </c>
      <c r="C190" s="98" t="s">
        <v>268</v>
      </c>
      <c r="D190" s="241">
        <f>VLOOKUP(C190,[4]Factors!$B$1:$E$65536,4,FALSE)</f>
        <v>0</v>
      </c>
      <c r="E190" s="98"/>
      <c r="F190" s="99">
        <v>-9977607.199583333</v>
      </c>
      <c r="G190" s="99">
        <v>0</v>
      </c>
      <c r="H190" s="99">
        <f t="shared" si="7"/>
        <v>-9977607.199583333</v>
      </c>
      <c r="I190" s="99"/>
      <c r="K190" s="106"/>
      <c r="L190" s="106"/>
    </row>
    <row r="191" spans="1:12" hidden="1" outlineLevel="1">
      <c r="A191" s="103"/>
      <c r="B191" s="98" t="s">
        <v>493</v>
      </c>
      <c r="C191" s="98" t="s">
        <v>268</v>
      </c>
      <c r="D191" s="241">
        <f>VLOOKUP(C191,[4]Factors!$B$1:$E$65536,4,FALSE)</f>
        <v>0</v>
      </c>
      <c r="E191" s="98"/>
      <c r="F191" s="99">
        <v>8.858478395268321E-10</v>
      </c>
      <c r="G191" s="99">
        <v>0</v>
      </c>
      <c r="H191" s="99">
        <f t="shared" si="7"/>
        <v>8.858478395268321E-10</v>
      </c>
      <c r="I191" s="99"/>
      <c r="K191" s="106"/>
      <c r="L191" s="106"/>
    </row>
    <row r="192" spans="1:12" hidden="1" outlineLevel="1">
      <c r="A192" s="103"/>
      <c r="B192" s="98" t="s">
        <v>494</v>
      </c>
      <c r="C192" s="98" t="s">
        <v>268</v>
      </c>
      <c r="D192" s="241">
        <f>VLOOKUP(C192,[4]Factors!$B$1:$E$65536,4,FALSE)</f>
        <v>0</v>
      </c>
      <c r="E192" s="98"/>
      <c r="F192" s="99">
        <v>-9.3132257461547852E-10</v>
      </c>
      <c r="G192" s="99">
        <v>0</v>
      </c>
      <c r="H192" s="99">
        <f t="shared" si="7"/>
        <v>-9.3132257461547852E-10</v>
      </c>
      <c r="I192" s="99"/>
      <c r="K192" s="106"/>
      <c r="L192" s="106"/>
    </row>
    <row r="193" spans="1:12" hidden="1" outlineLevel="1">
      <c r="A193" s="103"/>
      <c r="B193" s="98" t="s">
        <v>495</v>
      </c>
      <c r="C193" s="98" t="s">
        <v>268</v>
      </c>
      <c r="D193" s="241">
        <f>VLOOKUP(C193,[4]Factors!$B$1:$E$65536,4,FALSE)</f>
        <v>0</v>
      </c>
      <c r="E193" s="98"/>
      <c r="F193" s="99">
        <v>-8301674.3724999959</v>
      </c>
      <c r="G193" s="99">
        <v>0</v>
      </c>
      <c r="H193" s="99">
        <f t="shared" si="7"/>
        <v>-8301674.3724999959</v>
      </c>
      <c r="I193" s="99"/>
      <c r="K193" s="106"/>
      <c r="L193" s="106"/>
    </row>
    <row r="194" spans="1:12" hidden="1" outlineLevel="1">
      <c r="A194" s="103"/>
      <c r="B194" s="98" t="s">
        <v>496</v>
      </c>
      <c r="C194" s="98" t="s">
        <v>268</v>
      </c>
      <c r="D194" s="241">
        <f>VLOOKUP(C194,[4]Factors!$B$1:$E$65536,4,FALSE)</f>
        <v>0</v>
      </c>
      <c r="E194" s="98"/>
      <c r="F194" s="99">
        <v>7.2759576141834259E-12</v>
      </c>
      <c r="G194" s="99">
        <v>0</v>
      </c>
      <c r="H194" s="99">
        <f t="shared" si="7"/>
        <v>7.2759576141834259E-12</v>
      </c>
      <c r="I194" s="99"/>
      <c r="K194" s="106"/>
      <c r="L194" s="106"/>
    </row>
    <row r="195" spans="1:12" hidden="1" outlineLevel="1">
      <c r="A195" s="103"/>
      <c r="B195" s="98" t="s">
        <v>497</v>
      </c>
      <c r="C195" s="98" t="s">
        <v>268</v>
      </c>
      <c r="D195" s="241">
        <f>VLOOKUP(C195,[4]Factors!$B$1:$E$65536,4,FALSE)</f>
        <v>0</v>
      </c>
      <c r="E195" s="98"/>
      <c r="F195" s="99">
        <v>-2.9103830456733704E-11</v>
      </c>
      <c r="G195" s="99">
        <v>0</v>
      </c>
      <c r="H195" s="99">
        <f t="shared" si="7"/>
        <v>-2.9103830456733704E-11</v>
      </c>
      <c r="I195" s="99"/>
      <c r="K195" s="106"/>
      <c r="L195" s="106"/>
    </row>
    <row r="196" spans="1:12" hidden="1" outlineLevel="1">
      <c r="A196" s="103"/>
      <c r="B196" s="98" t="s">
        <v>498</v>
      </c>
      <c r="C196" s="98" t="s">
        <v>268</v>
      </c>
      <c r="D196" s="241">
        <f>VLOOKUP(C196,[4]Factors!$B$1:$E$65536,4,FALSE)</f>
        <v>0</v>
      </c>
      <c r="E196" s="98"/>
      <c r="F196" s="99">
        <v>0</v>
      </c>
      <c r="G196" s="99">
        <v>0</v>
      </c>
      <c r="H196" s="99">
        <f t="shared" si="7"/>
        <v>0</v>
      </c>
      <c r="I196" s="99"/>
      <c r="K196" s="106"/>
      <c r="L196" s="106"/>
    </row>
    <row r="197" spans="1:12" hidden="1" outlineLevel="1">
      <c r="A197" s="103"/>
      <c r="B197" s="98" t="s">
        <v>499</v>
      </c>
      <c r="C197" s="98" t="s">
        <v>256</v>
      </c>
      <c r="D197" s="241">
        <f>VLOOKUP(C197,[4]Factors!$B$1:$E$65536,4,FALSE)</f>
        <v>8.043396137671209E-2</v>
      </c>
      <c r="E197" s="98"/>
      <c r="F197" s="99">
        <v>-2200084</v>
      </c>
      <c r="G197" s="99">
        <v>-176961.47148152225</v>
      </c>
      <c r="H197" s="99">
        <f t="shared" si="7"/>
        <v>-2200084</v>
      </c>
      <c r="I197" s="99"/>
      <c r="K197" s="106"/>
      <c r="L197" s="106"/>
    </row>
    <row r="198" spans="1:12" hidden="1" outlineLevel="1">
      <c r="A198" s="103"/>
      <c r="B198" s="98" t="s">
        <v>500</v>
      </c>
      <c r="C198" s="98" t="s">
        <v>256</v>
      </c>
      <c r="D198" s="241">
        <f>VLOOKUP(C198,[4]Factors!$B$1:$E$65536,4,FALSE)</f>
        <v>8.043396137671209E-2</v>
      </c>
      <c r="E198" s="98"/>
      <c r="F198" s="99">
        <v>-1047447.1029166717</v>
      </c>
      <c r="G198" s="99">
        <v>-84250.319820148536</v>
      </c>
      <c r="H198" s="99">
        <f t="shared" si="7"/>
        <v>-1047447.1029166717</v>
      </c>
      <c r="I198" s="99"/>
      <c r="K198" s="106"/>
      <c r="L198" s="106"/>
    </row>
    <row r="199" spans="1:12" hidden="1" outlineLevel="1">
      <c r="A199" s="103"/>
      <c r="B199" s="98" t="s">
        <v>501</v>
      </c>
      <c r="C199" s="98" t="s">
        <v>330</v>
      </c>
      <c r="D199" s="241">
        <f>VLOOKUP(C199,[4]Factors!$B$1:$E$65536,4,FALSE)</f>
        <v>0</v>
      </c>
      <c r="E199" s="98"/>
      <c r="F199" s="99">
        <v>4396898.1491666669</v>
      </c>
      <c r="G199" s="99">
        <v>0</v>
      </c>
      <c r="H199" s="99">
        <f t="shared" si="7"/>
        <v>4396898.1491666669</v>
      </c>
      <c r="I199" s="99"/>
      <c r="K199" s="106"/>
      <c r="L199" s="106"/>
    </row>
    <row r="200" spans="1:12" hidden="1" outlineLevel="1">
      <c r="A200" s="103"/>
      <c r="B200" s="98" t="s">
        <v>501</v>
      </c>
      <c r="C200" s="98" t="s">
        <v>256</v>
      </c>
      <c r="D200" s="241">
        <f>VLOOKUP(C200,[4]Factors!$B$1:$E$65536,4,FALSE)</f>
        <v>8.043396137671209E-2</v>
      </c>
      <c r="E200" s="98"/>
      <c r="F200" s="99">
        <v>-5769225</v>
      </c>
      <c r="G200" s="99">
        <v>-464041.6208235618</v>
      </c>
      <c r="H200" s="99">
        <f t="shared" si="7"/>
        <v>-5769225</v>
      </c>
      <c r="I200" s="99"/>
      <c r="K200" s="106"/>
      <c r="L200" s="106"/>
    </row>
    <row r="201" spans="1:12" hidden="1" outlineLevel="1">
      <c r="A201" s="103"/>
      <c r="B201" s="98" t="s">
        <v>502</v>
      </c>
      <c r="C201" s="98" t="s">
        <v>330</v>
      </c>
      <c r="D201" s="241">
        <f>VLOOKUP(C201,[4]Factors!$B$1:$E$65536,4,FALSE)</f>
        <v>0</v>
      </c>
      <c r="E201" s="98"/>
      <c r="F201" s="99">
        <v>-430022.49000000022</v>
      </c>
      <c r="G201" s="99">
        <v>0</v>
      </c>
      <c r="H201" s="99">
        <f t="shared" si="7"/>
        <v>-430022.49000000022</v>
      </c>
      <c r="I201" s="99"/>
      <c r="K201" s="106"/>
      <c r="L201" s="106"/>
    </row>
    <row r="202" spans="1:12" hidden="1" outlineLevel="1">
      <c r="A202" s="103"/>
      <c r="B202" s="98" t="s">
        <v>503</v>
      </c>
      <c r="C202" s="98" t="s">
        <v>268</v>
      </c>
      <c r="D202" s="241">
        <f>VLOOKUP(C202,[4]Factors!$B$1:$E$65536,4,FALSE)</f>
        <v>0</v>
      </c>
      <c r="E202" s="98"/>
      <c r="F202" s="99">
        <v>0</v>
      </c>
      <c r="G202" s="99">
        <v>0</v>
      </c>
      <c r="H202" s="99">
        <f t="shared" si="7"/>
        <v>0</v>
      </c>
      <c r="I202" s="99"/>
      <c r="K202" s="106"/>
      <c r="L202" s="106"/>
    </row>
    <row r="203" spans="1:12" hidden="1" outlineLevel="1">
      <c r="A203" s="103"/>
      <c r="B203" s="98" t="s">
        <v>504</v>
      </c>
      <c r="C203" s="98" t="s">
        <v>406</v>
      </c>
      <c r="D203" s="241">
        <f>VLOOKUP(C203,[4]Factors!$B$1:$E$65536,4,FALSE)</f>
        <v>0</v>
      </c>
      <c r="E203" s="98"/>
      <c r="F203" s="99">
        <v>-2986916.666666667</v>
      </c>
      <c r="G203" s="99">
        <v>0</v>
      </c>
      <c r="H203" s="99">
        <f t="shared" si="7"/>
        <v>-2986916.666666667</v>
      </c>
      <c r="I203" s="99"/>
      <c r="K203" s="106"/>
      <c r="L203" s="106"/>
    </row>
    <row r="204" spans="1:12" hidden="1" outlineLevel="1">
      <c r="A204" s="103"/>
      <c r="B204" s="98" t="s">
        <v>505</v>
      </c>
      <c r="C204" s="98" t="s">
        <v>406</v>
      </c>
      <c r="D204" s="241">
        <f>VLOOKUP(C204,[4]Factors!$B$1:$E$65536,4,FALSE)</f>
        <v>0</v>
      </c>
      <c r="E204" s="98"/>
      <c r="F204" s="99">
        <v>-2237085.0833333335</v>
      </c>
      <c r="G204" s="99">
        <v>0</v>
      </c>
      <c r="H204" s="99">
        <f t="shared" si="7"/>
        <v>-2237085.0833333335</v>
      </c>
      <c r="I204" s="99"/>
      <c r="K204" s="106"/>
      <c r="L204" s="106"/>
    </row>
    <row r="205" spans="1:12" hidden="1" outlineLevel="1">
      <c r="A205" s="103"/>
      <c r="B205" s="98" t="s">
        <v>506</v>
      </c>
      <c r="C205" s="98" t="s">
        <v>330</v>
      </c>
      <c r="D205" s="241">
        <f>VLOOKUP(C205,[4]Factors!$B$1:$E$65536,4,FALSE)</f>
        <v>0</v>
      </c>
      <c r="E205" s="98"/>
      <c r="F205" s="99">
        <v>-273000</v>
      </c>
      <c r="G205" s="99">
        <v>0</v>
      </c>
      <c r="H205" s="99">
        <f t="shared" si="7"/>
        <v>-273000</v>
      </c>
      <c r="I205" s="99"/>
      <c r="K205" s="106"/>
      <c r="L205" s="106"/>
    </row>
    <row r="206" spans="1:12" hidden="1" outlineLevel="1">
      <c r="A206" s="103"/>
      <c r="B206" s="98" t="s">
        <v>507</v>
      </c>
      <c r="C206" s="98" t="s">
        <v>330</v>
      </c>
      <c r="D206" s="241">
        <f>VLOOKUP(C206,[4]Factors!$B$1:$E$65536,4,FALSE)</f>
        <v>0</v>
      </c>
      <c r="E206" s="98"/>
      <c r="F206" s="99">
        <v>-2366145.833333334</v>
      </c>
      <c r="G206" s="99">
        <v>0</v>
      </c>
      <c r="H206" s="99">
        <f t="shared" si="7"/>
        <v>-2366145.833333334</v>
      </c>
      <c r="I206" s="99"/>
      <c r="K206" s="106"/>
      <c r="L206" s="106"/>
    </row>
    <row r="207" spans="1:12" hidden="1" outlineLevel="1">
      <c r="A207" s="103"/>
      <c r="B207" s="98" t="s">
        <v>508</v>
      </c>
      <c r="C207" s="98" t="s">
        <v>268</v>
      </c>
      <c r="D207" s="241">
        <f>VLOOKUP(C207,[4]Factors!$B$1:$E$65536,4,FALSE)</f>
        <v>0</v>
      </c>
      <c r="E207" s="98"/>
      <c r="F207" s="99">
        <v>-1004166.6666666666</v>
      </c>
      <c r="G207" s="99">
        <v>0</v>
      </c>
      <c r="H207" s="99">
        <f t="shared" si="7"/>
        <v>-1004166.6666666666</v>
      </c>
      <c r="I207" s="99"/>
      <c r="K207" s="106"/>
      <c r="L207" s="106"/>
    </row>
    <row r="208" spans="1:12" hidden="1" outlineLevel="1">
      <c r="A208" s="103"/>
      <c r="B208" s="98" t="s">
        <v>509</v>
      </c>
      <c r="C208" s="98" t="s">
        <v>268</v>
      </c>
      <c r="D208" s="241">
        <f>VLOOKUP(C208,[4]Factors!$B$1:$E$65536,4,FALSE)</f>
        <v>0</v>
      </c>
      <c r="E208" s="98"/>
      <c r="F208" s="99">
        <v>0</v>
      </c>
      <c r="G208" s="99">
        <v>0</v>
      </c>
      <c r="H208" s="99">
        <f t="shared" si="7"/>
        <v>0</v>
      </c>
      <c r="I208" s="99"/>
      <c r="K208" s="106"/>
      <c r="L208" s="106"/>
    </row>
    <row r="209" spans="1:12" hidden="1" outlineLevel="1">
      <c r="A209" s="100"/>
      <c r="B209" s="98" t="s">
        <v>510</v>
      </c>
      <c r="C209" s="98" t="s">
        <v>268</v>
      </c>
      <c r="D209" s="241">
        <f>VLOOKUP(C209,[4]Factors!$B$1:$E$65536,4,FALSE)</f>
        <v>0</v>
      </c>
      <c r="E209" s="98"/>
      <c r="F209" s="99">
        <v>4.6566128730773926E-10</v>
      </c>
      <c r="G209" s="99">
        <v>0</v>
      </c>
      <c r="H209" s="99">
        <f t="shared" si="7"/>
        <v>4.6566128730773926E-10</v>
      </c>
      <c r="I209" s="99"/>
      <c r="K209" s="106"/>
      <c r="L209" s="106"/>
    </row>
    <row r="210" spans="1:12" collapsed="1">
      <c r="A210" s="101" t="s">
        <v>17</v>
      </c>
      <c r="B210" s="101"/>
      <c r="C210" s="101"/>
      <c r="D210" s="101"/>
      <c r="E210" s="101"/>
      <c r="F210" s="102">
        <f>SUM(F160:F209)</f>
        <v>-155352036.40583336</v>
      </c>
      <c r="G210" s="102">
        <v>-1162664.7865903149</v>
      </c>
      <c r="H210" s="102">
        <f>SUM(H160:H209)</f>
        <v>-155352036.40583336</v>
      </c>
      <c r="I210" s="102">
        <f>SUM(I160:I209)</f>
        <v>0</v>
      </c>
      <c r="K210" s="106">
        <f>+'ISWC - As Approved'!P161+F210</f>
        <v>-0.22916668653488159</v>
      </c>
      <c r="L210" s="106">
        <f>+'ISWC - As Approved'!X161-G210</f>
        <v>3.2586053479462862E-2</v>
      </c>
    </row>
    <row r="211" spans="1:12">
      <c r="A211" s="103"/>
      <c r="B211" s="103"/>
      <c r="C211" s="103"/>
      <c r="D211" s="103"/>
      <c r="E211" s="103"/>
      <c r="F211" s="104"/>
      <c r="G211" s="104"/>
      <c r="H211" s="104"/>
      <c r="I211" s="104"/>
      <c r="K211" s="106"/>
      <c r="L211" s="106"/>
    </row>
    <row r="212" spans="1:12" hidden="1" outlineLevel="1">
      <c r="A212" s="103"/>
      <c r="B212" s="98" t="s">
        <v>511</v>
      </c>
      <c r="C212" s="98" t="s">
        <v>332</v>
      </c>
      <c r="D212" s="241">
        <v>0</v>
      </c>
      <c r="E212" s="98"/>
      <c r="F212" s="99">
        <v>-2057012.6379166665</v>
      </c>
      <c r="G212" s="99">
        <v>0</v>
      </c>
      <c r="H212" s="99">
        <f t="shared" ref="H212:H243" si="8">F212</f>
        <v>-2057012.6379166665</v>
      </c>
      <c r="I212" s="99"/>
      <c r="K212" s="106"/>
      <c r="L212" s="106"/>
    </row>
    <row r="213" spans="1:12" hidden="1" outlineLevel="1">
      <c r="A213" s="103"/>
      <c r="B213" s="148" t="s">
        <v>512</v>
      </c>
      <c r="C213" s="148" t="s">
        <v>406</v>
      </c>
      <c r="D213" s="242">
        <f>VLOOKUP(C213,[4]Factors!$B$1:$E$65536,4,FALSE)</f>
        <v>0</v>
      </c>
      <c r="E213" s="149" t="s">
        <v>322</v>
      </c>
      <c r="F213" s="150">
        <v>-954278.06625000015</v>
      </c>
      <c r="G213" s="99">
        <v>0</v>
      </c>
      <c r="H213" s="99">
        <f t="shared" si="8"/>
        <v>-954278.06625000015</v>
      </c>
      <c r="I213" s="99"/>
      <c r="K213" s="106"/>
      <c r="L213" s="106"/>
    </row>
    <row r="214" spans="1:12" hidden="1" outlineLevel="1">
      <c r="A214" s="103"/>
      <c r="B214" s="148" t="s">
        <v>512</v>
      </c>
      <c r="C214" s="148" t="s">
        <v>268</v>
      </c>
      <c r="D214" s="242">
        <f>VLOOKUP(C214,[4]Factors!$B$1:$E$65536,4,FALSE)</f>
        <v>0</v>
      </c>
      <c r="E214" s="149" t="s">
        <v>322</v>
      </c>
      <c r="F214" s="150">
        <v>-4290443.4937500004</v>
      </c>
      <c r="G214" s="99">
        <v>0</v>
      </c>
      <c r="H214" s="99">
        <f t="shared" si="8"/>
        <v>-4290443.4937500004</v>
      </c>
      <c r="I214" s="99"/>
      <c r="K214" s="106"/>
      <c r="L214" s="106"/>
    </row>
    <row r="215" spans="1:12" hidden="1" outlineLevel="1">
      <c r="A215" s="103"/>
      <c r="B215" s="148" t="s">
        <v>512</v>
      </c>
      <c r="C215" s="148" t="s">
        <v>513</v>
      </c>
      <c r="D215" s="242">
        <f>VLOOKUP(C215,[4]Factors!$B$1:$E$65536,4,FALSE)</f>
        <v>0.22629767833380601</v>
      </c>
      <c r="E215" s="149" t="s">
        <v>322</v>
      </c>
      <c r="F215" s="150">
        <v>-3353390.97</v>
      </c>
      <c r="G215" s="99">
        <v>-758864.59105654981</v>
      </c>
      <c r="H215" s="99">
        <f t="shared" si="8"/>
        <v>-3353390.97</v>
      </c>
      <c r="I215" s="99"/>
      <c r="K215" s="106"/>
      <c r="L215" s="106"/>
    </row>
    <row r="216" spans="1:12" hidden="1" outlineLevel="1">
      <c r="A216" s="103"/>
      <c r="B216" s="148" t="s">
        <v>514</v>
      </c>
      <c r="C216" s="148" t="s">
        <v>268</v>
      </c>
      <c r="D216" s="242">
        <f>VLOOKUP(C216,[4]Factors!$B$1:$E$65536,4,FALSE)</f>
        <v>0</v>
      </c>
      <c r="E216" s="148" t="s">
        <v>319</v>
      </c>
      <c r="F216" s="150">
        <v>-59152.341666666704</v>
      </c>
      <c r="G216" s="99">
        <v>0</v>
      </c>
      <c r="H216" s="99">
        <f t="shared" si="8"/>
        <v>-59152.341666666704</v>
      </c>
      <c r="I216" s="99"/>
      <c r="K216" s="106"/>
      <c r="L216" s="106"/>
    </row>
    <row r="217" spans="1:12" hidden="1" outlineLevel="1">
      <c r="A217" s="103"/>
      <c r="B217" s="148" t="s">
        <v>515</v>
      </c>
      <c r="C217" s="148" t="s">
        <v>268</v>
      </c>
      <c r="D217" s="242">
        <f>VLOOKUP(C217,[4]Factors!$B$1:$E$65536,4,FALSE)</f>
        <v>0</v>
      </c>
      <c r="E217" s="148" t="s">
        <v>319</v>
      </c>
      <c r="F217" s="150">
        <v>-22773.075000000041</v>
      </c>
      <c r="G217" s="99">
        <v>0</v>
      </c>
      <c r="H217" s="99">
        <f t="shared" si="8"/>
        <v>-22773.075000000041</v>
      </c>
      <c r="I217" s="99"/>
      <c r="K217" s="106"/>
      <c r="L217" s="106"/>
    </row>
    <row r="218" spans="1:12" hidden="1" outlineLevel="1">
      <c r="A218" s="103"/>
      <c r="B218" s="148" t="s">
        <v>516</v>
      </c>
      <c r="C218" s="148" t="s">
        <v>268</v>
      </c>
      <c r="D218" s="242">
        <f>VLOOKUP(C218,[4]Factors!$B$1:$E$65536,4,FALSE)</f>
        <v>0</v>
      </c>
      <c r="E218" s="148" t="s">
        <v>319</v>
      </c>
      <c r="F218" s="150">
        <v>-1869528.2583333352</v>
      </c>
      <c r="G218" s="99">
        <v>0</v>
      </c>
      <c r="H218" s="99">
        <f t="shared" si="8"/>
        <v>-1869528.2583333352</v>
      </c>
      <c r="I218" s="99"/>
      <c r="K218" s="106"/>
      <c r="L218" s="106"/>
    </row>
    <row r="219" spans="1:12" hidden="1" outlineLevel="1">
      <c r="A219" s="103"/>
      <c r="B219" s="148" t="s">
        <v>517</v>
      </c>
      <c r="C219" s="148" t="s">
        <v>268</v>
      </c>
      <c r="D219" s="242">
        <f>VLOOKUP(C219,[4]Factors!$B$1:$E$65536,4,FALSE)</f>
        <v>0</v>
      </c>
      <c r="E219" s="148" t="s">
        <v>319</v>
      </c>
      <c r="F219" s="150">
        <v>-1877173.2604166642</v>
      </c>
      <c r="G219" s="99">
        <v>0</v>
      </c>
      <c r="H219" s="99">
        <f t="shared" si="8"/>
        <v>-1877173.2604166642</v>
      </c>
      <c r="I219" s="99"/>
      <c r="K219" s="106"/>
      <c r="L219" s="106"/>
    </row>
    <row r="220" spans="1:12" hidden="1" outlineLevel="1">
      <c r="A220" s="103"/>
      <c r="B220" s="148" t="s">
        <v>518</v>
      </c>
      <c r="C220" s="148" t="s">
        <v>268</v>
      </c>
      <c r="D220" s="242">
        <f>VLOOKUP(C220,[4]Factors!$B$1:$E$65536,4,FALSE)</f>
        <v>0</v>
      </c>
      <c r="E220" s="148" t="s">
        <v>319</v>
      </c>
      <c r="F220" s="150">
        <v>-129860.5162500001</v>
      </c>
      <c r="G220" s="99">
        <v>0</v>
      </c>
      <c r="H220" s="99">
        <f t="shared" si="8"/>
        <v>-129860.5162500001</v>
      </c>
      <c r="I220" s="99"/>
      <c r="K220" s="106"/>
      <c r="L220" s="106"/>
    </row>
    <row r="221" spans="1:12" hidden="1" outlineLevel="1">
      <c r="A221" s="103"/>
      <c r="B221" s="148" t="s">
        <v>519</v>
      </c>
      <c r="C221" s="148" t="s">
        <v>268</v>
      </c>
      <c r="D221" s="242">
        <f>VLOOKUP(C221,[4]Factors!$B$1:$E$65536,4,FALSE)</f>
        <v>0</v>
      </c>
      <c r="E221" s="148" t="s">
        <v>319</v>
      </c>
      <c r="F221" s="150">
        <v>-147286.91500000004</v>
      </c>
      <c r="G221" s="99">
        <v>0</v>
      </c>
      <c r="H221" s="99">
        <f t="shared" si="8"/>
        <v>-147286.91500000004</v>
      </c>
      <c r="I221" s="99"/>
      <c r="K221" s="106"/>
      <c r="L221" s="106"/>
    </row>
    <row r="222" spans="1:12" hidden="1" outlineLevel="1">
      <c r="A222" s="103"/>
      <c r="B222" s="148" t="s">
        <v>326</v>
      </c>
      <c r="C222" s="148" t="s">
        <v>268</v>
      </c>
      <c r="D222" s="242">
        <f>VLOOKUP(C222,[4]Factors!$B$1:$E$65536,4,FALSE)</f>
        <v>0</v>
      </c>
      <c r="E222" s="148" t="s">
        <v>325</v>
      </c>
      <c r="F222" s="150">
        <v>-2366601.4870833335</v>
      </c>
      <c r="G222" s="99">
        <v>0</v>
      </c>
      <c r="H222" s="99">
        <f t="shared" si="8"/>
        <v>-2366601.4870833335</v>
      </c>
      <c r="I222" s="99"/>
      <c r="K222" s="106"/>
      <c r="L222" s="106"/>
    </row>
    <row r="223" spans="1:12" hidden="1" outlineLevel="1">
      <c r="A223" s="103"/>
      <c r="B223" s="148" t="s">
        <v>520</v>
      </c>
      <c r="C223" s="148" t="s">
        <v>268</v>
      </c>
      <c r="D223" s="242">
        <f>VLOOKUP(C223,[4]Factors!$B$1:$E$65536,4,FALSE)</f>
        <v>0</v>
      </c>
      <c r="E223" s="148" t="s">
        <v>325</v>
      </c>
      <c r="F223" s="150">
        <v>-1706638.3649999991</v>
      </c>
      <c r="G223" s="99">
        <v>0</v>
      </c>
      <c r="H223" s="99">
        <f t="shared" si="8"/>
        <v>-1706638.3649999991</v>
      </c>
      <c r="I223" s="99"/>
      <c r="K223" s="106"/>
      <c r="L223" s="106"/>
    </row>
    <row r="224" spans="1:12" hidden="1" outlineLevel="1">
      <c r="A224" s="103"/>
      <c r="B224" s="148" t="s">
        <v>521</v>
      </c>
      <c r="C224" s="148" t="s">
        <v>268</v>
      </c>
      <c r="D224" s="242">
        <f>VLOOKUP(C224,[4]Factors!$B$1:$E$65536,4,FALSE)</f>
        <v>0</v>
      </c>
      <c r="E224" s="148" t="s">
        <v>319</v>
      </c>
      <c r="F224" s="150">
        <v>-96072.385416668141</v>
      </c>
      <c r="G224" s="99">
        <v>0</v>
      </c>
      <c r="H224" s="99">
        <f t="shared" si="8"/>
        <v>-96072.385416668141</v>
      </c>
      <c r="I224" s="99"/>
      <c r="K224" s="106"/>
      <c r="L224" s="106"/>
    </row>
    <row r="225" spans="1:12" hidden="1" outlineLevel="1">
      <c r="A225" s="103"/>
      <c r="B225" s="148" t="s">
        <v>522</v>
      </c>
      <c r="C225" s="148" t="s">
        <v>268</v>
      </c>
      <c r="D225" s="242">
        <f>VLOOKUP(C225,[4]Factors!$B$1:$E$65536,4,FALSE)</f>
        <v>0</v>
      </c>
      <c r="E225" s="148" t="s">
        <v>325</v>
      </c>
      <c r="F225" s="150">
        <v>-6354067.208333333</v>
      </c>
      <c r="G225" s="99">
        <v>0</v>
      </c>
      <c r="H225" s="99">
        <f t="shared" si="8"/>
        <v>-6354067.208333333</v>
      </c>
      <c r="I225" s="99"/>
      <c r="K225" s="106"/>
      <c r="L225" s="106"/>
    </row>
    <row r="226" spans="1:12" hidden="1" outlineLevel="1">
      <c r="A226" s="103"/>
      <c r="B226" s="148" t="s">
        <v>523</v>
      </c>
      <c r="C226" s="148" t="s">
        <v>332</v>
      </c>
      <c r="D226" s="242">
        <v>0</v>
      </c>
      <c r="E226" s="148" t="s">
        <v>316</v>
      </c>
      <c r="F226" s="150">
        <v>-116903.24916666665</v>
      </c>
      <c r="G226" s="99">
        <v>0</v>
      </c>
      <c r="H226" s="99">
        <f t="shared" si="8"/>
        <v>-116903.24916666665</v>
      </c>
      <c r="I226" s="99"/>
      <c r="K226" s="106"/>
      <c r="L226" s="106"/>
    </row>
    <row r="227" spans="1:12" hidden="1" outlineLevel="1">
      <c r="A227" s="103"/>
      <c r="B227" s="148" t="s">
        <v>524</v>
      </c>
      <c r="C227" s="148" t="s">
        <v>268</v>
      </c>
      <c r="D227" s="242">
        <f>VLOOKUP(C227,[4]Factors!$B$1:$E$65536,4,FALSE)</f>
        <v>0</v>
      </c>
      <c r="E227" s="148" t="s">
        <v>325</v>
      </c>
      <c r="F227" s="150">
        <v>-18380726.004999958</v>
      </c>
      <c r="G227" s="99">
        <v>0</v>
      </c>
      <c r="H227" s="99">
        <f t="shared" si="8"/>
        <v>-18380726.004999958</v>
      </c>
      <c r="I227" s="99"/>
      <c r="K227" s="106"/>
      <c r="L227" s="106"/>
    </row>
    <row r="228" spans="1:12" hidden="1" outlineLevel="1">
      <c r="A228" s="103"/>
      <c r="B228" s="148" t="s">
        <v>525</v>
      </c>
      <c r="C228" s="148" t="s">
        <v>268</v>
      </c>
      <c r="D228" s="242">
        <f>VLOOKUP(C228,[4]Factors!$B$1:$E$65536,4,FALSE)</f>
        <v>0</v>
      </c>
      <c r="E228" s="148" t="s">
        <v>325</v>
      </c>
      <c r="F228" s="150">
        <v>-192572.43124999967</v>
      </c>
      <c r="G228" s="99">
        <v>0</v>
      </c>
      <c r="H228" s="99">
        <f t="shared" si="8"/>
        <v>-192572.43124999967</v>
      </c>
      <c r="I228" s="99"/>
      <c r="K228" s="106"/>
      <c r="L228" s="106"/>
    </row>
    <row r="229" spans="1:12" hidden="1" outlineLevel="1">
      <c r="A229" s="103"/>
      <c r="B229" s="148" t="s">
        <v>526</v>
      </c>
      <c r="C229" s="148" t="s">
        <v>318</v>
      </c>
      <c r="D229" s="242">
        <f>VLOOKUP(C229,[4]Factors!$B$1:$E$65536,4,FALSE)</f>
        <v>0</v>
      </c>
      <c r="E229" s="148" t="s">
        <v>325</v>
      </c>
      <c r="F229" s="150">
        <v>-2103978.2545833378</v>
      </c>
      <c r="G229" s="99">
        <v>0</v>
      </c>
      <c r="H229" s="99">
        <f t="shared" si="8"/>
        <v>-2103978.2545833378</v>
      </c>
      <c r="I229" s="99"/>
      <c r="K229" s="106"/>
      <c r="L229" s="106"/>
    </row>
    <row r="230" spans="1:12" hidden="1" outlineLevel="1">
      <c r="A230" s="103"/>
      <c r="B230" s="148" t="s">
        <v>527</v>
      </c>
      <c r="C230" s="148" t="s">
        <v>283</v>
      </c>
      <c r="D230" s="242">
        <v>0</v>
      </c>
      <c r="E230" s="148" t="s">
        <v>325</v>
      </c>
      <c r="F230" s="150">
        <v>-398113.87833333324</v>
      </c>
      <c r="G230" s="99">
        <v>0</v>
      </c>
      <c r="H230" s="99">
        <f t="shared" si="8"/>
        <v>-398113.87833333324</v>
      </c>
      <c r="I230" s="99"/>
      <c r="K230" s="106"/>
      <c r="L230" s="106"/>
    </row>
    <row r="231" spans="1:12" hidden="1" outlineLevel="1">
      <c r="A231" s="103"/>
      <c r="B231" s="148" t="s">
        <v>528</v>
      </c>
      <c r="C231" s="148" t="s">
        <v>331</v>
      </c>
      <c r="D231" s="242">
        <v>0</v>
      </c>
      <c r="E231" s="148" t="s">
        <v>316</v>
      </c>
      <c r="F231" s="150">
        <v>-89535.438333333354</v>
      </c>
      <c r="G231" s="99">
        <v>0</v>
      </c>
      <c r="H231" s="99">
        <f t="shared" si="8"/>
        <v>-89535.438333333354</v>
      </c>
      <c r="I231" s="99"/>
      <c r="K231" s="106"/>
      <c r="L231" s="106"/>
    </row>
    <row r="232" spans="1:12" hidden="1" outlineLevel="1">
      <c r="A232" s="103"/>
      <c r="B232" s="148" t="s">
        <v>529</v>
      </c>
      <c r="C232" s="148" t="s">
        <v>332</v>
      </c>
      <c r="D232" s="242">
        <v>0</v>
      </c>
      <c r="E232" s="148" t="s">
        <v>316</v>
      </c>
      <c r="F232" s="150">
        <v>-1080057.65625</v>
      </c>
      <c r="G232" s="99">
        <v>0</v>
      </c>
      <c r="H232" s="99">
        <f t="shared" si="8"/>
        <v>-1080057.65625</v>
      </c>
      <c r="I232" s="99"/>
      <c r="J232" s="154"/>
      <c r="K232" s="106"/>
      <c r="L232" s="106"/>
    </row>
    <row r="233" spans="1:12" hidden="1" outlineLevel="1">
      <c r="A233" s="103"/>
      <c r="B233" s="148" t="s">
        <v>530</v>
      </c>
      <c r="C233" s="148" t="s">
        <v>283</v>
      </c>
      <c r="D233" s="242">
        <v>0</v>
      </c>
      <c r="E233" s="148" t="s">
        <v>316</v>
      </c>
      <c r="F233" s="150">
        <v>-232199.87958333339</v>
      </c>
      <c r="G233" s="99">
        <v>0</v>
      </c>
      <c r="H233" s="99">
        <f t="shared" si="8"/>
        <v>-232199.87958333339</v>
      </c>
      <c r="I233" s="99"/>
      <c r="K233" s="106"/>
      <c r="L233" s="106"/>
    </row>
    <row r="234" spans="1:12" hidden="1" outlineLevel="1">
      <c r="A234" s="103"/>
      <c r="B234" s="148" t="s">
        <v>531</v>
      </c>
      <c r="C234" s="148" t="s">
        <v>281</v>
      </c>
      <c r="D234" s="242">
        <v>0</v>
      </c>
      <c r="E234" s="148" t="s">
        <v>316</v>
      </c>
      <c r="F234" s="150">
        <v>-271760.96000000002</v>
      </c>
      <c r="G234" s="99">
        <v>0</v>
      </c>
      <c r="H234" s="99">
        <f t="shared" si="8"/>
        <v>-271760.96000000002</v>
      </c>
      <c r="I234" s="99"/>
      <c r="K234" s="106"/>
      <c r="L234" s="106"/>
    </row>
    <row r="235" spans="1:12" hidden="1" outlineLevel="1">
      <c r="A235" s="103"/>
      <c r="B235" s="148" t="s">
        <v>532</v>
      </c>
      <c r="C235" s="148" t="s">
        <v>268</v>
      </c>
      <c r="D235" s="242">
        <f>VLOOKUP(C235,[4]Factors!$B$1:$E$65536,4,FALSE)</f>
        <v>0</v>
      </c>
      <c r="E235" s="148" t="s">
        <v>325</v>
      </c>
      <c r="F235" s="150">
        <v>-14102881.007083336</v>
      </c>
      <c r="G235" s="99">
        <v>0</v>
      </c>
      <c r="H235" s="99">
        <f t="shared" si="8"/>
        <v>-14102881.007083336</v>
      </c>
      <c r="I235" s="99"/>
      <c r="K235" s="106"/>
      <c r="L235" s="106"/>
    </row>
    <row r="236" spans="1:12" hidden="1" outlineLevel="1">
      <c r="A236" s="103"/>
      <c r="B236" s="148" t="s">
        <v>532</v>
      </c>
      <c r="C236" s="148" t="s">
        <v>318</v>
      </c>
      <c r="D236" s="242">
        <f>VLOOKUP(C236,[4]Factors!$B$1:$E$65536,4,FALSE)</f>
        <v>0</v>
      </c>
      <c r="E236" s="148" t="s">
        <v>325</v>
      </c>
      <c r="F236" s="150">
        <v>-2981280.9883333337</v>
      </c>
      <c r="G236" s="99">
        <v>0</v>
      </c>
      <c r="H236" s="99">
        <f t="shared" si="8"/>
        <v>-2981280.9883333337</v>
      </c>
      <c r="I236" s="99"/>
      <c r="K236" s="106"/>
      <c r="L236" s="106"/>
    </row>
    <row r="237" spans="1:12" hidden="1" outlineLevel="1">
      <c r="A237" s="103"/>
      <c r="B237" s="148" t="s">
        <v>533</v>
      </c>
      <c r="C237" s="148" t="s">
        <v>318</v>
      </c>
      <c r="D237" s="242">
        <f>VLOOKUP(C237,[4]Factors!$B$1:$E$65536,4,FALSE)</f>
        <v>0</v>
      </c>
      <c r="E237" s="148"/>
      <c r="F237" s="150">
        <v>-33049205.284583349</v>
      </c>
      <c r="G237" s="99">
        <v>0</v>
      </c>
      <c r="H237" s="99">
        <f t="shared" si="8"/>
        <v>-33049205.284583349</v>
      </c>
      <c r="I237" s="99"/>
      <c r="K237" s="106"/>
      <c r="L237" s="106"/>
    </row>
    <row r="238" spans="1:12" hidden="1" outlineLevel="1">
      <c r="A238" s="103"/>
      <c r="B238" s="148" t="s">
        <v>534</v>
      </c>
      <c r="C238" s="148" t="s">
        <v>268</v>
      </c>
      <c r="D238" s="242">
        <f>VLOOKUP(C238,[4]Factors!$B$1:$E$65536,4,FALSE)</f>
        <v>0</v>
      </c>
      <c r="E238" s="148" t="s">
        <v>325</v>
      </c>
      <c r="F238" s="150">
        <v>-7036809.2033333443</v>
      </c>
      <c r="G238" s="99">
        <v>0</v>
      </c>
      <c r="H238" s="99">
        <f t="shared" si="8"/>
        <v>-7036809.2033333443</v>
      </c>
      <c r="I238" s="99"/>
      <c r="K238" s="106"/>
      <c r="L238" s="106"/>
    </row>
    <row r="239" spans="1:12" hidden="1" outlineLevel="1">
      <c r="A239" s="103"/>
      <c r="B239" s="148" t="s">
        <v>535</v>
      </c>
      <c r="C239" s="148" t="s">
        <v>283</v>
      </c>
      <c r="D239" s="242">
        <v>0</v>
      </c>
      <c r="E239" s="148" t="s">
        <v>325</v>
      </c>
      <c r="F239" s="150">
        <v>-55984.25</v>
      </c>
      <c r="G239" s="99">
        <v>0</v>
      </c>
      <c r="H239" s="99">
        <f t="shared" si="8"/>
        <v>-55984.25</v>
      </c>
      <c r="I239" s="99"/>
      <c r="K239" s="106"/>
      <c r="L239" s="106"/>
    </row>
    <row r="240" spans="1:12" hidden="1" outlineLevel="1">
      <c r="A240" s="103"/>
      <c r="B240" s="148" t="s">
        <v>536</v>
      </c>
      <c r="C240" s="148" t="s">
        <v>268</v>
      </c>
      <c r="D240" s="242">
        <f>VLOOKUP(C240,[4]Factors!$B$1:$E$65536,4,FALSE)</f>
        <v>0</v>
      </c>
      <c r="E240" s="148" t="s">
        <v>325</v>
      </c>
      <c r="F240" s="150">
        <v>-27282.808749998803</v>
      </c>
      <c r="G240" s="99">
        <v>0</v>
      </c>
      <c r="H240" s="99">
        <f t="shared" si="8"/>
        <v>-27282.808749998803</v>
      </c>
      <c r="I240" s="99"/>
      <c r="K240" s="106"/>
      <c r="L240" s="106"/>
    </row>
    <row r="241" spans="1:12" hidden="1" outlineLevel="1">
      <c r="A241" s="103"/>
      <c r="B241" s="148" t="s">
        <v>537</v>
      </c>
      <c r="C241" s="148" t="s">
        <v>268</v>
      </c>
      <c r="D241" s="242">
        <f>VLOOKUP(C241,[4]Factors!$B$1:$E$65536,4,FALSE)</f>
        <v>0</v>
      </c>
      <c r="E241" s="148" t="s">
        <v>325</v>
      </c>
      <c r="F241" s="150">
        <v>-288385.56791666721</v>
      </c>
      <c r="G241" s="99">
        <v>0</v>
      </c>
      <c r="H241" s="99">
        <f t="shared" si="8"/>
        <v>-288385.56791666721</v>
      </c>
      <c r="I241" s="99"/>
      <c r="K241" s="106"/>
      <c r="L241" s="106"/>
    </row>
    <row r="242" spans="1:12" hidden="1" outlineLevel="1">
      <c r="A242" s="103"/>
      <c r="B242" s="148" t="s">
        <v>538</v>
      </c>
      <c r="C242" s="148" t="s">
        <v>268</v>
      </c>
      <c r="D242" s="242">
        <f>VLOOKUP(C242,[4]Factors!$B$1:$E$65536,4,FALSE)</f>
        <v>0</v>
      </c>
      <c r="E242" s="148" t="s">
        <v>325</v>
      </c>
      <c r="F242" s="150">
        <v>-85.709999999962747</v>
      </c>
      <c r="G242" s="99">
        <v>0</v>
      </c>
      <c r="H242" s="99">
        <f t="shared" si="8"/>
        <v>-85.709999999962747</v>
      </c>
      <c r="I242" s="99"/>
      <c r="K242" s="106"/>
      <c r="L242" s="106"/>
    </row>
    <row r="243" spans="1:12" hidden="1" outlineLevel="1">
      <c r="A243" s="100"/>
      <c r="B243" s="98" t="s">
        <v>538</v>
      </c>
      <c r="C243" s="98" t="s">
        <v>328</v>
      </c>
      <c r="D243" s="241">
        <v>1</v>
      </c>
      <c r="E243" s="98" t="s">
        <v>325</v>
      </c>
      <c r="F243" s="99">
        <v>85.710000000035507</v>
      </c>
      <c r="G243" s="99">
        <v>85.710000000035507</v>
      </c>
      <c r="H243" s="99">
        <f t="shared" si="8"/>
        <v>85.710000000035507</v>
      </c>
      <c r="I243" s="99"/>
      <c r="K243" s="106"/>
      <c r="L243" s="106"/>
    </row>
    <row r="244" spans="1:12" collapsed="1">
      <c r="A244" s="101" t="s">
        <v>16</v>
      </c>
      <c r="B244" s="101"/>
      <c r="C244" s="101"/>
      <c r="D244" s="101"/>
      <c r="E244" s="101"/>
      <c r="F244" s="102">
        <f>SUM(F212:F243)</f>
        <v>-105691955.84291665</v>
      </c>
      <c r="G244" s="102">
        <v>-758778.88105654973</v>
      </c>
      <c r="H244" s="102">
        <f>SUM(H212:H243)</f>
        <v>-105691955.84291665</v>
      </c>
      <c r="I244" s="102">
        <f>SUM(I212:I243)</f>
        <v>0</v>
      </c>
      <c r="K244" s="106">
        <f>+'ISWC - As Approved'!P162+F244</f>
        <v>0</v>
      </c>
      <c r="L244" s="106">
        <f>+'ISWC - As Approved'!X162-G244</f>
        <v>0</v>
      </c>
    </row>
    <row r="246" spans="1:12" hidden="1" outlineLevel="1">
      <c r="B246" s="94" t="s">
        <v>543</v>
      </c>
      <c r="C246" s="94" t="s">
        <v>268</v>
      </c>
      <c r="D246" s="241">
        <f>VLOOKUP(C246,[4]Factors!$B$1:$E$65536,4,FALSE)</f>
        <v>0</v>
      </c>
      <c r="F246" s="107">
        <v>-169192170.25</v>
      </c>
      <c r="G246" s="107">
        <v>0</v>
      </c>
      <c r="H246" s="107">
        <f t="shared" ref="H246:H253" si="9">F246</f>
        <v>-169192170.25</v>
      </c>
      <c r="I246" s="107"/>
    </row>
    <row r="247" spans="1:12" hidden="1" outlineLevel="1">
      <c r="B247" s="94" t="s">
        <v>544</v>
      </c>
      <c r="C247" s="94" t="s">
        <v>268</v>
      </c>
      <c r="D247" s="241">
        <f>VLOOKUP(C247,[4]Factors!$B$1:$E$65536,4,FALSE)</f>
        <v>0</v>
      </c>
      <c r="F247" s="107">
        <v>-16026202.5</v>
      </c>
      <c r="G247" s="107">
        <v>0</v>
      </c>
      <c r="H247" s="107">
        <f t="shared" si="9"/>
        <v>-16026202.5</v>
      </c>
      <c r="I247" s="107"/>
    </row>
    <row r="248" spans="1:12" hidden="1" outlineLevel="1">
      <c r="B248" s="94" t="s">
        <v>545</v>
      </c>
      <c r="C248" s="94" t="s">
        <v>318</v>
      </c>
      <c r="D248" s="241">
        <f>VLOOKUP(C248,[4]Factors!$B$1:$E$65536,4,FALSE)</f>
        <v>0</v>
      </c>
      <c r="F248" s="107">
        <v>-1493289.1666666667</v>
      </c>
      <c r="G248" s="107">
        <v>0</v>
      </c>
      <c r="H248" s="107">
        <f t="shared" si="9"/>
        <v>-1493289.1666666667</v>
      </c>
      <c r="I248" s="107"/>
    </row>
    <row r="249" spans="1:12" hidden="1" outlineLevel="1">
      <c r="B249" s="94" t="s">
        <v>546</v>
      </c>
      <c r="C249" s="94" t="s">
        <v>332</v>
      </c>
      <c r="D249" s="241">
        <v>0</v>
      </c>
      <c r="F249" s="107">
        <v>-226347.33333333334</v>
      </c>
      <c r="G249" s="107">
        <v>0</v>
      </c>
      <c r="H249" s="107">
        <f t="shared" si="9"/>
        <v>-226347.33333333334</v>
      </c>
      <c r="I249" s="107"/>
    </row>
    <row r="250" spans="1:12" hidden="1" outlineLevel="1">
      <c r="B250" s="94" t="s">
        <v>547</v>
      </c>
      <c r="C250" s="94" t="s">
        <v>283</v>
      </c>
      <c r="D250" s="241">
        <v>0</v>
      </c>
      <c r="F250" s="107">
        <v>-766669.70833333314</v>
      </c>
      <c r="G250" s="107">
        <v>0</v>
      </c>
      <c r="H250" s="107">
        <f t="shared" si="9"/>
        <v>-766669.70833333314</v>
      </c>
      <c r="I250" s="107"/>
    </row>
    <row r="251" spans="1:12" hidden="1" outlineLevel="1">
      <c r="B251" s="94" t="s">
        <v>548</v>
      </c>
      <c r="C251" s="94" t="s">
        <v>331</v>
      </c>
      <c r="D251" s="241">
        <v>0</v>
      </c>
      <c r="F251" s="107">
        <v>-81810.500000000015</v>
      </c>
      <c r="G251" s="107">
        <v>0</v>
      </c>
      <c r="H251" s="107">
        <f t="shared" si="9"/>
        <v>-81810.500000000015</v>
      </c>
      <c r="I251" s="107"/>
    </row>
    <row r="252" spans="1:12" hidden="1" outlineLevel="1">
      <c r="B252" s="94" t="s">
        <v>549</v>
      </c>
      <c r="C252" s="94" t="s">
        <v>292</v>
      </c>
      <c r="D252" s="241">
        <f>VLOOKUP(C252,[4]Factors!$B$1:$E$65536,4,FALSE)</f>
        <v>6.8469811870277855E-2</v>
      </c>
      <c r="F252" s="107">
        <v>-1489913.875</v>
      </c>
      <c r="G252" s="107">
        <v>-102014.12272416668</v>
      </c>
      <c r="H252" s="107">
        <f t="shared" si="9"/>
        <v>-1489913.875</v>
      </c>
      <c r="I252" s="107"/>
    </row>
    <row r="253" spans="1:12" hidden="1" outlineLevel="1">
      <c r="B253" s="94" t="s">
        <v>550</v>
      </c>
      <c r="C253" s="94" t="s">
        <v>542</v>
      </c>
      <c r="D253" s="241">
        <f>VLOOKUP(C253,[4]Factors!$B$1:$E$65536,4,FALSE)</f>
        <v>6.8469811870277869E-2</v>
      </c>
      <c r="F253" s="107">
        <v>-6655831.041666667</v>
      </c>
      <c r="G253" s="107">
        <v>-455723.49926327227</v>
      </c>
      <c r="H253" s="107">
        <f t="shared" si="9"/>
        <v>-6655831.041666667</v>
      </c>
      <c r="I253" s="107"/>
    </row>
    <row r="254" spans="1:12" hidden="1" outlineLevel="1">
      <c r="B254" s="243" t="s">
        <v>551</v>
      </c>
      <c r="C254" s="244" t="s">
        <v>268</v>
      </c>
      <c r="D254" s="245">
        <f>VLOOKUP(C254,[4]Factors!$B$1:$E$65536,4,FALSE)</f>
        <v>0</v>
      </c>
      <c r="E254" s="244"/>
      <c r="F254" s="246">
        <v>-195091289.875</v>
      </c>
      <c r="G254" s="107">
        <v>0</v>
      </c>
      <c r="H254" s="107"/>
      <c r="I254" s="107">
        <f>F254</f>
        <v>-195091289.875</v>
      </c>
    </row>
    <row r="255" spans="1:12" hidden="1" outlineLevel="1">
      <c r="B255" s="244" t="s">
        <v>552</v>
      </c>
      <c r="C255" s="244" t="s">
        <v>268</v>
      </c>
      <c r="D255" s="245">
        <f>VLOOKUP(C255,[4]Factors!$B$1:$E$65536,4,FALSE)</f>
        <v>0</v>
      </c>
      <c r="E255" s="244"/>
      <c r="F255" s="246">
        <v>-61230738.208333343</v>
      </c>
      <c r="G255" s="107">
        <v>0</v>
      </c>
      <c r="H255" s="107"/>
      <c r="I255" s="107">
        <f>F255</f>
        <v>-61230738.208333343</v>
      </c>
    </row>
    <row r="256" spans="1:12" hidden="1" outlineLevel="1">
      <c r="B256" s="94" t="s">
        <v>553</v>
      </c>
      <c r="C256" s="94" t="s">
        <v>318</v>
      </c>
      <c r="D256" s="241">
        <f>VLOOKUP(C256,[4]Factors!$B$1:$E$65536,4,FALSE)</f>
        <v>0</v>
      </c>
      <c r="F256" s="107">
        <v>-1161776.4166666667</v>
      </c>
      <c r="G256" s="107">
        <v>0</v>
      </c>
      <c r="H256" s="107">
        <f t="shared" ref="H256:H271" si="10">F256</f>
        <v>-1161776.4166666667</v>
      </c>
      <c r="I256" s="107"/>
    </row>
    <row r="257" spans="2:9" hidden="1" outlineLevel="1">
      <c r="B257" s="94" t="s">
        <v>554</v>
      </c>
      <c r="C257" s="94" t="s">
        <v>292</v>
      </c>
      <c r="D257" s="241">
        <f>VLOOKUP(C257,[4]Factors!$B$1:$E$65536,4,FALSE)</f>
        <v>6.8469811870277855E-2</v>
      </c>
      <c r="F257" s="107">
        <v>-7641651.0416666688</v>
      </c>
      <c r="G257" s="107">
        <v>-523222.40920122963</v>
      </c>
      <c r="H257" s="107">
        <f t="shared" si="10"/>
        <v>-7641651.0416666688</v>
      </c>
      <c r="I257" s="107"/>
    </row>
    <row r="258" spans="2:9" hidden="1" outlineLevel="1">
      <c r="B258" s="94" t="s">
        <v>555</v>
      </c>
      <c r="C258" s="94" t="s">
        <v>328</v>
      </c>
      <c r="D258" s="241">
        <v>1</v>
      </c>
      <c r="F258" s="107">
        <v>267317.45833333331</v>
      </c>
      <c r="G258" s="107">
        <v>267317.45833333331</v>
      </c>
      <c r="H258" s="107">
        <f t="shared" si="10"/>
        <v>267317.45833333331</v>
      </c>
      <c r="I258" s="107"/>
    </row>
    <row r="259" spans="2:9" hidden="1" outlineLevel="1">
      <c r="B259" s="94" t="s">
        <v>556</v>
      </c>
      <c r="C259" s="94" t="s">
        <v>318</v>
      </c>
      <c r="D259" s="241">
        <f>VLOOKUP(C259,[4]Factors!$B$1:$E$65536,4,FALSE)</f>
        <v>0</v>
      </c>
      <c r="F259" s="107">
        <v>-13934885.791666666</v>
      </c>
      <c r="G259" s="107">
        <v>0</v>
      </c>
      <c r="H259" s="107">
        <f t="shared" si="10"/>
        <v>-13934885.791666666</v>
      </c>
      <c r="I259" s="107"/>
    </row>
    <row r="260" spans="2:9" hidden="1" outlineLevel="1">
      <c r="B260" s="94" t="s">
        <v>557</v>
      </c>
      <c r="C260" s="94" t="s">
        <v>330</v>
      </c>
      <c r="D260" s="241">
        <f>VLOOKUP(C260,[4]Factors!$B$1:$E$65536,4,FALSE)</f>
        <v>0</v>
      </c>
      <c r="F260" s="107">
        <v>-2573578.1666666665</v>
      </c>
      <c r="G260" s="107">
        <v>0</v>
      </c>
      <c r="H260" s="107">
        <f t="shared" si="10"/>
        <v>-2573578.1666666665</v>
      </c>
      <c r="I260" s="107"/>
    </row>
    <row r="261" spans="2:9" hidden="1" outlineLevel="1">
      <c r="B261" s="94" t="s">
        <v>558</v>
      </c>
      <c r="C261" s="94" t="s">
        <v>331</v>
      </c>
      <c r="D261" s="241">
        <v>0</v>
      </c>
      <c r="F261" s="107">
        <v>75603.583333333328</v>
      </c>
      <c r="G261" s="107">
        <v>0</v>
      </c>
      <c r="H261" s="107">
        <f t="shared" si="10"/>
        <v>75603.583333333328</v>
      </c>
      <c r="I261" s="107"/>
    </row>
    <row r="262" spans="2:9" hidden="1" outlineLevel="1">
      <c r="B262" s="94" t="s">
        <v>559</v>
      </c>
      <c r="C262" s="94" t="s">
        <v>332</v>
      </c>
      <c r="D262" s="241">
        <v>0</v>
      </c>
      <c r="F262" s="107">
        <v>123386.54166666667</v>
      </c>
      <c r="G262" s="107">
        <v>0</v>
      </c>
      <c r="H262" s="107">
        <f t="shared" si="10"/>
        <v>123386.54166666667</v>
      </c>
      <c r="I262" s="107"/>
    </row>
    <row r="263" spans="2:9" hidden="1" outlineLevel="1">
      <c r="B263" s="94" t="s">
        <v>560</v>
      </c>
      <c r="C263" s="94" t="s">
        <v>328</v>
      </c>
      <c r="D263" s="241">
        <v>1</v>
      </c>
      <c r="F263" s="107">
        <v>222423.54166666666</v>
      </c>
      <c r="G263" s="107">
        <v>222423.54166666666</v>
      </c>
      <c r="H263" s="107">
        <f t="shared" si="10"/>
        <v>222423.54166666666</v>
      </c>
      <c r="I263" s="107"/>
    </row>
    <row r="264" spans="2:9" hidden="1" outlineLevel="1">
      <c r="B264" s="94" t="s">
        <v>561</v>
      </c>
      <c r="C264" s="94" t="s">
        <v>328</v>
      </c>
      <c r="D264" s="241">
        <v>1</v>
      </c>
      <c r="F264" s="107">
        <v>-188992.75</v>
      </c>
      <c r="G264" s="107">
        <v>-188992.75</v>
      </c>
      <c r="H264" s="107">
        <f t="shared" si="10"/>
        <v>-188992.75</v>
      </c>
      <c r="I264" s="107"/>
    </row>
    <row r="265" spans="2:9" hidden="1" outlineLevel="1">
      <c r="B265" s="94" t="s">
        <v>562</v>
      </c>
      <c r="C265" s="94" t="s">
        <v>332</v>
      </c>
      <c r="D265" s="241">
        <v>0</v>
      </c>
      <c r="F265" s="107">
        <v>-77503.791666666672</v>
      </c>
      <c r="G265" s="107">
        <v>0</v>
      </c>
      <c r="H265" s="107">
        <f t="shared" si="10"/>
        <v>-77503.791666666672</v>
      </c>
      <c r="I265" s="107"/>
    </row>
    <row r="266" spans="2:9" hidden="1" outlineLevel="1">
      <c r="B266" s="94" t="s">
        <v>563</v>
      </c>
      <c r="C266" s="94" t="s">
        <v>315</v>
      </c>
      <c r="D266" s="241">
        <v>0</v>
      </c>
      <c r="F266" s="107">
        <v>-6760</v>
      </c>
      <c r="G266" s="107">
        <v>0</v>
      </c>
      <c r="H266" s="107">
        <f t="shared" si="10"/>
        <v>-6760</v>
      </c>
      <c r="I266" s="107"/>
    </row>
    <row r="267" spans="2:9" hidden="1" outlineLevel="1">
      <c r="B267" s="94" t="s">
        <v>564</v>
      </c>
      <c r="C267" s="94" t="s">
        <v>404</v>
      </c>
      <c r="D267" s="241">
        <v>0</v>
      </c>
      <c r="F267" s="107">
        <v>-375704.5</v>
      </c>
      <c r="G267" s="107">
        <v>0</v>
      </c>
      <c r="H267" s="107">
        <f t="shared" si="10"/>
        <v>-375704.5</v>
      </c>
      <c r="I267" s="107"/>
    </row>
    <row r="268" spans="2:9" hidden="1" outlineLevel="1">
      <c r="B268" s="94" t="s">
        <v>565</v>
      </c>
      <c r="C268" s="94" t="s">
        <v>281</v>
      </c>
      <c r="D268" s="241">
        <v>0</v>
      </c>
      <c r="F268" s="107">
        <v>-181117.45833333334</v>
      </c>
      <c r="G268" s="107">
        <v>0</v>
      </c>
      <c r="H268" s="107">
        <f t="shared" si="10"/>
        <v>-181117.45833333334</v>
      </c>
      <c r="I268" s="107"/>
    </row>
    <row r="269" spans="2:9" hidden="1" outlineLevel="1">
      <c r="B269" s="94" t="s">
        <v>566</v>
      </c>
      <c r="C269" s="94" t="s">
        <v>256</v>
      </c>
      <c r="D269" s="241">
        <f>VLOOKUP(C269,[4]Factors!$B$1:$E$65536,4,FALSE)</f>
        <v>8.043396137671209E-2</v>
      </c>
      <c r="F269" s="107">
        <v>196853.70833333334</v>
      </c>
      <c r="G269" s="107">
        <v>15833.723572945881</v>
      </c>
      <c r="H269" s="107">
        <f t="shared" si="10"/>
        <v>196853.70833333334</v>
      </c>
      <c r="I269" s="107"/>
    </row>
    <row r="270" spans="2:9" hidden="1" outlineLevel="1">
      <c r="B270" s="94" t="s">
        <v>567</v>
      </c>
      <c r="C270" s="94" t="s">
        <v>328</v>
      </c>
      <c r="D270" s="241">
        <v>1</v>
      </c>
      <c r="F270" s="107">
        <v>-4082.375</v>
      </c>
      <c r="G270" s="107">
        <v>-4082.375</v>
      </c>
      <c r="H270" s="107">
        <f t="shared" si="10"/>
        <v>-4082.375</v>
      </c>
      <c r="I270" s="107"/>
    </row>
    <row r="271" spans="2:9" hidden="1" outlineLevel="1">
      <c r="B271" s="94" t="s">
        <v>568</v>
      </c>
      <c r="C271" s="94" t="s">
        <v>332</v>
      </c>
      <c r="D271" s="241">
        <v>0</v>
      </c>
      <c r="F271" s="107">
        <v>12556.041666666666</v>
      </c>
      <c r="G271" s="107">
        <v>0</v>
      </c>
      <c r="H271" s="107">
        <f t="shared" si="10"/>
        <v>12556.041666666666</v>
      </c>
      <c r="I271" s="107"/>
    </row>
    <row r="272" spans="2:9" hidden="1" outlineLevel="1">
      <c r="B272" s="243" t="s">
        <v>569</v>
      </c>
      <c r="C272" s="244" t="s">
        <v>332</v>
      </c>
      <c r="D272" s="245">
        <v>0</v>
      </c>
      <c r="E272" s="244"/>
      <c r="F272" s="246">
        <v>2871931.6666666665</v>
      </c>
      <c r="G272" s="107">
        <v>0</v>
      </c>
      <c r="H272" s="107"/>
      <c r="I272" s="107">
        <f t="shared" ref="I272:I281" si="11">F272</f>
        <v>2871931.6666666665</v>
      </c>
    </row>
    <row r="273" spans="2:9" hidden="1" outlineLevel="1">
      <c r="B273" s="243" t="s">
        <v>570</v>
      </c>
      <c r="C273" s="244" t="s">
        <v>404</v>
      </c>
      <c r="D273" s="245">
        <v>0</v>
      </c>
      <c r="E273" s="244"/>
      <c r="F273" s="246">
        <v>289424.66666666669</v>
      </c>
      <c r="G273" s="107">
        <v>0</v>
      </c>
      <c r="H273" s="107"/>
      <c r="I273" s="107">
        <f t="shared" si="11"/>
        <v>289424.66666666669</v>
      </c>
    </row>
    <row r="274" spans="2:9" hidden="1" outlineLevel="1">
      <c r="B274" s="243" t="s">
        <v>571</v>
      </c>
      <c r="C274" s="244" t="s">
        <v>283</v>
      </c>
      <c r="D274" s="245">
        <v>0</v>
      </c>
      <c r="E274" s="244"/>
      <c r="F274" s="246">
        <v>-694065.16666666663</v>
      </c>
      <c r="G274" s="107">
        <v>0</v>
      </c>
      <c r="H274" s="107"/>
      <c r="I274" s="107">
        <f t="shared" si="11"/>
        <v>-694065.16666666663</v>
      </c>
    </row>
    <row r="275" spans="2:9" hidden="1" outlineLevel="1">
      <c r="B275" s="244" t="s">
        <v>572</v>
      </c>
      <c r="C275" s="244" t="s">
        <v>283</v>
      </c>
      <c r="D275" s="245">
        <v>0</v>
      </c>
      <c r="E275" s="244"/>
      <c r="F275" s="246">
        <v>1035180.6666666666</v>
      </c>
      <c r="G275" s="107">
        <v>0</v>
      </c>
      <c r="H275" s="107"/>
      <c r="I275" s="107">
        <f t="shared" si="11"/>
        <v>1035180.6666666666</v>
      </c>
    </row>
    <row r="276" spans="2:9" hidden="1" outlineLevel="1">
      <c r="B276" s="244" t="s">
        <v>573</v>
      </c>
      <c r="C276" s="244" t="s">
        <v>315</v>
      </c>
      <c r="D276" s="245">
        <v>0</v>
      </c>
      <c r="E276" s="244"/>
      <c r="F276" s="246">
        <v>258454.04166666666</v>
      </c>
      <c r="G276" s="107">
        <v>0</v>
      </c>
      <c r="H276" s="107"/>
      <c r="I276" s="107">
        <f t="shared" si="11"/>
        <v>258454.04166666666</v>
      </c>
    </row>
    <row r="277" spans="2:9" hidden="1" outlineLevel="1">
      <c r="B277" s="244" t="s">
        <v>574</v>
      </c>
      <c r="C277" s="244" t="s">
        <v>328</v>
      </c>
      <c r="D277" s="245">
        <v>1</v>
      </c>
      <c r="E277" s="244"/>
      <c r="F277" s="246">
        <v>563393.54166666663</v>
      </c>
      <c r="G277" s="107">
        <v>563393.54166666663</v>
      </c>
      <c r="H277" s="107"/>
      <c r="I277" s="107">
        <f t="shared" si="11"/>
        <v>563393.54166666663</v>
      </c>
    </row>
    <row r="278" spans="2:9" hidden="1" outlineLevel="1">
      <c r="B278" s="244" t="s">
        <v>575</v>
      </c>
      <c r="C278" s="244" t="s">
        <v>332</v>
      </c>
      <c r="D278" s="245">
        <v>0</v>
      </c>
      <c r="E278" s="244"/>
      <c r="F278" s="246">
        <v>-546387.04166666663</v>
      </c>
      <c r="G278" s="107">
        <v>0</v>
      </c>
      <c r="H278" s="107"/>
      <c r="I278" s="107">
        <f t="shared" si="11"/>
        <v>-546387.04166666663</v>
      </c>
    </row>
    <row r="279" spans="2:9" hidden="1" outlineLevel="1">
      <c r="B279" s="244" t="s">
        <v>576</v>
      </c>
      <c r="C279" s="244" t="s">
        <v>281</v>
      </c>
      <c r="D279" s="245">
        <v>0</v>
      </c>
      <c r="E279" s="244"/>
      <c r="F279" s="246">
        <v>-53685.958333333336</v>
      </c>
      <c r="G279" s="107">
        <v>0</v>
      </c>
      <c r="H279" s="107"/>
      <c r="I279" s="107">
        <f t="shared" si="11"/>
        <v>-53685.958333333336</v>
      </c>
    </row>
    <row r="280" spans="2:9" hidden="1" outlineLevel="1">
      <c r="B280" s="244" t="s">
        <v>577</v>
      </c>
      <c r="C280" s="244" t="s">
        <v>283</v>
      </c>
      <c r="D280" s="245">
        <v>0</v>
      </c>
      <c r="E280" s="244"/>
      <c r="F280" s="246">
        <v>-682966.75</v>
      </c>
      <c r="G280" s="107">
        <v>0</v>
      </c>
      <c r="H280" s="107"/>
      <c r="I280" s="107">
        <f t="shared" si="11"/>
        <v>-682966.75</v>
      </c>
    </row>
    <row r="281" spans="2:9" hidden="1" outlineLevel="1">
      <c r="B281" s="244" t="s">
        <v>578</v>
      </c>
      <c r="C281" s="244" t="s">
        <v>315</v>
      </c>
      <c r="D281" s="245">
        <v>0</v>
      </c>
      <c r="E281" s="244"/>
      <c r="F281" s="246">
        <v>-49148.416666666664</v>
      </c>
      <c r="G281" s="107">
        <v>0</v>
      </c>
      <c r="H281" s="107"/>
      <c r="I281" s="107">
        <f t="shared" si="11"/>
        <v>-49148.416666666664</v>
      </c>
    </row>
    <row r="282" spans="2:9" hidden="1" outlineLevel="1">
      <c r="B282" s="149" t="s">
        <v>579</v>
      </c>
      <c r="C282" s="149" t="s">
        <v>268</v>
      </c>
      <c r="D282" s="242">
        <f>VLOOKUP(C282,[4]Factors!$B$1:$E$65536,4,FALSE)</f>
        <v>0</v>
      </c>
      <c r="E282" s="149"/>
      <c r="F282" s="153">
        <v>-98304.916666666672</v>
      </c>
      <c r="G282" s="107">
        <v>0</v>
      </c>
      <c r="H282" s="107"/>
      <c r="I282" s="107"/>
    </row>
    <row r="283" spans="2:9" hidden="1" outlineLevel="1">
      <c r="B283" s="149" t="s">
        <v>580</v>
      </c>
      <c r="C283" s="149" t="s">
        <v>268</v>
      </c>
      <c r="D283" s="242">
        <f>VLOOKUP(C283,[4]Factors!$B$1:$E$65536,4,FALSE)</f>
        <v>0</v>
      </c>
      <c r="E283" s="149"/>
      <c r="F283" s="153">
        <v>-529226.75</v>
      </c>
      <c r="G283" s="107">
        <v>0</v>
      </c>
      <c r="H283" s="107"/>
      <c r="I283" s="107"/>
    </row>
    <row r="284" spans="2:9" hidden="1" outlineLevel="1">
      <c r="B284" s="149" t="s">
        <v>581</v>
      </c>
      <c r="C284" s="149" t="s">
        <v>268</v>
      </c>
      <c r="D284" s="242">
        <f>VLOOKUP(C284,[4]Factors!$B$1:$E$65536,4,FALSE)</f>
        <v>0</v>
      </c>
      <c r="E284" s="149"/>
      <c r="F284" s="153">
        <v>-38430744.083333336</v>
      </c>
      <c r="G284" s="107">
        <v>0</v>
      </c>
      <c r="H284" s="107"/>
      <c r="I284" s="107"/>
    </row>
    <row r="285" spans="2:9" hidden="1" outlineLevel="1">
      <c r="B285" s="94" t="s">
        <v>582</v>
      </c>
      <c r="C285" s="94" t="s">
        <v>318</v>
      </c>
      <c r="D285" s="241">
        <f>VLOOKUP(C285,[4]Factors!$B$1:$E$65536,4,FALSE)</f>
        <v>0</v>
      </c>
      <c r="F285" s="107">
        <v>-54397.333333333336</v>
      </c>
      <c r="G285" s="107">
        <v>0</v>
      </c>
      <c r="H285" s="107">
        <f t="shared" ref="H285:H316" si="12">F285</f>
        <v>-54397.333333333336</v>
      </c>
      <c r="I285" s="107"/>
    </row>
    <row r="286" spans="2:9" hidden="1" outlineLevel="1">
      <c r="B286" s="94" t="s">
        <v>583</v>
      </c>
      <c r="C286" s="94" t="s">
        <v>451</v>
      </c>
      <c r="D286" s="241">
        <f>VLOOKUP(C286,[4]Factors!$B$1:$E$65536,4,FALSE)</f>
        <v>0.2262649010137</v>
      </c>
      <c r="F286" s="107">
        <v>-792884.6249999986</v>
      </c>
      <c r="G286" s="107">
        <v>-179401.96119090932</v>
      </c>
      <c r="H286" s="107">
        <f t="shared" si="12"/>
        <v>-792884.6249999986</v>
      </c>
      <c r="I286" s="107"/>
    </row>
    <row r="287" spans="2:9" hidden="1" outlineLevel="1">
      <c r="B287" s="94" t="s">
        <v>584</v>
      </c>
      <c r="C287" s="94" t="s">
        <v>315</v>
      </c>
      <c r="D287" s="241">
        <v>0</v>
      </c>
      <c r="F287" s="107">
        <v>-6797.916666666667</v>
      </c>
      <c r="G287" s="107">
        <v>0</v>
      </c>
      <c r="H287" s="107">
        <f t="shared" si="12"/>
        <v>-6797.916666666667</v>
      </c>
      <c r="I287" s="107"/>
    </row>
    <row r="288" spans="2:9" hidden="1" outlineLevel="1">
      <c r="B288" s="94" t="s">
        <v>585</v>
      </c>
      <c r="C288" s="94" t="s">
        <v>331</v>
      </c>
      <c r="D288" s="241">
        <v>0</v>
      </c>
      <c r="F288" s="107">
        <v>-96740.5</v>
      </c>
      <c r="G288" s="107">
        <v>0</v>
      </c>
      <c r="H288" s="107">
        <f t="shared" si="12"/>
        <v>-96740.5</v>
      </c>
      <c r="I288" s="107"/>
    </row>
    <row r="289" spans="2:9" hidden="1" outlineLevel="1">
      <c r="B289" s="94" t="s">
        <v>586</v>
      </c>
      <c r="C289" s="94" t="s">
        <v>332</v>
      </c>
      <c r="D289" s="241">
        <v>0</v>
      </c>
      <c r="F289" s="107">
        <v>-85756.458333333328</v>
      </c>
      <c r="G289" s="107">
        <v>0</v>
      </c>
      <c r="H289" s="107">
        <f t="shared" si="12"/>
        <v>-85756.458333333328</v>
      </c>
      <c r="I289" s="107"/>
    </row>
    <row r="290" spans="2:9" hidden="1" outlineLevel="1">
      <c r="B290" s="94" t="s">
        <v>587</v>
      </c>
      <c r="C290" s="94" t="s">
        <v>328</v>
      </c>
      <c r="D290" s="241">
        <v>1</v>
      </c>
      <c r="F290" s="107">
        <v>-279486.66666666669</v>
      </c>
      <c r="G290" s="107">
        <v>-279486.66666666669</v>
      </c>
      <c r="H290" s="107">
        <f t="shared" si="12"/>
        <v>-279486.66666666669</v>
      </c>
      <c r="I290" s="107"/>
    </row>
    <row r="291" spans="2:9" hidden="1" outlineLevel="1">
      <c r="B291" s="94" t="s">
        <v>588</v>
      </c>
      <c r="C291" s="94" t="s">
        <v>318</v>
      </c>
      <c r="D291" s="241">
        <f>VLOOKUP(C291,[4]Factors!$B$1:$E$65536,4,FALSE)</f>
        <v>0</v>
      </c>
      <c r="F291" s="107">
        <v>-227514.66666666666</v>
      </c>
      <c r="G291" s="107">
        <v>0</v>
      </c>
      <c r="H291" s="107">
        <f t="shared" si="12"/>
        <v>-227514.66666666666</v>
      </c>
      <c r="I291" s="107"/>
    </row>
    <row r="292" spans="2:9" hidden="1" outlineLevel="1">
      <c r="B292" s="94" t="s">
        <v>589</v>
      </c>
      <c r="C292" s="94" t="s">
        <v>404</v>
      </c>
      <c r="D292" s="241">
        <v>0</v>
      </c>
      <c r="F292" s="107">
        <v>-5982.166666666667</v>
      </c>
      <c r="G292" s="107">
        <v>0</v>
      </c>
      <c r="H292" s="107">
        <f t="shared" si="12"/>
        <v>-5982.166666666667</v>
      </c>
      <c r="I292" s="107"/>
    </row>
    <row r="293" spans="2:9" hidden="1" outlineLevel="1">
      <c r="B293" s="94" t="s">
        <v>590</v>
      </c>
      <c r="C293" s="94" t="s">
        <v>318</v>
      </c>
      <c r="D293" s="241">
        <f>VLOOKUP(C293,[4]Factors!$B$1:$E$65536,4,FALSE)</f>
        <v>0</v>
      </c>
      <c r="F293" s="107">
        <v>-79518.458333333328</v>
      </c>
      <c r="G293" s="107">
        <v>0</v>
      </c>
      <c r="H293" s="107">
        <f t="shared" si="12"/>
        <v>-79518.458333333328</v>
      </c>
      <c r="I293" s="107"/>
    </row>
    <row r="294" spans="2:9" hidden="1" outlineLevel="1">
      <c r="B294" s="94" t="s">
        <v>591</v>
      </c>
      <c r="C294" s="94" t="s">
        <v>281</v>
      </c>
      <c r="D294" s="241">
        <v>0</v>
      </c>
      <c r="F294" s="107">
        <v>-216143</v>
      </c>
      <c r="G294" s="107">
        <v>0</v>
      </c>
      <c r="H294" s="107">
        <f t="shared" si="12"/>
        <v>-216143</v>
      </c>
      <c r="I294" s="107"/>
    </row>
    <row r="295" spans="2:9" hidden="1" outlineLevel="1">
      <c r="B295" s="94" t="s">
        <v>592</v>
      </c>
      <c r="C295" s="94" t="s">
        <v>318</v>
      </c>
      <c r="D295" s="241">
        <f>VLOOKUP(C295,[4]Factors!$B$1:$E$65536,4,FALSE)</f>
        <v>0</v>
      </c>
      <c r="F295" s="107">
        <v>-9079.5833333333339</v>
      </c>
      <c r="G295" s="107">
        <v>0</v>
      </c>
      <c r="H295" s="107">
        <f t="shared" si="12"/>
        <v>-9079.5833333333339</v>
      </c>
      <c r="I295" s="107"/>
    </row>
    <row r="296" spans="2:9" hidden="1" outlineLevel="1">
      <c r="B296" s="94" t="s">
        <v>593</v>
      </c>
      <c r="C296" s="94" t="s">
        <v>318</v>
      </c>
      <c r="D296" s="241">
        <f>VLOOKUP(C296,[4]Factors!$B$1:$E$65536,4,FALSE)</f>
        <v>0</v>
      </c>
      <c r="F296" s="107">
        <v>-2735155.9583333335</v>
      </c>
      <c r="G296" s="107">
        <v>0</v>
      </c>
      <c r="H296" s="107">
        <f t="shared" si="12"/>
        <v>-2735155.9583333335</v>
      </c>
      <c r="I296" s="107"/>
    </row>
    <row r="297" spans="2:9" hidden="1" outlineLevel="1">
      <c r="B297" s="94" t="s">
        <v>594</v>
      </c>
      <c r="C297" s="94" t="s">
        <v>318</v>
      </c>
      <c r="D297" s="241">
        <f>VLOOKUP(C297,[4]Factors!$B$1:$E$65536,4,FALSE)</f>
        <v>0</v>
      </c>
      <c r="F297" s="107">
        <v>-300581.91666666669</v>
      </c>
      <c r="G297" s="107">
        <v>0</v>
      </c>
      <c r="H297" s="107">
        <f t="shared" si="12"/>
        <v>-300581.91666666669</v>
      </c>
      <c r="I297" s="107"/>
    </row>
    <row r="298" spans="2:9" hidden="1" outlineLevel="1">
      <c r="B298" s="94" t="s">
        <v>595</v>
      </c>
      <c r="C298" s="94" t="s">
        <v>318</v>
      </c>
      <c r="D298" s="241">
        <f>VLOOKUP(C298,[4]Factors!$B$1:$E$65536,4,FALSE)</f>
        <v>0</v>
      </c>
      <c r="F298" s="107">
        <v>50642.041666666664</v>
      </c>
      <c r="G298" s="107">
        <v>0</v>
      </c>
      <c r="H298" s="107">
        <f t="shared" si="12"/>
        <v>50642.041666666664</v>
      </c>
      <c r="I298" s="107"/>
    </row>
    <row r="299" spans="2:9" hidden="1" outlineLevel="1">
      <c r="B299" s="94" t="s">
        <v>596</v>
      </c>
      <c r="C299" s="94" t="s">
        <v>318</v>
      </c>
      <c r="D299" s="241">
        <f>VLOOKUP(C299,[4]Factors!$B$1:$E$65536,4,FALSE)</f>
        <v>0</v>
      </c>
      <c r="F299" s="107">
        <v>-765318.79166666663</v>
      </c>
      <c r="G299" s="107">
        <v>0</v>
      </c>
      <c r="H299" s="107">
        <f t="shared" si="12"/>
        <v>-765318.79166666663</v>
      </c>
      <c r="I299" s="107"/>
    </row>
    <row r="300" spans="2:9" hidden="1" outlineLevel="1">
      <c r="B300" s="94" t="s">
        <v>597</v>
      </c>
      <c r="C300" s="94" t="s">
        <v>328</v>
      </c>
      <c r="D300" s="241">
        <v>1</v>
      </c>
      <c r="F300" s="107">
        <v>-632312.5</v>
      </c>
      <c r="G300" s="107">
        <v>-632312.5</v>
      </c>
      <c r="H300" s="107">
        <f t="shared" si="12"/>
        <v>-632312.5</v>
      </c>
      <c r="I300" s="107"/>
    </row>
    <row r="301" spans="2:9" hidden="1" outlineLevel="1">
      <c r="B301" s="94" t="s">
        <v>598</v>
      </c>
      <c r="C301" s="94" t="s">
        <v>318</v>
      </c>
      <c r="D301" s="241">
        <f>VLOOKUP(C301,[4]Factors!$B$1:$E$65536,4,FALSE)</f>
        <v>0</v>
      </c>
      <c r="F301" s="107">
        <v>-10135771.541666666</v>
      </c>
      <c r="G301" s="107">
        <v>0</v>
      </c>
      <c r="H301" s="107">
        <f t="shared" si="12"/>
        <v>-10135771.541666666</v>
      </c>
      <c r="I301" s="107"/>
    </row>
    <row r="302" spans="2:9" hidden="1" outlineLevel="1">
      <c r="B302" s="94" t="s">
        <v>599</v>
      </c>
      <c r="C302" s="94" t="s">
        <v>318</v>
      </c>
      <c r="D302" s="241">
        <f>VLOOKUP(C302,[4]Factors!$B$1:$E$65536,4,FALSE)</f>
        <v>0</v>
      </c>
      <c r="F302" s="107">
        <v>-600705.91666666663</v>
      </c>
      <c r="G302" s="107">
        <v>0</v>
      </c>
      <c r="H302" s="107">
        <f t="shared" si="12"/>
        <v>-600705.91666666663</v>
      </c>
      <c r="I302" s="107"/>
    </row>
    <row r="303" spans="2:9" hidden="1" outlineLevel="1">
      <c r="B303" s="94" t="s">
        <v>600</v>
      </c>
      <c r="C303" s="94" t="s">
        <v>283</v>
      </c>
      <c r="D303" s="241">
        <v>0</v>
      </c>
      <c r="F303" s="107">
        <v>-12699.583333333334</v>
      </c>
      <c r="G303" s="107">
        <v>0</v>
      </c>
      <c r="H303" s="107">
        <f t="shared" si="12"/>
        <v>-12699.583333333334</v>
      </c>
      <c r="I303" s="107"/>
    </row>
    <row r="304" spans="2:9" hidden="1" outlineLevel="1">
      <c r="B304" s="94" t="s">
        <v>601</v>
      </c>
      <c r="C304" s="94" t="s">
        <v>318</v>
      </c>
      <c r="D304" s="241">
        <f>VLOOKUP(C304,[4]Factors!$B$1:$E$65536,4,FALSE)</f>
        <v>0</v>
      </c>
      <c r="F304" s="107">
        <v>3420.0833333333335</v>
      </c>
      <c r="G304" s="107">
        <v>0</v>
      </c>
      <c r="H304" s="107">
        <f t="shared" si="12"/>
        <v>3420.0833333333335</v>
      </c>
      <c r="I304" s="107"/>
    </row>
    <row r="305" spans="2:9" hidden="1" outlineLevel="1">
      <c r="B305" s="149" t="s">
        <v>602</v>
      </c>
      <c r="C305" s="149" t="s">
        <v>318</v>
      </c>
      <c r="D305" s="242">
        <f>VLOOKUP(C305,[4]Factors!$B$1:$E$65536,4,FALSE)</f>
        <v>0</v>
      </c>
      <c r="E305" s="149"/>
      <c r="F305" s="153">
        <v>-140062</v>
      </c>
      <c r="G305" s="107">
        <v>0</v>
      </c>
      <c r="H305" s="107">
        <f t="shared" si="12"/>
        <v>-140062</v>
      </c>
      <c r="I305" s="107"/>
    </row>
    <row r="306" spans="2:9" hidden="1" outlineLevel="1">
      <c r="B306" s="94" t="s">
        <v>603</v>
      </c>
      <c r="C306" s="94" t="s">
        <v>318</v>
      </c>
      <c r="D306" s="241">
        <f>VLOOKUP(C306,[4]Factors!$B$1:$E$65536,4,FALSE)</f>
        <v>0</v>
      </c>
      <c r="F306" s="107">
        <v>106312.375</v>
      </c>
      <c r="G306" s="107">
        <v>0</v>
      </c>
      <c r="H306" s="107">
        <f t="shared" si="12"/>
        <v>106312.375</v>
      </c>
      <c r="I306" s="107"/>
    </row>
    <row r="307" spans="2:9" hidden="1" outlineLevel="1">
      <c r="B307" s="94" t="s">
        <v>604</v>
      </c>
      <c r="C307" s="94" t="s">
        <v>318</v>
      </c>
      <c r="D307" s="241">
        <f>VLOOKUP(C307,[4]Factors!$B$1:$E$65536,4,FALSE)</f>
        <v>0</v>
      </c>
      <c r="F307" s="107">
        <v>-7035512.125</v>
      </c>
      <c r="G307" s="107">
        <v>0</v>
      </c>
      <c r="H307" s="107">
        <f t="shared" si="12"/>
        <v>-7035512.125</v>
      </c>
      <c r="I307" s="107"/>
    </row>
    <row r="308" spans="2:9" hidden="1" outlineLevel="1">
      <c r="B308" s="94" t="s">
        <v>605</v>
      </c>
      <c r="C308" s="94" t="s">
        <v>318</v>
      </c>
      <c r="D308" s="241">
        <f>VLOOKUP(C308,[4]Factors!$B$1:$E$65536,4,FALSE)</f>
        <v>0</v>
      </c>
      <c r="F308" s="107">
        <v>-704060.75</v>
      </c>
      <c r="G308" s="107">
        <v>0</v>
      </c>
      <c r="H308" s="107">
        <f t="shared" si="12"/>
        <v>-704060.75</v>
      </c>
      <c r="I308" s="107"/>
    </row>
    <row r="309" spans="2:9" hidden="1" outlineLevel="1">
      <c r="B309" s="94" t="s">
        <v>606</v>
      </c>
      <c r="C309" s="94" t="s">
        <v>332</v>
      </c>
      <c r="D309" s="241">
        <v>0</v>
      </c>
      <c r="F309" s="107">
        <v>-107763.16666666667</v>
      </c>
      <c r="G309" s="107">
        <v>0</v>
      </c>
      <c r="H309" s="107">
        <f t="shared" si="12"/>
        <v>-107763.16666666667</v>
      </c>
      <c r="I309" s="107"/>
    </row>
    <row r="310" spans="2:9" hidden="1" outlineLevel="1">
      <c r="B310" s="94" t="s">
        <v>607</v>
      </c>
      <c r="C310" s="94" t="s">
        <v>328</v>
      </c>
      <c r="D310" s="241">
        <v>1</v>
      </c>
      <c r="F310" s="107">
        <v>-5075946.25</v>
      </c>
      <c r="G310" s="107">
        <v>-5075946.25</v>
      </c>
      <c r="H310" s="107">
        <f t="shared" si="12"/>
        <v>-5075946.25</v>
      </c>
      <c r="I310" s="107"/>
    </row>
    <row r="311" spans="2:9" hidden="1" outlineLevel="1">
      <c r="B311" s="94" t="s">
        <v>608</v>
      </c>
      <c r="C311" s="94" t="s">
        <v>315</v>
      </c>
      <c r="D311" s="241">
        <v>0</v>
      </c>
      <c r="F311" s="107">
        <v>-47908.375</v>
      </c>
      <c r="G311" s="107">
        <v>0</v>
      </c>
      <c r="H311" s="107">
        <f t="shared" si="12"/>
        <v>-47908.375</v>
      </c>
      <c r="I311" s="107"/>
    </row>
    <row r="312" spans="2:9" hidden="1" outlineLevel="1">
      <c r="B312" s="149" t="s">
        <v>609</v>
      </c>
      <c r="C312" s="149" t="s">
        <v>407</v>
      </c>
      <c r="D312" s="242">
        <f>VLOOKUP(C312,[4]Factors!$B$1:$E$65536,4,FALSE)</f>
        <v>7.5708155171090558E-2</v>
      </c>
      <c r="E312" s="149"/>
      <c r="F312" s="153">
        <v>-2850692</v>
      </c>
      <c r="G312" s="153">
        <v>-215820.63228098649</v>
      </c>
      <c r="H312" s="153">
        <f t="shared" si="12"/>
        <v>-2850692</v>
      </c>
      <c r="I312" s="153"/>
    </row>
    <row r="313" spans="2:9" hidden="1" outlineLevel="1">
      <c r="B313" s="149" t="s">
        <v>610</v>
      </c>
      <c r="C313" s="149" t="s">
        <v>318</v>
      </c>
      <c r="D313" s="242">
        <f>VLOOKUP(C313,[4]Factors!$B$1:$E$65536,4,FALSE)</f>
        <v>0</v>
      </c>
      <c r="E313" s="149"/>
      <c r="F313" s="153">
        <v>-1610605.4166666653</v>
      </c>
      <c r="G313" s="153">
        <v>0</v>
      </c>
      <c r="H313" s="153">
        <f t="shared" si="12"/>
        <v>-1610605.4166666653</v>
      </c>
      <c r="I313" s="153"/>
    </row>
    <row r="314" spans="2:9" hidden="1" outlineLevel="1">
      <c r="B314" s="149" t="s">
        <v>611</v>
      </c>
      <c r="C314" s="149" t="s">
        <v>331</v>
      </c>
      <c r="D314" s="242">
        <v>0</v>
      </c>
      <c r="E314" s="149"/>
      <c r="F314" s="153">
        <v>-19684.666666666668</v>
      </c>
      <c r="G314" s="153">
        <v>0</v>
      </c>
      <c r="H314" s="153">
        <f t="shared" si="12"/>
        <v>-19684.666666666668</v>
      </c>
      <c r="I314" s="153"/>
    </row>
    <row r="315" spans="2:9" hidden="1" outlineLevel="1">
      <c r="B315" s="149" t="s">
        <v>612</v>
      </c>
      <c r="C315" s="149" t="s">
        <v>406</v>
      </c>
      <c r="D315" s="242">
        <f>VLOOKUP(C315,[4]Factors!$B$1:$E$65536,4,FALSE)</f>
        <v>0</v>
      </c>
      <c r="E315" s="149"/>
      <c r="F315" s="153">
        <v>-10962.791666666666</v>
      </c>
      <c r="G315" s="153">
        <v>0</v>
      </c>
      <c r="H315" s="153">
        <f t="shared" si="12"/>
        <v>-10962.791666666666</v>
      </c>
      <c r="I315" s="153"/>
    </row>
    <row r="316" spans="2:9" hidden="1" outlineLevel="1">
      <c r="B316" s="94" t="s">
        <v>613</v>
      </c>
      <c r="C316" s="94" t="s">
        <v>330</v>
      </c>
      <c r="D316" s="241">
        <f>VLOOKUP(C316,[4]Factors!$B$1:$E$65536,4,FALSE)</f>
        <v>0</v>
      </c>
      <c r="F316" s="107">
        <v>-50160.333333333336</v>
      </c>
      <c r="G316" s="107">
        <v>0</v>
      </c>
      <c r="H316" s="107">
        <f t="shared" si="12"/>
        <v>-50160.333333333336</v>
      </c>
      <c r="I316" s="107"/>
    </row>
    <row r="317" spans="2:9" hidden="1" outlineLevel="1">
      <c r="B317" s="94" t="s">
        <v>614</v>
      </c>
      <c r="C317" s="94" t="s">
        <v>451</v>
      </c>
      <c r="D317" s="241">
        <f>VLOOKUP(C317,[4]Factors!$B$1:$E$65536,4,FALSE)</f>
        <v>0.2262649010137</v>
      </c>
      <c r="F317" s="107">
        <v>-341065.125</v>
      </c>
      <c r="G317" s="107">
        <v>-77171.066747350225</v>
      </c>
      <c r="H317" s="107">
        <f t="shared" ref="H317:H350" si="13">F317</f>
        <v>-341065.125</v>
      </c>
      <c r="I317" s="107"/>
    </row>
    <row r="318" spans="2:9" hidden="1" outlineLevel="1">
      <c r="B318" s="149" t="s">
        <v>615</v>
      </c>
      <c r="C318" s="149" t="s">
        <v>318</v>
      </c>
      <c r="D318" s="242">
        <f>VLOOKUP(C318,[4]Factors!$B$1:$E$65536,4,FALSE)</f>
        <v>0</v>
      </c>
      <c r="E318" s="149"/>
      <c r="F318" s="153">
        <v>-9961658.958333334</v>
      </c>
      <c r="G318" s="107">
        <v>0</v>
      </c>
      <c r="H318" s="107">
        <f t="shared" si="13"/>
        <v>-9961658.958333334</v>
      </c>
      <c r="I318" s="107"/>
    </row>
    <row r="319" spans="2:9" hidden="1" outlineLevel="1">
      <c r="B319" s="94" t="s">
        <v>616</v>
      </c>
      <c r="C319" s="94" t="s">
        <v>451</v>
      </c>
      <c r="D319" s="241">
        <f>VLOOKUP(C319,[4]Factors!$B$1:$E$65536,4,FALSE)</f>
        <v>0.2262649010137</v>
      </c>
      <c r="F319" s="107">
        <v>-1631697.5416666667</v>
      </c>
      <c r="G319" s="107">
        <v>-369195.88274950598</v>
      </c>
      <c r="H319" s="107">
        <f t="shared" si="13"/>
        <v>-1631697.5416666667</v>
      </c>
      <c r="I319" s="107"/>
    </row>
    <row r="320" spans="2:9" hidden="1" outlineLevel="1">
      <c r="B320" s="94" t="s">
        <v>617</v>
      </c>
      <c r="C320" s="94" t="s">
        <v>331</v>
      </c>
      <c r="D320" s="241">
        <v>0</v>
      </c>
      <c r="F320" s="107">
        <v>-733236.33333333337</v>
      </c>
      <c r="G320" s="107">
        <v>0</v>
      </c>
      <c r="H320" s="107">
        <f t="shared" si="13"/>
        <v>-733236.33333333337</v>
      </c>
      <c r="I320" s="107"/>
    </row>
    <row r="321" spans="2:9" hidden="1" outlineLevel="1">
      <c r="B321" s="94" t="s">
        <v>618</v>
      </c>
      <c r="C321" s="94" t="s">
        <v>292</v>
      </c>
      <c r="D321" s="241">
        <f>VLOOKUP(C321,[4]Factors!$B$1:$E$65536,4,FALSE)</f>
        <v>6.8469811870277855E-2</v>
      </c>
      <c r="F321" s="107">
        <v>-448213.875</v>
      </c>
      <c r="G321" s="107">
        <v>-30689.119698898234</v>
      </c>
      <c r="H321" s="107">
        <f t="shared" si="13"/>
        <v>-448213.875</v>
      </c>
      <c r="I321" s="107"/>
    </row>
    <row r="322" spans="2:9" hidden="1" outlineLevel="1">
      <c r="B322" s="149" t="s">
        <v>619</v>
      </c>
      <c r="C322" s="149" t="s">
        <v>318</v>
      </c>
      <c r="D322" s="242">
        <f>VLOOKUP(C322,[4]Factors!$B$1:$E$65536,4,FALSE)</f>
        <v>0</v>
      </c>
      <c r="E322" s="149"/>
      <c r="F322" s="153">
        <v>-2810019.9166666665</v>
      </c>
      <c r="G322" s="107">
        <v>0</v>
      </c>
      <c r="H322" s="107">
        <f t="shared" si="13"/>
        <v>-2810019.9166666665</v>
      </c>
      <c r="I322" s="107"/>
    </row>
    <row r="323" spans="2:9" hidden="1" outlineLevel="1">
      <c r="B323" s="149" t="s">
        <v>620</v>
      </c>
      <c r="C323" s="149" t="s">
        <v>318</v>
      </c>
      <c r="D323" s="242">
        <f>VLOOKUP(C323,[4]Factors!$B$1:$E$65536,4,FALSE)</f>
        <v>0</v>
      </c>
      <c r="E323" s="149"/>
      <c r="F323" s="153">
        <v>-316968.04166666669</v>
      </c>
      <c r="G323" s="107">
        <v>0</v>
      </c>
      <c r="H323" s="107">
        <f t="shared" si="13"/>
        <v>-316968.04166666669</v>
      </c>
      <c r="I323" s="107"/>
    </row>
    <row r="324" spans="2:9" hidden="1" outlineLevel="1">
      <c r="B324" s="94" t="s">
        <v>621</v>
      </c>
      <c r="C324" s="94" t="s">
        <v>318</v>
      </c>
      <c r="D324" s="241">
        <f>VLOOKUP(C324,[4]Factors!$B$1:$E$65536,4,FALSE)</f>
        <v>0</v>
      </c>
      <c r="F324" s="107">
        <v>-122360.875</v>
      </c>
      <c r="G324" s="107">
        <v>0</v>
      </c>
      <c r="H324" s="107">
        <f t="shared" si="13"/>
        <v>-122360.875</v>
      </c>
      <c r="I324" s="107"/>
    </row>
    <row r="325" spans="2:9" hidden="1" outlineLevel="1">
      <c r="B325" s="94" t="s">
        <v>622</v>
      </c>
      <c r="C325" s="94" t="s">
        <v>283</v>
      </c>
      <c r="D325" s="241">
        <v>0</v>
      </c>
      <c r="F325" s="107">
        <v>-586605.125</v>
      </c>
      <c r="G325" s="107">
        <v>0</v>
      </c>
      <c r="H325" s="107">
        <f t="shared" si="13"/>
        <v>-586605.125</v>
      </c>
      <c r="I325" s="107"/>
    </row>
    <row r="326" spans="2:9" hidden="1" outlineLevel="1">
      <c r="B326" s="94" t="s">
        <v>623</v>
      </c>
      <c r="C326" s="94" t="s">
        <v>318</v>
      </c>
      <c r="D326" s="241">
        <f>VLOOKUP(C326,[4]Factors!$B$1:$E$65536,4,FALSE)</f>
        <v>0</v>
      </c>
      <c r="F326" s="107">
        <v>-158004.70833333334</v>
      </c>
      <c r="G326" s="107">
        <v>0</v>
      </c>
      <c r="H326" s="107">
        <f t="shared" si="13"/>
        <v>-158004.70833333334</v>
      </c>
      <c r="I326" s="107"/>
    </row>
    <row r="327" spans="2:9" hidden="1" outlineLevel="1">
      <c r="B327" s="94" t="s">
        <v>624</v>
      </c>
      <c r="C327" s="94" t="s">
        <v>318</v>
      </c>
      <c r="D327" s="241">
        <f>VLOOKUP(C327,[4]Factors!$B$1:$E$65536,4,FALSE)</f>
        <v>0</v>
      </c>
      <c r="F327" s="107">
        <v>-80708</v>
      </c>
      <c r="G327" s="107">
        <v>0</v>
      </c>
      <c r="H327" s="107">
        <f t="shared" si="13"/>
        <v>-80708</v>
      </c>
      <c r="I327" s="107"/>
    </row>
    <row r="328" spans="2:9" hidden="1" outlineLevel="1">
      <c r="B328" s="94" t="s">
        <v>625</v>
      </c>
      <c r="C328" s="94" t="s">
        <v>404</v>
      </c>
      <c r="D328" s="241">
        <v>0</v>
      </c>
      <c r="F328" s="107">
        <v>-31885.208333333332</v>
      </c>
      <c r="G328" s="107">
        <v>0</v>
      </c>
      <c r="H328" s="107">
        <f t="shared" si="13"/>
        <v>-31885.208333333332</v>
      </c>
      <c r="I328" s="107"/>
    </row>
    <row r="329" spans="2:9" hidden="1" outlineLevel="1">
      <c r="B329" s="94" t="s">
        <v>626</v>
      </c>
      <c r="C329" s="94" t="s">
        <v>407</v>
      </c>
      <c r="D329" s="241">
        <f>VLOOKUP(C329,[4]Factors!$B$1:$E$65536,4,FALSE)</f>
        <v>7.5708155171090558E-2</v>
      </c>
      <c r="F329" s="107">
        <v>-756.25</v>
      </c>
      <c r="G329" s="107">
        <v>-57.254292348137234</v>
      </c>
      <c r="H329" s="107">
        <f t="shared" si="13"/>
        <v>-756.25</v>
      </c>
      <c r="I329" s="107"/>
    </row>
    <row r="330" spans="2:9" hidden="1" outlineLevel="1">
      <c r="B330" s="94" t="s">
        <v>627</v>
      </c>
      <c r="C330" s="94" t="s">
        <v>268</v>
      </c>
      <c r="D330" s="241">
        <f>VLOOKUP(C330,[4]Factors!$B$1:$E$65536,4,FALSE)</f>
        <v>0</v>
      </c>
      <c r="F330" s="107">
        <v>-70411.791666666672</v>
      </c>
      <c r="G330" s="107">
        <v>0</v>
      </c>
      <c r="H330" s="107">
        <f t="shared" si="13"/>
        <v>-70411.791666666672</v>
      </c>
      <c r="I330" s="107"/>
    </row>
    <row r="331" spans="2:9" hidden="1" outlineLevel="1">
      <c r="B331" s="94" t="s">
        <v>628</v>
      </c>
      <c r="C331" s="94" t="s">
        <v>318</v>
      </c>
      <c r="D331" s="241">
        <f>VLOOKUP(C331,[4]Factors!$B$1:$E$65536,4,FALSE)</f>
        <v>0</v>
      </c>
      <c r="F331" s="107">
        <v>-8664.6666666666661</v>
      </c>
      <c r="G331" s="107">
        <v>0</v>
      </c>
      <c r="H331" s="107">
        <f t="shared" si="13"/>
        <v>-8664.6666666666661</v>
      </c>
      <c r="I331" s="107"/>
    </row>
    <row r="332" spans="2:9" hidden="1" outlineLevel="1">
      <c r="B332" s="94" t="s">
        <v>629</v>
      </c>
      <c r="C332" s="94" t="s">
        <v>315</v>
      </c>
      <c r="D332" s="241">
        <v>0</v>
      </c>
      <c r="F332" s="107">
        <v>4671.375</v>
      </c>
      <c r="G332" s="107">
        <v>0</v>
      </c>
      <c r="H332" s="107">
        <f t="shared" si="13"/>
        <v>4671.375</v>
      </c>
      <c r="I332" s="107"/>
    </row>
    <row r="333" spans="2:9" hidden="1" outlineLevel="1">
      <c r="B333" s="94" t="s">
        <v>630</v>
      </c>
      <c r="C333" s="94" t="s">
        <v>318</v>
      </c>
      <c r="D333" s="241">
        <f>VLOOKUP(C333,[4]Factors!$B$1:$E$65536,4,FALSE)</f>
        <v>0</v>
      </c>
      <c r="F333" s="107">
        <v>-101552.29166666667</v>
      </c>
      <c r="G333" s="107">
        <v>0</v>
      </c>
      <c r="H333" s="107">
        <f t="shared" si="13"/>
        <v>-101552.29166666667</v>
      </c>
      <c r="I333" s="107"/>
    </row>
    <row r="334" spans="2:9" hidden="1" outlineLevel="1">
      <c r="B334" s="94" t="s">
        <v>631</v>
      </c>
      <c r="C334" s="94" t="s">
        <v>318</v>
      </c>
      <c r="D334" s="241">
        <f>VLOOKUP(C334,[4]Factors!$B$1:$E$65536,4,FALSE)</f>
        <v>0</v>
      </c>
      <c r="F334" s="107">
        <v>-240679.07000000004</v>
      </c>
      <c r="G334" s="107">
        <v>0</v>
      </c>
      <c r="H334" s="107">
        <f t="shared" si="13"/>
        <v>-240679.07000000004</v>
      </c>
      <c r="I334" s="107"/>
    </row>
    <row r="335" spans="2:9" hidden="1" outlineLevel="1">
      <c r="B335" s="94" t="s">
        <v>632</v>
      </c>
      <c r="C335" s="94" t="s">
        <v>318</v>
      </c>
      <c r="D335" s="241">
        <f>VLOOKUP(C335,[4]Factors!$B$1:$E$65536,4,FALSE)</f>
        <v>0</v>
      </c>
      <c r="F335" s="107">
        <v>-1665940.0833333333</v>
      </c>
      <c r="G335" s="107">
        <v>0</v>
      </c>
      <c r="H335" s="107">
        <f t="shared" si="13"/>
        <v>-1665940.0833333333</v>
      </c>
      <c r="I335" s="107"/>
    </row>
    <row r="336" spans="2:9" hidden="1" outlineLevel="1">
      <c r="B336" s="94" t="s">
        <v>633</v>
      </c>
      <c r="C336" s="94" t="s">
        <v>318</v>
      </c>
      <c r="D336" s="241">
        <f>VLOOKUP(C336,[4]Factors!$B$1:$E$65536,4,FALSE)</f>
        <v>0</v>
      </c>
      <c r="F336" s="107">
        <v>-1695398.1783333335</v>
      </c>
      <c r="G336" s="107">
        <v>0</v>
      </c>
      <c r="H336" s="107">
        <f t="shared" si="13"/>
        <v>-1695398.1783333335</v>
      </c>
      <c r="I336" s="107"/>
    </row>
    <row r="337" spans="1:12" hidden="1" outlineLevel="1">
      <c r="B337" s="94" t="s">
        <v>634</v>
      </c>
      <c r="C337" s="94" t="s">
        <v>318</v>
      </c>
      <c r="D337" s="241">
        <f>VLOOKUP(C337,[4]Factors!$B$1:$E$65536,4,FALSE)</f>
        <v>0</v>
      </c>
      <c r="F337" s="107">
        <v>-656464.70833333337</v>
      </c>
      <c r="G337" s="107">
        <v>0</v>
      </c>
      <c r="H337" s="107">
        <f t="shared" si="13"/>
        <v>-656464.70833333337</v>
      </c>
      <c r="I337" s="107"/>
    </row>
    <row r="338" spans="1:12" hidden="1" outlineLevel="1">
      <c r="B338" s="149" t="s">
        <v>635</v>
      </c>
      <c r="C338" s="149" t="s">
        <v>268</v>
      </c>
      <c r="D338" s="242">
        <f>VLOOKUP(C338,[4]Factors!$B$1:$E$65536,4,FALSE)</f>
        <v>0</v>
      </c>
      <c r="E338" s="149"/>
      <c r="F338" s="153">
        <v>-130136515.166667</v>
      </c>
      <c r="G338" s="107">
        <v>0</v>
      </c>
      <c r="H338" s="107">
        <f t="shared" si="13"/>
        <v>-130136515.166667</v>
      </c>
      <c r="I338" s="107"/>
    </row>
    <row r="339" spans="1:12" hidden="1" outlineLevel="1">
      <c r="B339" s="94" t="s">
        <v>636</v>
      </c>
      <c r="C339" s="94" t="s">
        <v>541</v>
      </c>
      <c r="D339" s="241">
        <f>VLOOKUP(C339,[4]Factors!$B$1:$E$65536,4,FALSE)</f>
        <v>6.272684867489163E-2</v>
      </c>
      <c r="F339" s="107">
        <v>-3980331.125</v>
      </c>
      <c r="G339" s="107">
        <v>-249673.62815383615</v>
      </c>
      <c r="H339" s="107">
        <f t="shared" si="13"/>
        <v>-3980331.125</v>
      </c>
      <c r="I339" s="107"/>
    </row>
    <row r="340" spans="1:12" hidden="1" outlineLevel="1">
      <c r="B340" s="94" t="s">
        <v>637</v>
      </c>
      <c r="C340" s="94" t="s">
        <v>268</v>
      </c>
      <c r="D340" s="241">
        <f>VLOOKUP(C340,[4]Factors!$B$1:$E$65536,4,FALSE)</f>
        <v>0</v>
      </c>
      <c r="F340" s="107">
        <v>-18253.583333333332</v>
      </c>
      <c r="G340" s="107">
        <v>0</v>
      </c>
      <c r="H340" s="107">
        <f t="shared" si="13"/>
        <v>-18253.583333333332</v>
      </c>
      <c r="I340" s="107"/>
    </row>
    <row r="341" spans="1:12" hidden="1" outlineLevel="1">
      <c r="B341" s="94" t="s">
        <v>638</v>
      </c>
      <c r="C341" s="94" t="s">
        <v>268</v>
      </c>
      <c r="D341" s="241">
        <f>VLOOKUP(C341,[4]Factors!$B$1:$E$65536,4,FALSE)</f>
        <v>0</v>
      </c>
      <c r="F341" s="107">
        <v>-272393.91666666669</v>
      </c>
      <c r="G341" s="107">
        <v>0</v>
      </c>
      <c r="H341" s="107">
        <f t="shared" si="13"/>
        <v>-272393.91666666669</v>
      </c>
      <c r="I341" s="107"/>
    </row>
    <row r="342" spans="1:12" hidden="1" outlineLevel="1">
      <c r="B342" s="94" t="s">
        <v>639</v>
      </c>
      <c r="C342" s="94" t="s">
        <v>268</v>
      </c>
      <c r="D342" s="241">
        <f>VLOOKUP(C342,[4]Factors!$B$1:$E$65536,4,FALSE)</f>
        <v>0</v>
      </c>
      <c r="F342" s="107">
        <v>16887.458333333332</v>
      </c>
      <c r="G342" s="107">
        <v>0</v>
      </c>
      <c r="H342" s="107">
        <f t="shared" si="13"/>
        <v>16887.458333333332</v>
      </c>
      <c r="I342" s="107"/>
    </row>
    <row r="343" spans="1:12" hidden="1" outlineLevel="1">
      <c r="B343" s="94" t="s">
        <v>640</v>
      </c>
      <c r="C343" s="94" t="s">
        <v>268</v>
      </c>
      <c r="D343" s="241">
        <f>VLOOKUP(C343,[4]Factors!$B$1:$E$65536,4,FALSE)</f>
        <v>0</v>
      </c>
      <c r="F343" s="107">
        <v>-234756.66666666666</v>
      </c>
      <c r="G343" s="107">
        <v>0</v>
      </c>
      <c r="H343" s="107">
        <f t="shared" si="13"/>
        <v>-234756.66666666666</v>
      </c>
      <c r="I343" s="107"/>
    </row>
    <row r="344" spans="1:12" hidden="1" outlineLevel="1">
      <c r="B344" s="94" t="s">
        <v>641</v>
      </c>
      <c r="C344" s="94" t="s">
        <v>318</v>
      </c>
      <c r="D344" s="241">
        <f>VLOOKUP(C344,[4]Factors!$B$1:$E$65536,4,FALSE)</f>
        <v>0</v>
      </c>
      <c r="F344" s="107">
        <v>-6268665.875</v>
      </c>
      <c r="G344" s="107">
        <v>0</v>
      </c>
      <c r="H344" s="107">
        <f t="shared" si="13"/>
        <v>-6268665.875</v>
      </c>
      <c r="I344" s="107"/>
    </row>
    <row r="345" spans="1:12" hidden="1" outlineLevel="1">
      <c r="B345" s="94" t="s">
        <v>642</v>
      </c>
      <c r="C345" s="94" t="s">
        <v>407</v>
      </c>
      <c r="D345" s="241">
        <f>VLOOKUP(C345,[4]Factors!$B$1:$E$65536,4,FALSE)</f>
        <v>7.5708155171090558E-2</v>
      </c>
      <c r="F345" s="107">
        <v>-3815321.1937499992</v>
      </c>
      <c r="G345" s="107">
        <v>-288850.9289639754</v>
      </c>
      <c r="H345" s="107">
        <f t="shared" si="13"/>
        <v>-3815321.1937499992</v>
      </c>
      <c r="I345" s="107"/>
    </row>
    <row r="346" spans="1:12" hidden="1" outlineLevel="1">
      <c r="B346" s="94" t="s">
        <v>643</v>
      </c>
      <c r="C346" s="94" t="s">
        <v>268</v>
      </c>
      <c r="D346" s="241">
        <f>VLOOKUP(C346,[4]Factors!$B$1:$E$65536,4,FALSE)</f>
        <v>0</v>
      </c>
      <c r="F346" s="107">
        <v>584688.04166666663</v>
      </c>
      <c r="G346" s="107">
        <v>0</v>
      </c>
      <c r="H346" s="107">
        <f t="shared" si="13"/>
        <v>584688.04166666663</v>
      </c>
      <c r="I346" s="107"/>
    </row>
    <row r="347" spans="1:12" hidden="1" outlineLevel="1">
      <c r="B347" s="94" t="s">
        <v>644</v>
      </c>
      <c r="C347" s="94" t="s">
        <v>268</v>
      </c>
      <c r="D347" s="241">
        <f>VLOOKUP(C347,[4]Factors!$B$1:$E$65536,4,FALSE)</f>
        <v>0</v>
      </c>
      <c r="F347" s="107">
        <v>-35333.666666666664</v>
      </c>
      <c r="G347" s="107">
        <v>0</v>
      </c>
      <c r="H347" s="107">
        <f t="shared" si="13"/>
        <v>-35333.666666666664</v>
      </c>
      <c r="I347" s="107"/>
    </row>
    <row r="348" spans="1:12" hidden="1" outlineLevel="1">
      <c r="B348" s="94" t="s">
        <v>645</v>
      </c>
      <c r="C348" s="94" t="s">
        <v>268</v>
      </c>
      <c r="D348" s="241">
        <f>VLOOKUP(C348,[4]Factors!$B$1:$E$65536,4,FALSE)</f>
        <v>0</v>
      </c>
      <c r="F348" s="107">
        <v>2190.2916666666665</v>
      </c>
      <c r="G348" s="107">
        <v>0</v>
      </c>
      <c r="H348" s="107">
        <f t="shared" si="13"/>
        <v>2190.2916666666665</v>
      </c>
      <c r="I348" s="107"/>
    </row>
    <row r="349" spans="1:12" hidden="1" outlineLevel="1">
      <c r="B349" s="94" t="s">
        <v>646</v>
      </c>
      <c r="C349" s="94" t="s">
        <v>268</v>
      </c>
      <c r="D349" s="241">
        <f>VLOOKUP(C349,[4]Factors!$B$1:$E$65536,4,FALSE)</f>
        <v>0</v>
      </c>
      <c r="F349" s="107">
        <v>-1594329.2083333333</v>
      </c>
      <c r="G349" s="107">
        <v>0</v>
      </c>
      <c r="H349" s="107">
        <f t="shared" si="13"/>
        <v>-1594329.2083333333</v>
      </c>
      <c r="I349" s="107"/>
    </row>
    <row r="350" spans="1:12" hidden="1" outlineLevel="1">
      <c r="B350" s="94" t="s">
        <v>647</v>
      </c>
      <c r="C350" s="94" t="s">
        <v>268</v>
      </c>
      <c r="D350" s="241">
        <f>VLOOKUP(C350,[4]Factors!$B$1:$E$65536,4,FALSE)</f>
        <v>0</v>
      </c>
      <c r="F350" s="107">
        <v>-85522.208333333328</v>
      </c>
      <c r="G350" s="107">
        <v>0</v>
      </c>
      <c r="H350" s="107">
        <f t="shared" si="13"/>
        <v>-85522.208333333328</v>
      </c>
      <c r="I350" s="107"/>
    </row>
    <row r="351" spans="1:12" collapsed="1">
      <c r="A351" s="101" t="s">
        <v>12</v>
      </c>
      <c r="B351" s="101"/>
      <c r="C351" s="101"/>
      <c r="D351" s="101"/>
      <c r="E351" s="101"/>
      <c r="F351" s="102">
        <f>SUM(F246:F350)</f>
        <v>-715593425.52541709</v>
      </c>
      <c r="G351" s="102">
        <v>-7603672.781693534</v>
      </c>
      <c r="H351" s="102">
        <f>SUM(H246:H350)</f>
        <v>-423205252.9420836</v>
      </c>
      <c r="I351" s="102">
        <f>SUM(I246:I350)</f>
        <v>-253329896.83333337</v>
      </c>
      <c r="K351" s="106">
        <f>+'ISWC - As Approved'!P166+F351</f>
        <v>0</v>
      </c>
      <c r="L351" s="106">
        <f>+'ISWC - As Approved'!X166-G351</f>
        <v>0</v>
      </c>
    </row>
  </sheetData>
  <mergeCells count="1">
    <mergeCell ref="K4:L4"/>
  </mergeCells>
  <pageMargins left="0.7" right="0.7" top="0.75" bottom="0.75" header="0.3" footer="0.3"/>
  <pageSetup scale="58" fitToHeight="0" orientation="portrait"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B1:N78"/>
  <sheetViews>
    <sheetView zoomScaleNormal="100" workbookViewId="0"/>
  </sheetViews>
  <sheetFormatPr defaultRowHeight="12"/>
  <cols>
    <col min="1" max="1" width="1.5703125" style="109" customWidth="1"/>
    <col min="2" max="2" width="30.7109375" style="109" customWidth="1"/>
    <col min="3" max="3" width="23.42578125" style="109" customWidth="1"/>
    <col min="4" max="4" width="30" style="109" customWidth="1"/>
    <col min="5" max="5" width="20.5703125" style="109" customWidth="1"/>
    <col min="6" max="6" width="16.140625" style="109" customWidth="1"/>
    <col min="7" max="7" width="24.5703125" style="109" customWidth="1"/>
    <col min="8" max="8" width="8.85546875" style="109" customWidth="1"/>
    <col min="9" max="12" width="13.5703125" style="109" bestFit="1" customWidth="1"/>
    <col min="13" max="15" width="14.140625" style="109" bestFit="1" customWidth="1"/>
    <col min="16" max="16384" width="9.140625" style="109"/>
  </cols>
  <sheetData>
    <row r="1" spans="2:14" ht="18.75">
      <c r="B1" s="93" t="s">
        <v>667</v>
      </c>
    </row>
    <row r="2" spans="2:14" ht="15">
      <c r="B2" s="95" t="s">
        <v>778</v>
      </c>
    </row>
    <row r="3" spans="2:14">
      <c r="B3" s="108"/>
    </row>
    <row r="4" spans="2:14" ht="12.75" thickBot="1"/>
    <row r="5" spans="2:14" ht="23.25" customHeight="1" thickBot="1">
      <c r="B5" s="110"/>
      <c r="C5" s="111" t="s">
        <v>649</v>
      </c>
      <c r="D5" s="253" t="s">
        <v>776</v>
      </c>
      <c r="E5" s="112" t="s">
        <v>650</v>
      </c>
      <c r="F5" s="254"/>
    </row>
    <row r="6" spans="2:14" ht="26.25" thickBot="1">
      <c r="B6" s="113"/>
      <c r="C6" s="114" t="s">
        <v>651</v>
      </c>
      <c r="D6" s="115" t="s">
        <v>652</v>
      </c>
      <c r="E6" s="116" t="s">
        <v>653</v>
      </c>
      <c r="F6" s="255"/>
      <c r="K6" s="117"/>
      <c r="L6" s="117"/>
      <c r="M6" s="117"/>
      <c r="N6" s="117"/>
    </row>
    <row r="7" spans="2:14" ht="12.75">
      <c r="B7" s="118">
        <v>40695</v>
      </c>
      <c r="C7" s="119">
        <v>1734854643.03</v>
      </c>
      <c r="D7" s="257">
        <v>576721811.88</v>
      </c>
      <c r="E7" s="120">
        <f>C7-D7</f>
        <v>1158132831.1500001</v>
      </c>
      <c r="F7" s="249"/>
      <c r="H7" s="121"/>
      <c r="K7" s="117"/>
      <c r="L7" s="117"/>
      <c r="M7" s="117"/>
      <c r="N7" s="117"/>
    </row>
    <row r="8" spans="2:14" ht="12.75">
      <c r="B8" s="122">
        <v>40725</v>
      </c>
      <c r="C8" s="119">
        <v>1792493711.3599999</v>
      </c>
      <c r="D8" s="257">
        <v>573600124.17999995</v>
      </c>
      <c r="E8" s="120">
        <f t="shared" ref="E8:E19" si="0">C8-D8</f>
        <v>1218893587.1799998</v>
      </c>
      <c r="F8" s="249"/>
      <c r="H8" s="121"/>
      <c r="K8" s="117"/>
      <c r="L8" s="117"/>
      <c r="M8" s="117"/>
      <c r="N8" s="117"/>
    </row>
    <row r="9" spans="2:14" ht="12.75">
      <c r="B9" s="122">
        <v>40756</v>
      </c>
      <c r="C9" s="119">
        <v>1761310118.45</v>
      </c>
      <c r="D9" s="257">
        <v>570775045.77999997</v>
      </c>
      <c r="E9" s="120">
        <f t="shared" si="0"/>
        <v>1190535072.6700001</v>
      </c>
      <c r="F9" s="249"/>
      <c r="H9" s="121"/>
      <c r="K9" s="117"/>
      <c r="L9" s="117"/>
      <c r="M9" s="117"/>
      <c r="N9" s="117"/>
    </row>
    <row r="10" spans="2:14" ht="12.75">
      <c r="B10" s="122">
        <v>40787</v>
      </c>
      <c r="C10" s="119">
        <v>1750711757.6600001</v>
      </c>
      <c r="D10" s="257">
        <v>567349496.57000005</v>
      </c>
      <c r="E10" s="120">
        <f t="shared" si="0"/>
        <v>1183362261.0900002</v>
      </c>
      <c r="F10" s="249"/>
      <c r="H10" s="121"/>
      <c r="K10" s="117"/>
      <c r="L10" s="117"/>
      <c r="M10" s="117"/>
      <c r="N10" s="117"/>
    </row>
    <row r="11" spans="2:14" ht="12.75">
      <c r="B11" s="122">
        <v>40817</v>
      </c>
      <c r="C11" s="119">
        <v>1722826104.52</v>
      </c>
      <c r="D11" s="257">
        <v>564227808.88999999</v>
      </c>
      <c r="E11" s="120">
        <f t="shared" si="0"/>
        <v>1158598295.6300001</v>
      </c>
      <c r="F11" s="249"/>
      <c r="H11" s="121"/>
      <c r="K11" s="117"/>
      <c r="L11" s="117"/>
      <c r="M11" s="117"/>
      <c r="N11" s="117"/>
    </row>
    <row r="12" spans="2:14" ht="12.75">
      <c r="B12" s="122">
        <v>40848</v>
      </c>
      <c r="C12" s="119">
        <v>1736666394.3800001</v>
      </c>
      <c r="D12" s="257">
        <v>561106368.44000006</v>
      </c>
      <c r="E12" s="120">
        <f t="shared" si="0"/>
        <v>1175560025.9400001</v>
      </c>
      <c r="F12" s="249"/>
      <c r="H12" s="121"/>
      <c r="K12" s="117"/>
      <c r="L12" s="117"/>
      <c r="M12" s="117"/>
      <c r="N12" s="117"/>
    </row>
    <row r="13" spans="2:14" ht="12.75">
      <c r="B13" s="122">
        <v>40878</v>
      </c>
      <c r="C13" s="119">
        <v>1874535670.9200001</v>
      </c>
      <c r="D13" s="257">
        <v>728497656.27999997</v>
      </c>
      <c r="E13" s="120">
        <f t="shared" si="0"/>
        <v>1146038014.6400001</v>
      </c>
      <c r="F13" s="249"/>
      <c r="H13" s="121"/>
      <c r="K13" s="117"/>
      <c r="L13" s="117"/>
      <c r="M13" s="117"/>
      <c r="N13" s="117"/>
    </row>
    <row r="14" spans="2:14" ht="12.75">
      <c r="B14" s="122">
        <v>40909</v>
      </c>
      <c r="C14" s="119">
        <v>1894207267.27</v>
      </c>
      <c r="D14" s="257">
        <v>725149349</v>
      </c>
      <c r="E14" s="120">
        <f t="shared" si="0"/>
        <v>1169057918.27</v>
      </c>
      <c r="F14" s="249"/>
      <c r="H14" s="121"/>
      <c r="K14" s="117"/>
      <c r="L14" s="117"/>
      <c r="M14" s="117"/>
      <c r="N14" s="117"/>
    </row>
    <row r="15" spans="2:14" ht="12.75">
      <c r="B15" s="122">
        <v>40940</v>
      </c>
      <c r="C15" s="119">
        <v>1867152369.53</v>
      </c>
      <c r="D15" s="257">
        <v>722225184.63999999</v>
      </c>
      <c r="E15" s="120">
        <f t="shared" si="0"/>
        <v>1144927184.8899999</v>
      </c>
      <c r="F15" s="249"/>
      <c r="H15" s="121"/>
      <c r="K15" s="117"/>
      <c r="L15" s="117"/>
      <c r="M15" s="117"/>
      <c r="N15" s="117"/>
    </row>
    <row r="16" spans="2:14" ht="12.75">
      <c r="B16" s="122">
        <v>40969</v>
      </c>
      <c r="C16" s="119">
        <v>1896130240.8599999</v>
      </c>
      <c r="D16" s="257">
        <v>719088948.82000005</v>
      </c>
      <c r="E16" s="120">
        <f t="shared" si="0"/>
        <v>1177041292.04</v>
      </c>
      <c r="F16" s="249"/>
      <c r="H16" s="121"/>
      <c r="K16" s="117"/>
      <c r="L16" s="117"/>
      <c r="M16" s="117"/>
      <c r="N16" s="117"/>
    </row>
    <row r="17" spans="2:14" ht="12.75">
      <c r="B17" s="122">
        <v>41000</v>
      </c>
      <c r="C17" s="119">
        <v>1877281334.51</v>
      </c>
      <c r="D17" s="257">
        <v>715952713</v>
      </c>
      <c r="E17" s="120">
        <f t="shared" si="0"/>
        <v>1161328621.51</v>
      </c>
      <c r="F17" s="249"/>
      <c r="H17" s="121"/>
      <c r="I17" s="117"/>
      <c r="J17" s="117"/>
      <c r="K17" s="117"/>
      <c r="L17" s="117"/>
      <c r="M17" s="117"/>
      <c r="N17" s="117"/>
    </row>
    <row r="18" spans="2:14" ht="12.75">
      <c r="B18" s="122">
        <v>41030</v>
      </c>
      <c r="C18" s="119">
        <v>1846018075.21</v>
      </c>
      <c r="D18" s="257">
        <v>712816477.15999997</v>
      </c>
      <c r="E18" s="120">
        <f t="shared" si="0"/>
        <v>1133201598.0500002</v>
      </c>
      <c r="F18" s="249"/>
      <c r="H18" s="121"/>
      <c r="I18" s="117"/>
      <c r="J18" s="117"/>
      <c r="K18" s="117"/>
      <c r="L18" s="117"/>
      <c r="M18" s="117"/>
      <c r="N18" s="117"/>
    </row>
    <row r="19" spans="2:14" ht="13.5" thickBot="1">
      <c r="B19" s="123">
        <v>41061</v>
      </c>
      <c r="C19" s="119">
        <v>1819877305.8199999</v>
      </c>
      <c r="D19" s="257">
        <v>709680241.35000002</v>
      </c>
      <c r="E19" s="120">
        <f t="shared" si="0"/>
        <v>1110197064.4699998</v>
      </c>
      <c r="F19" s="249"/>
      <c r="H19" s="121"/>
      <c r="I19" s="117"/>
      <c r="J19" s="117"/>
      <c r="K19" s="117"/>
      <c r="L19" s="117"/>
      <c r="M19" s="117"/>
      <c r="N19" s="117"/>
    </row>
    <row r="20" spans="2:14" ht="13.5" thickBot="1">
      <c r="B20" s="124" t="s">
        <v>175</v>
      </c>
      <c r="C20" s="125">
        <f>(C7+2*SUM(C8:C18)+C19)/24</f>
        <v>1816391584.9245832</v>
      </c>
      <c r="D20" s="126">
        <f>(D7+2*SUM(D8:D18)+D19)/24</f>
        <v>650332516.61458337</v>
      </c>
      <c r="E20" s="127">
        <f>(E7+2*SUM(E8:E18)+E19)/24</f>
        <v>1166059068.3100002</v>
      </c>
      <c r="F20" s="256"/>
      <c r="H20" s="117"/>
      <c r="I20" s="117"/>
      <c r="J20" s="117"/>
      <c r="K20" s="117"/>
      <c r="L20" s="117"/>
      <c r="M20" s="117"/>
      <c r="N20" s="117"/>
    </row>
    <row r="21" spans="2:14" ht="12.75">
      <c r="B21" s="117"/>
      <c r="C21" s="117"/>
      <c r="D21" s="117"/>
      <c r="E21" s="117"/>
      <c r="F21" s="117"/>
      <c r="G21" s="117"/>
      <c r="H21" s="117"/>
      <c r="I21" s="117"/>
      <c r="J21" s="117"/>
      <c r="K21" s="117"/>
      <c r="L21" s="117"/>
      <c r="M21" s="117"/>
      <c r="N21" s="117"/>
    </row>
    <row r="23" spans="2:14" ht="12.75">
      <c r="B23" s="50" t="s">
        <v>654</v>
      </c>
      <c r="C23"/>
      <c r="D23"/>
      <c r="E23"/>
      <c r="F23"/>
      <c r="G23"/>
      <c r="H23"/>
    </row>
    <row r="24" spans="2:14" ht="13.5" thickBot="1">
      <c r="B24"/>
      <c r="C24" s="50"/>
      <c r="D24"/>
      <c r="E24"/>
      <c r="F24"/>
      <c r="G24"/>
      <c r="H24"/>
    </row>
    <row r="25" spans="2:14" ht="12.75">
      <c r="B25" s="128"/>
      <c r="C25" s="129" t="s">
        <v>655</v>
      </c>
      <c r="D25" s="129" t="s">
        <v>656</v>
      </c>
      <c r="E25" s="129" t="s">
        <v>657</v>
      </c>
      <c r="F25" s="129" t="s">
        <v>658</v>
      </c>
      <c r="G25" s="129" t="s">
        <v>659</v>
      </c>
      <c r="H25" s="130"/>
    </row>
    <row r="26" spans="2:14" ht="12.75">
      <c r="B26" s="131" t="s">
        <v>210</v>
      </c>
      <c r="C26" s="132">
        <v>174</v>
      </c>
      <c r="D26" s="132">
        <v>186</v>
      </c>
      <c r="E26" s="132">
        <v>182.3</v>
      </c>
      <c r="F26" s="132">
        <v>242</v>
      </c>
      <c r="G26" s="132">
        <v>253</v>
      </c>
      <c r="H26" s="133"/>
    </row>
    <row r="27" spans="2:14" ht="13.5" thickBot="1">
      <c r="B27" s="131" t="s">
        <v>660</v>
      </c>
      <c r="C27" s="132">
        <v>139940</v>
      </c>
      <c r="D27" s="132">
        <v>185940</v>
      </c>
      <c r="E27" s="132">
        <v>187940</v>
      </c>
      <c r="F27" s="134">
        <v>248940</v>
      </c>
      <c r="G27" s="134">
        <v>283940</v>
      </c>
      <c r="H27" s="133" t="s">
        <v>661</v>
      </c>
    </row>
    <row r="28" spans="2:14" ht="12.75">
      <c r="B28" s="135">
        <v>40695</v>
      </c>
      <c r="C28" s="250">
        <v>0</v>
      </c>
      <c r="D28" s="250">
        <v>0</v>
      </c>
      <c r="E28" s="250">
        <v>20971832</v>
      </c>
      <c r="F28" s="250">
        <v>-5137394</v>
      </c>
      <c r="G28" s="250">
        <v>-15834438</v>
      </c>
      <c r="H28" s="136">
        <f t="shared" ref="H28:H41" si="1">SUM(C28:G28)</f>
        <v>0</v>
      </c>
    </row>
    <row r="29" spans="2:14" ht="12.75">
      <c r="B29" s="122">
        <v>40725</v>
      </c>
      <c r="C29" s="251">
        <v>0</v>
      </c>
      <c r="D29" s="251">
        <v>0</v>
      </c>
      <c r="E29" s="251">
        <v>21257067.859999999</v>
      </c>
      <c r="F29" s="251">
        <v>-5859968.0099999998</v>
      </c>
      <c r="G29" s="251">
        <v>-15397099.85</v>
      </c>
      <c r="H29" s="137">
        <f t="shared" si="1"/>
        <v>0</v>
      </c>
    </row>
    <row r="30" spans="2:14" ht="12.75">
      <c r="B30" s="122">
        <v>40756</v>
      </c>
      <c r="C30" s="251">
        <v>0</v>
      </c>
      <c r="D30" s="251">
        <v>0</v>
      </c>
      <c r="E30" s="251">
        <v>20743294.449999999</v>
      </c>
      <c r="F30" s="251">
        <v>-5707348.3099999996</v>
      </c>
      <c r="G30" s="251">
        <v>-15035946.140000001</v>
      </c>
      <c r="H30" s="137">
        <f t="shared" si="1"/>
        <v>0</v>
      </c>
    </row>
    <row r="31" spans="2:14" ht="12.75">
      <c r="B31" s="122">
        <v>40787</v>
      </c>
      <c r="C31" s="251">
        <v>0</v>
      </c>
      <c r="D31" s="251">
        <v>0</v>
      </c>
      <c r="E31" s="251">
        <v>20151452.449999999</v>
      </c>
      <c r="F31" s="251">
        <v>-5478851.3099999996</v>
      </c>
      <c r="G31" s="251">
        <v>-14672601.140000001</v>
      </c>
      <c r="H31" s="137">
        <f>SUM(C31:G31)</f>
        <v>0</v>
      </c>
    </row>
    <row r="32" spans="2:14" ht="12.75">
      <c r="B32" s="122">
        <v>40817</v>
      </c>
      <c r="C32" s="251">
        <v>0</v>
      </c>
      <c r="D32" s="251">
        <v>0</v>
      </c>
      <c r="E32" s="251">
        <v>19534894.449999999</v>
      </c>
      <c r="F32" s="251">
        <v>-5279516.3099999996</v>
      </c>
      <c r="G32" s="251">
        <v>-14255378.140000001</v>
      </c>
      <c r="H32" s="137">
        <f t="shared" si="1"/>
        <v>0</v>
      </c>
    </row>
    <row r="33" spans="2:10" ht="12.75">
      <c r="B33" s="122">
        <v>40848</v>
      </c>
      <c r="C33" s="251">
        <v>0</v>
      </c>
      <c r="D33" s="251">
        <v>0</v>
      </c>
      <c r="E33" s="251">
        <v>19082159.449999999</v>
      </c>
      <c r="F33" s="251">
        <v>-5096192.3099999996</v>
      </c>
      <c r="G33" s="251">
        <v>-13985967.140000001</v>
      </c>
      <c r="H33" s="137">
        <f t="shared" si="1"/>
        <v>0</v>
      </c>
    </row>
    <row r="34" spans="2:10" ht="12.75">
      <c r="B34" s="122">
        <v>40878</v>
      </c>
      <c r="C34" s="251">
        <v>2574464</v>
      </c>
      <c r="D34" s="251">
        <v>478212</v>
      </c>
      <c r="E34" s="251">
        <v>186949133.44999999</v>
      </c>
      <c r="F34" s="251">
        <v>-23495569.309999999</v>
      </c>
      <c r="G34" s="251">
        <v>-166506240.13999999</v>
      </c>
      <c r="H34" s="137">
        <f>SUM(C34:G34)</f>
        <v>0</v>
      </c>
    </row>
    <row r="35" spans="2:10" ht="12.75">
      <c r="B35" s="122">
        <v>40909</v>
      </c>
      <c r="C35" s="251">
        <v>2757414</v>
      </c>
      <c r="D35" s="251">
        <v>478212</v>
      </c>
      <c r="E35" s="251">
        <v>186949132</v>
      </c>
      <c r="F35" s="251">
        <v>-23678518</v>
      </c>
      <c r="G35" s="251">
        <v>-166506240</v>
      </c>
      <c r="H35" s="137">
        <f t="shared" si="1"/>
        <v>0</v>
      </c>
    </row>
    <row r="36" spans="2:10" ht="12.75">
      <c r="B36" s="122">
        <v>40940</v>
      </c>
      <c r="C36" s="251">
        <v>2558291</v>
      </c>
      <c r="D36" s="251">
        <v>433468</v>
      </c>
      <c r="E36" s="251">
        <v>184071203</v>
      </c>
      <c r="F36" s="251">
        <v>-13476850</v>
      </c>
      <c r="G36" s="251">
        <v>-173586112</v>
      </c>
      <c r="H36" s="137">
        <f t="shared" si="1"/>
        <v>0</v>
      </c>
    </row>
    <row r="37" spans="2:10" ht="12.75">
      <c r="B37" s="122">
        <v>40969</v>
      </c>
      <c r="C37" s="251">
        <v>2334726</v>
      </c>
      <c r="D37" s="251">
        <v>399822</v>
      </c>
      <c r="E37" s="251">
        <v>184152247</v>
      </c>
      <c r="F37" s="251">
        <v>-13644583</v>
      </c>
      <c r="G37" s="251">
        <v>-173242212</v>
      </c>
      <c r="H37" s="137">
        <f>SUM(C37:G37)</f>
        <v>0</v>
      </c>
    </row>
    <row r="38" spans="2:10" ht="12.75">
      <c r="B38" s="122">
        <v>41000</v>
      </c>
      <c r="C38" s="251">
        <v>1977025</v>
      </c>
      <c r="D38" s="251">
        <v>408989</v>
      </c>
      <c r="E38" s="251">
        <v>184220180</v>
      </c>
      <c r="F38" s="251">
        <v>-14056164</v>
      </c>
      <c r="G38" s="251">
        <v>-172550030</v>
      </c>
      <c r="H38" s="137">
        <f t="shared" si="1"/>
        <v>0</v>
      </c>
    </row>
    <row r="39" spans="2:10" ht="12.75">
      <c r="B39" s="122">
        <v>41030</v>
      </c>
      <c r="C39" s="251">
        <v>1935890</v>
      </c>
      <c r="D39" s="251">
        <v>449448</v>
      </c>
      <c r="E39" s="251">
        <v>181486179</v>
      </c>
      <c r="F39" s="251">
        <v>-14434106</v>
      </c>
      <c r="G39" s="251">
        <v>-169437411</v>
      </c>
      <c r="H39" s="137">
        <f t="shared" si="1"/>
        <v>0</v>
      </c>
    </row>
    <row r="40" spans="2:10" ht="13.5" thickBot="1">
      <c r="B40" s="123">
        <v>41061</v>
      </c>
      <c r="C40" s="252">
        <v>1743859</v>
      </c>
      <c r="D40" s="251">
        <v>465857</v>
      </c>
      <c r="E40" s="251">
        <v>176330644</v>
      </c>
      <c r="F40" s="251">
        <v>-15037830</v>
      </c>
      <c r="G40" s="251">
        <v>-163502530</v>
      </c>
      <c r="H40" s="137">
        <f t="shared" si="1"/>
        <v>0</v>
      </c>
    </row>
    <row r="41" spans="2:10" ht="13.5" thickBot="1">
      <c r="B41" s="138" t="s">
        <v>175</v>
      </c>
      <c r="C41" s="126">
        <f>(C28+2*SUM(C29:C39)+C40)/24</f>
        <v>1250811.625</v>
      </c>
      <c r="D41" s="126">
        <f>(D28+2*SUM(D29:D39)+D40)/24</f>
        <v>240089.95833333334</v>
      </c>
      <c r="E41" s="126">
        <f>(E28+2*SUM(E29:E39)+E40)/24</f>
        <v>108937348.42583334</v>
      </c>
      <c r="F41" s="126">
        <f>(F28+2*SUM(F29:F39)+F40)/24</f>
        <v>-11691273.213333333</v>
      </c>
      <c r="G41" s="126">
        <f>(G28+2*SUM(G29:G39)+G40)/24</f>
        <v>-98736976.795833334</v>
      </c>
      <c r="H41" s="139">
        <f t="shared" si="1"/>
        <v>0</v>
      </c>
    </row>
    <row r="44" spans="2:10">
      <c r="B44" s="109" t="s">
        <v>663</v>
      </c>
    </row>
    <row r="45" spans="2:10">
      <c r="F45" s="259"/>
      <c r="G45" s="259"/>
      <c r="H45" s="259"/>
      <c r="I45" s="259"/>
      <c r="J45" s="259"/>
    </row>
    <row r="46" spans="2:10" ht="13.5" thickBot="1">
      <c r="D46" s="144" t="s">
        <v>664</v>
      </c>
      <c r="E46" s="144"/>
      <c r="F46" s="259"/>
      <c r="G46" s="259"/>
      <c r="H46" s="259"/>
      <c r="I46" s="260"/>
      <c r="J46" s="259"/>
    </row>
    <row r="47" spans="2:10" ht="13.5" thickBot="1">
      <c r="B47" s="146" t="s">
        <v>210</v>
      </c>
      <c r="C47" s="145">
        <v>190</v>
      </c>
      <c r="F47" s="260"/>
      <c r="G47" s="134"/>
      <c r="H47" s="259"/>
      <c r="I47" s="259"/>
      <c r="J47" s="259"/>
    </row>
    <row r="48" spans="2:10" ht="12.75">
      <c r="B48" s="135">
        <v>40695</v>
      </c>
      <c r="C48" s="264">
        <v>126217371</v>
      </c>
      <c r="F48" s="258"/>
      <c r="G48" s="261"/>
      <c r="H48" s="259"/>
      <c r="I48" s="259"/>
      <c r="J48" s="259"/>
    </row>
    <row r="49" spans="2:10" ht="15">
      <c r="B49" s="122">
        <v>40725</v>
      </c>
      <c r="C49" s="265">
        <v>126217371</v>
      </c>
      <c r="D49" s="147">
        <v>287460</v>
      </c>
      <c r="E49" s="109" t="s">
        <v>665</v>
      </c>
      <c r="F49" s="258"/>
      <c r="G49" s="261"/>
      <c r="H49" s="259"/>
      <c r="I49" s="259"/>
      <c r="J49" s="259"/>
    </row>
    <row r="50" spans="2:10" ht="15">
      <c r="B50" s="122">
        <v>40756</v>
      </c>
      <c r="C50" s="265">
        <v>126217371</v>
      </c>
      <c r="D50" s="147">
        <v>287461</v>
      </c>
      <c r="E50" s="109" t="s">
        <v>665</v>
      </c>
      <c r="F50" s="258"/>
      <c r="G50" s="261"/>
      <c r="H50" s="259"/>
      <c r="I50" s="259"/>
      <c r="J50" s="259"/>
    </row>
    <row r="51" spans="2:10" ht="15">
      <c r="B51" s="122">
        <v>40787</v>
      </c>
      <c r="C51" s="265">
        <v>122473285</v>
      </c>
      <c r="D51" s="147"/>
      <c r="F51" s="258"/>
      <c r="G51" s="261"/>
      <c r="H51" s="259"/>
      <c r="I51" s="259"/>
      <c r="J51" s="259"/>
    </row>
    <row r="52" spans="2:10" ht="12.75">
      <c r="B52" s="122">
        <v>40817</v>
      </c>
      <c r="C52" s="265">
        <v>122473285</v>
      </c>
      <c r="F52" s="258"/>
      <c r="G52" s="261"/>
      <c r="H52" s="259"/>
      <c r="I52" s="259"/>
      <c r="J52" s="259"/>
    </row>
    <row r="53" spans="2:10" ht="12.75">
      <c r="B53" s="122">
        <v>40848</v>
      </c>
      <c r="C53" s="265">
        <v>122473285</v>
      </c>
      <c r="F53" s="258"/>
      <c r="G53" s="261"/>
      <c r="H53" s="259"/>
      <c r="I53" s="259"/>
      <c r="J53" s="259"/>
    </row>
    <row r="54" spans="2:10" ht="15">
      <c r="B54" s="122">
        <v>40878</v>
      </c>
      <c r="C54" s="265">
        <v>167814476</v>
      </c>
      <c r="E54" s="147"/>
      <c r="F54" s="258"/>
      <c r="G54" s="261"/>
      <c r="H54" s="259"/>
      <c r="I54" s="259"/>
      <c r="J54" s="259"/>
    </row>
    <row r="55" spans="2:10" ht="12.75">
      <c r="B55" s="122">
        <v>40909</v>
      </c>
      <c r="C55" s="265">
        <v>167814476</v>
      </c>
      <c r="F55" s="258"/>
      <c r="G55" s="261"/>
      <c r="H55" s="259"/>
      <c r="I55" s="259"/>
      <c r="J55" s="259"/>
    </row>
    <row r="56" spans="2:10" ht="12.75">
      <c r="B56" s="122">
        <v>40940</v>
      </c>
      <c r="C56" s="265">
        <v>167814476</v>
      </c>
      <c r="F56" s="258"/>
      <c r="G56" s="261"/>
      <c r="H56" s="259"/>
      <c r="I56" s="259"/>
      <c r="J56" s="259"/>
    </row>
    <row r="57" spans="2:10" ht="12.75">
      <c r="B57" s="122">
        <v>40969</v>
      </c>
      <c r="C57" s="265">
        <v>164688888</v>
      </c>
      <c r="D57" s="240"/>
      <c r="F57" s="258"/>
      <c r="G57" s="261"/>
      <c r="H57" s="259"/>
      <c r="I57" s="259"/>
      <c r="J57" s="259"/>
    </row>
    <row r="58" spans="2:10" ht="15">
      <c r="B58" s="122">
        <v>41000</v>
      </c>
      <c r="C58" s="265">
        <v>164688888</v>
      </c>
      <c r="D58" s="147"/>
      <c r="F58" s="258"/>
      <c r="G58" s="261"/>
      <c r="H58" s="259"/>
      <c r="I58" s="259"/>
      <c r="J58" s="259"/>
    </row>
    <row r="59" spans="2:10" ht="15">
      <c r="B59" s="122">
        <v>41030</v>
      </c>
      <c r="C59" s="265">
        <v>164688888</v>
      </c>
      <c r="D59" s="147"/>
      <c r="F59" s="258"/>
      <c r="G59" s="261"/>
      <c r="H59" s="259"/>
      <c r="I59" s="259"/>
      <c r="J59" s="259"/>
    </row>
    <row r="60" spans="2:10" ht="13.5" thickBot="1">
      <c r="B60" s="123">
        <v>41061</v>
      </c>
      <c r="C60" s="266">
        <v>161439196</v>
      </c>
      <c r="F60" s="258"/>
      <c r="G60" s="261"/>
      <c r="H60" s="259"/>
      <c r="I60" s="259"/>
      <c r="J60" s="259"/>
    </row>
    <row r="61" spans="2:10" ht="13.5" thickBot="1">
      <c r="B61" s="138" t="s">
        <v>175</v>
      </c>
      <c r="C61" s="127">
        <f>(C48+2*SUM(C49:C59)+C60)/24</f>
        <v>146766081.04166666</v>
      </c>
      <c r="F61" s="262"/>
      <c r="G61" s="263"/>
      <c r="H61" s="259"/>
      <c r="I61" s="259"/>
      <c r="J61" s="259"/>
    </row>
    <row r="62" spans="2:10">
      <c r="B62" s="109" t="s">
        <v>768</v>
      </c>
    </row>
    <row r="63" spans="2:10" ht="12.75" thickBot="1"/>
    <row r="64" spans="2:10" ht="13.5" thickBot="1">
      <c r="B64" s="146" t="s">
        <v>210</v>
      </c>
      <c r="C64" s="145">
        <v>228.3</v>
      </c>
      <c r="D64" s="131" t="s">
        <v>664</v>
      </c>
      <c r="E64" s="144"/>
    </row>
    <row r="65" spans="2:5" ht="12.75">
      <c r="B65" s="135">
        <v>40695</v>
      </c>
      <c r="C65" s="264">
        <v>-350790620.05000001</v>
      </c>
      <c r="D65" s="155">
        <v>280328</v>
      </c>
      <c r="E65" s="156" t="s">
        <v>671</v>
      </c>
    </row>
    <row r="66" spans="2:5" ht="12.75">
      <c r="B66" s="122">
        <v>40725</v>
      </c>
      <c r="C66" s="265">
        <v>-343327178.11000001</v>
      </c>
      <c r="D66" s="155">
        <v>280329</v>
      </c>
      <c r="E66" s="156" t="s">
        <v>672</v>
      </c>
    </row>
    <row r="67" spans="2:5" ht="12.75">
      <c r="B67" s="122">
        <v>40756</v>
      </c>
      <c r="C67" s="265">
        <v>-335777726.22000003</v>
      </c>
      <c r="D67" s="155">
        <v>280440</v>
      </c>
      <c r="E67" s="156" t="s">
        <v>673</v>
      </c>
    </row>
    <row r="68" spans="2:5" ht="12.75">
      <c r="B68" s="122">
        <v>40787</v>
      </c>
      <c r="C68" s="265">
        <v>-329437927.16000003</v>
      </c>
      <c r="D68" s="155">
        <v>280454</v>
      </c>
      <c r="E68" s="156" t="s">
        <v>674</v>
      </c>
    </row>
    <row r="69" spans="2:5" ht="12.75">
      <c r="B69" s="122">
        <v>40817</v>
      </c>
      <c r="C69" s="265">
        <v>-329847530.75</v>
      </c>
      <c r="D69" s="155">
        <v>280455</v>
      </c>
      <c r="E69" s="156" t="s">
        <v>675</v>
      </c>
    </row>
    <row r="70" spans="2:5" ht="12.75">
      <c r="B70" s="122">
        <v>40848</v>
      </c>
      <c r="C70" s="265">
        <v>-333294979.37</v>
      </c>
      <c r="D70" s="155">
        <v>280456</v>
      </c>
      <c r="E70" s="156" t="s">
        <v>676</v>
      </c>
    </row>
    <row r="71" spans="2:5" ht="12.75">
      <c r="B71" s="122">
        <v>40878</v>
      </c>
      <c r="C71" s="265">
        <v>-495859098.31</v>
      </c>
      <c r="D71" s="155">
        <v>280457</v>
      </c>
      <c r="E71" s="156" t="s">
        <v>677</v>
      </c>
    </row>
    <row r="72" spans="2:5" ht="12.75">
      <c r="B72" s="122">
        <v>40909</v>
      </c>
      <c r="C72" s="265">
        <v>-490278304.41000003</v>
      </c>
      <c r="D72" s="155">
        <v>280459</v>
      </c>
      <c r="E72" s="156" t="s">
        <v>678</v>
      </c>
    </row>
    <row r="73" spans="2:5" ht="12.75">
      <c r="B73" s="122">
        <v>40940</v>
      </c>
      <c r="C73" s="265">
        <v>-484027597.97000003</v>
      </c>
      <c r="D73" s="155">
        <v>280355</v>
      </c>
      <c r="E73" s="156" t="s">
        <v>679</v>
      </c>
    </row>
    <row r="74" spans="2:5" ht="12.75">
      <c r="B74" s="122">
        <v>40969</v>
      </c>
      <c r="C74" s="265">
        <v>-476302394.56999999</v>
      </c>
      <c r="D74" s="155"/>
      <c r="E74" s="156"/>
    </row>
    <row r="75" spans="2:5" ht="12.75">
      <c r="B75" s="122">
        <v>41000</v>
      </c>
      <c r="C75" s="265">
        <v>-470456348.38999999</v>
      </c>
    </row>
    <row r="76" spans="2:5" ht="12.75">
      <c r="B76" s="122">
        <v>41030</v>
      </c>
      <c r="C76" s="265">
        <v>-463682903.75999999</v>
      </c>
      <c r="D76" s="155"/>
      <c r="E76" s="156"/>
    </row>
    <row r="77" spans="2:5" ht="13.5" thickBot="1">
      <c r="B77" s="123">
        <v>41061</v>
      </c>
      <c r="C77" s="266">
        <v>-455605898.63999999</v>
      </c>
      <c r="D77" s="155"/>
      <c r="E77" s="156"/>
    </row>
    <row r="78" spans="2:5" ht="13.5" thickBot="1">
      <c r="B78" s="138" t="s">
        <v>175</v>
      </c>
      <c r="C78" s="127">
        <f>(C65+2*SUM(C66:C76)+C77)/24</f>
        <v>-412957520.69708329</v>
      </c>
    </row>
  </sheetData>
  <pageMargins left="0.7" right="0.7" top="0.75" bottom="0.75" header="0.3" footer="0.3"/>
  <pageSetup scale="49" orientation="landscape" r:id="rId1"/>
</worksheet>
</file>

<file path=xl/worksheets/sheet6.xml><?xml version="1.0" encoding="utf-8"?>
<worksheet xmlns="http://schemas.openxmlformats.org/spreadsheetml/2006/main" xmlns:r="http://schemas.openxmlformats.org/officeDocument/2006/relationships">
  <dimension ref="B1:AJ62"/>
  <sheetViews>
    <sheetView zoomScale="120" zoomScaleNormal="120" workbookViewId="0">
      <pane xSplit="2" topLeftCell="C1" activePane="topRight" state="frozen"/>
      <selection pane="topRight" activeCell="C1" sqref="C1"/>
    </sheetView>
  </sheetViews>
  <sheetFormatPr defaultRowHeight="12.75"/>
  <cols>
    <col min="1" max="1" width="0.85546875" customWidth="1"/>
    <col min="2" max="2" width="10.140625" customWidth="1"/>
    <col min="3" max="3" width="10.42578125" customWidth="1"/>
    <col min="4" max="4" width="7.7109375" customWidth="1"/>
    <col min="5" max="5" width="7.85546875" customWidth="1"/>
    <col min="6" max="6" width="11.42578125" customWidth="1"/>
    <col min="7" max="7" width="10" customWidth="1"/>
    <col min="8" max="8" width="1.140625" customWidth="1"/>
    <col min="9" max="9" width="9.42578125" customWidth="1"/>
    <col min="10" max="10" width="8" customWidth="1"/>
    <col min="11" max="11" width="10" customWidth="1"/>
    <col min="12" max="12" width="8" customWidth="1"/>
    <col min="13" max="13" width="8.7109375" customWidth="1"/>
    <col min="14" max="14" width="1.42578125" customWidth="1"/>
    <col min="15" max="15" width="10.140625" customWidth="1"/>
    <col min="16" max="18" width="9.140625" customWidth="1"/>
    <col min="19" max="19" width="9.85546875" customWidth="1"/>
    <col min="20" max="20" width="10" customWidth="1"/>
    <col min="21" max="21" width="1.42578125" customWidth="1"/>
    <col min="22" max="22" width="10" customWidth="1"/>
    <col min="23" max="25" width="9.140625" customWidth="1"/>
    <col min="26" max="26" width="9.28515625" customWidth="1"/>
    <col min="27" max="27" width="10.140625" customWidth="1"/>
    <col min="28" max="28" width="1.42578125" customWidth="1"/>
    <col min="29" max="29" width="13.5703125" customWidth="1"/>
    <col min="30" max="30" width="2.42578125" customWidth="1"/>
    <col min="31" max="31" width="14.5703125" customWidth="1"/>
    <col min="32" max="32" width="1.7109375" customWidth="1"/>
    <col min="33" max="33" width="12.7109375" customWidth="1"/>
    <col min="34" max="34" width="12.85546875" customWidth="1"/>
    <col min="35" max="35" width="10.42578125" customWidth="1"/>
    <col min="36" max="36" width="8.42578125" customWidth="1"/>
  </cols>
  <sheetData>
    <row r="1" spans="2:36" s="158" customFormat="1" ht="18.75">
      <c r="B1" s="93" t="s">
        <v>667</v>
      </c>
    </row>
    <row r="2" spans="2:36" s="158" customFormat="1" ht="15">
      <c r="B2" s="95" t="s">
        <v>777</v>
      </c>
    </row>
    <row r="3" spans="2:36" s="158" customFormat="1" ht="15.75" thickBot="1">
      <c r="I3" s="95"/>
    </row>
    <row r="4" spans="2:36" s="158" customFormat="1" ht="15.75" customHeight="1" thickBot="1">
      <c r="B4" s="159"/>
      <c r="C4" s="309" t="s">
        <v>687</v>
      </c>
      <c r="D4" s="310"/>
      <c r="E4" s="310"/>
      <c r="F4" s="310"/>
      <c r="G4" s="311"/>
      <c r="H4" s="160"/>
      <c r="I4" s="309" t="s">
        <v>688</v>
      </c>
      <c r="J4" s="310"/>
      <c r="K4" s="310"/>
      <c r="L4" s="310"/>
      <c r="M4" s="311"/>
      <c r="N4" s="160"/>
      <c r="O4" s="309" t="s">
        <v>689</v>
      </c>
      <c r="P4" s="310"/>
      <c r="Q4" s="310"/>
      <c r="R4" s="310"/>
      <c r="S4" s="310"/>
      <c r="T4" s="311"/>
      <c r="U4" s="160"/>
      <c r="V4" s="309" t="s">
        <v>690</v>
      </c>
      <c r="W4" s="310"/>
      <c r="X4" s="310"/>
      <c r="Y4" s="310"/>
      <c r="Z4" s="310"/>
      <c r="AA4" s="311"/>
      <c r="AC4" s="161" t="s">
        <v>691</v>
      </c>
      <c r="AE4" s="161" t="s">
        <v>692</v>
      </c>
      <c r="AF4" s="162"/>
      <c r="AG4" s="163" t="s">
        <v>769</v>
      </c>
      <c r="AH4" s="164" t="s">
        <v>770</v>
      </c>
      <c r="AI4" s="165" t="s">
        <v>693</v>
      </c>
      <c r="AJ4" s="161" t="s">
        <v>694</v>
      </c>
    </row>
    <row r="5" spans="2:36" s="158" customFormat="1" ht="11.25">
      <c r="B5" s="177" t="s">
        <v>210</v>
      </c>
      <c r="C5" s="167">
        <v>175</v>
      </c>
      <c r="D5" s="168"/>
      <c r="E5" s="168"/>
      <c r="F5" s="168">
        <v>175</v>
      </c>
      <c r="G5" s="169"/>
      <c r="I5" s="167">
        <v>175</v>
      </c>
      <c r="J5" s="168"/>
      <c r="K5" s="168"/>
      <c r="L5" s="168">
        <v>175</v>
      </c>
      <c r="M5" s="169"/>
      <c r="O5" s="167">
        <v>244</v>
      </c>
      <c r="P5" s="168"/>
      <c r="Q5" s="168"/>
      <c r="R5" s="168"/>
      <c r="S5" s="168">
        <v>244</v>
      </c>
      <c r="T5" s="169"/>
      <c r="V5" s="167">
        <v>244</v>
      </c>
      <c r="W5" s="168"/>
      <c r="X5" s="168"/>
      <c r="Y5" s="168"/>
      <c r="Z5" s="168">
        <v>244</v>
      </c>
      <c r="AA5" s="170"/>
      <c r="AC5" s="171">
        <v>182.3</v>
      </c>
      <c r="AE5" s="159"/>
      <c r="AF5" s="162"/>
      <c r="AG5" s="172"/>
      <c r="AH5" s="162"/>
      <c r="AI5" s="173"/>
      <c r="AJ5" s="159"/>
    </row>
    <row r="6" spans="2:36" s="158" customFormat="1" ht="11.25">
      <c r="B6" s="177" t="s">
        <v>660</v>
      </c>
      <c r="C6" s="174">
        <v>139901</v>
      </c>
      <c r="D6" s="160">
        <v>139903</v>
      </c>
      <c r="E6" s="160">
        <v>139911</v>
      </c>
      <c r="F6" s="160">
        <v>139915</v>
      </c>
      <c r="G6" s="175"/>
      <c r="H6" s="176"/>
      <c r="I6" s="172">
        <v>185901</v>
      </c>
      <c r="J6" s="162">
        <v>185903</v>
      </c>
      <c r="K6" s="162">
        <v>185911</v>
      </c>
      <c r="L6" s="162">
        <v>185915</v>
      </c>
      <c r="M6" s="173"/>
      <c r="O6" s="172">
        <v>248901</v>
      </c>
      <c r="P6" s="162">
        <v>248903</v>
      </c>
      <c r="Q6" s="162">
        <v>248911</v>
      </c>
      <c r="R6" s="162">
        <v>248912</v>
      </c>
      <c r="S6" s="162">
        <v>248915</v>
      </c>
      <c r="T6" s="173"/>
      <c r="V6" s="172">
        <v>283901</v>
      </c>
      <c r="W6" s="162">
        <v>283903</v>
      </c>
      <c r="X6" s="162">
        <v>283911</v>
      </c>
      <c r="Y6" s="162">
        <v>283912</v>
      </c>
      <c r="Z6" s="162">
        <v>283915</v>
      </c>
      <c r="AA6" s="173"/>
      <c r="AC6" s="177">
        <v>186901</v>
      </c>
      <c r="AE6" s="166"/>
      <c r="AF6" s="162"/>
      <c r="AG6" s="172"/>
      <c r="AH6" s="162"/>
      <c r="AI6" s="173"/>
      <c r="AJ6" s="166"/>
    </row>
    <row r="7" spans="2:36" s="189" customFormat="1" ht="44.25" customHeight="1">
      <c r="B7" s="178" t="s">
        <v>310</v>
      </c>
      <c r="C7" s="178" t="s">
        <v>695</v>
      </c>
      <c r="D7" s="179" t="s">
        <v>696</v>
      </c>
      <c r="E7" s="179" t="s">
        <v>697</v>
      </c>
      <c r="F7" s="179" t="s">
        <v>698</v>
      </c>
      <c r="G7" s="180" t="s">
        <v>699</v>
      </c>
      <c r="H7" s="181"/>
      <c r="I7" s="178" t="s">
        <v>700</v>
      </c>
      <c r="J7" s="179" t="s">
        <v>701</v>
      </c>
      <c r="K7" s="179" t="s">
        <v>702</v>
      </c>
      <c r="L7" s="179" t="s">
        <v>703</v>
      </c>
      <c r="M7" s="180" t="s">
        <v>704</v>
      </c>
      <c r="N7" s="182"/>
      <c r="O7" s="183" t="s">
        <v>705</v>
      </c>
      <c r="P7" s="184" t="s">
        <v>706</v>
      </c>
      <c r="Q7" s="184" t="s">
        <v>707</v>
      </c>
      <c r="R7" s="184" t="s">
        <v>708</v>
      </c>
      <c r="S7" s="184" t="s">
        <v>709</v>
      </c>
      <c r="T7" s="185" t="s">
        <v>710</v>
      </c>
      <c r="U7" s="186"/>
      <c r="V7" s="178" t="s">
        <v>711</v>
      </c>
      <c r="W7" s="179" t="s">
        <v>712</v>
      </c>
      <c r="X7" s="179" t="s">
        <v>713</v>
      </c>
      <c r="Y7" s="179" t="s">
        <v>714</v>
      </c>
      <c r="Z7" s="179" t="s">
        <v>715</v>
      </c>
      <c r="AA7" s="185" t="s">
        <v>710</v>
      </c>
      <c r="AB7" s="187"/>
      <c r="AC7" s="188" t="s">
        <v>716</v>
      </c>
      <c r="AE7" s="190"/>
      <c r="AF7" s="191"/>
      <c r="AG7" s="192"/>
      <c r="AH7" s="191"/>
      <c r="AI7" s="193"/>
      <c r="AJ7" s="190"/>
    </row>
    <row r="8" spans="2:36" s="158" customFormat="1" ht="11.25">
      <c r="B8" s="272">
        <v>40695</v>
      </c>
      <c r="C8" s="267">
        <v>48306851.710000001</v>
      </c>
      <c r="D8" s="271">
        <v>0</v>
      </c>
      <c r="E8" s="271">
        <v>0</v>
      </c>
      <c r="F8" s="269">
        <v>-2100000</v>
      </c>
      <c r="G8" s="194">
        <f>SUM(C8:F8)</f>
        <v>46206851.710000001</v>
      </c>
      <c r="H8" s="195"/>
      <c r="I8" s="267">
        <v>5904320.1699999999</v>
      </c>
      <c r="J8" s="268">
        <v>0</v>
      </c>
      <c r="K8" s="268">
        <v>0</v>
      </c>
      <c r="L8" s="268">
        <v>0</v>
      </c>
      <c r="M8" s="197">
        <f>I8+L8</f>
        <v>5904320.1699999999</v>
      </c>
      <c r="N8" s="198"/>
      <c r="O8" s="267">
        <v>-166260043.21000001</v>
      </c>
      <c r="P8" s="268">
        <v>0</v>
      </c>
      <c r="Q8" s="268">
        <v>0</v>
      </c>
      <c r="R8" s="268">
        <v>0</v>
      </c>
      <c r="S8" s="269">
        <v>92444938</v>
      </c>
      <c r="T8" s="194">
        <f>O8+S8</f>
        <v>-73815105.210000008</v>
      </c>
      <c r="U8" s="195"/>
      <c r="V8" s="267">
        <v>-323060146.47000003</v>
      </c>
      <c r="W8" s="268">
        <v>0</v>
      </c>
      <c r="X8" s="268">
        <v>0</v>
      </c>
      <c r="Y8" s="268">
        <v>0</v>
      </c>
      <c r="Z8" s="269">
        <v>18175062</v>
      </c>
      <c r="AA8" s="197">
        <f>V8+Z8</f>
        <v>-304885084.47000003</v>
      </c>
      <c r="AB8" s="198"/>
      <c r="AC8" s="270">
        <v>438214871.85000002</v>
      </c>
      <c r="AE8" s="199">
        <f>G8+M8+T8+AA8+AC8</f>
        <v>111625854.05000001</v>
      </c>
      <c r="AF8" s="196"/>
      <c r="AG8" s="200">
        <f>F8+L8</f>
        <v>-2100000</v>
      </c>
      <c r="AH8" s="196">
        <f>S8+Z8</f>
        <v>110620000</v>
      </c>
      <c r="AI8" s="197">
        <f>AG8+AH8</f>
        <v>108520000</v>
      </c>
      <c r="AJ8" s="199">
        <f t="shared" ref="AJ8:AJ20" si="0">AE8-AI8</f>
        <v>3105854.0500000119</v>
      </c>
    </row>
    <row r="9" spans="2:36" s="158" customFormat="1" ht="11.25">
      <c r="B9" s="272">
        <v>40725</v>
      </c>
      <c r="C9" s="267">
        <v>42163671.710000001</v>
      </c>
      <c r="D9" s="271">
        <v>0</v>
      </c>
      <c r="E9" s="271">
        <v>0</v>
      </c>
      <c r="F9" s="269">
        <v>-2100000</v>
      </c>
      <c r="G9" s="194">
        <f t="shared" ref="G9:G20" si="1">SUM(C9:F9)</f>
        <v>40063671.710000001</v>
      </c>
      <c r="H9" s="195"/>
      <c r="I9" s="267">
        <v>5347478.17</v>
      </c>
      <c r="J9" s="268">
        <v>0</v>
      </c>
      <c r="K9" s="268">
        <v>0</v>
      </c>
      <c r="L9" s="268">
        <v>0</v>
      </c>
      <c r="M9" s="197">
        <f t="shared" ref="M9:M19" si="2">I9+L9</f>
        <v>5347478.17</v>
      </c>
      <c r="N9" s="198"/>
      <c r="O9" s="267">
        <v>-173826575.68000001</v>
      </c>
      <c r="P9" s="268">
        <v>0</v>
      </c>
      <c r="Q9" s="268">
        <v>0</v>
      </c>
      <c r="R9" s="268">
        <v>0</v>
      </c>
      <c r="S9" s="269">
        <v>90846226</v>
      </c>
      <c r="T9" s="194">
        <f t="shared" ref="T9:T19" si="3">O9+S9</f>
        <v>-82980349.680000007</v>
      </c>
      <c r="U9" s="195"/>
      <c r="V9" s="267">
        <v>-314056300.47000003</v>
      </c>
      <c r="W9" s="268">
        <v>0</v>
      </c>
      <c r="X9" s="268">
        <v>0</v>
      </c>
      <c r="Y9" s="268">
        <v>0</v>
      </c>
      <c r="Z9" s="269">
        <v>8483774</v>
      </c>
      <c r="AA9" s="197">
        <f t="shared" ref="AA9:AA19" si="4">V9+Z9</f>
        <v>-305572526.47000003</v>
      </c>
      <c r="AB9" s="198"/>
      <c r="AC9" s="270">
        <v>443737099.85000002</v>
      </c>
      <c r="AE9" s="199">
        <f t="shared" ref="AE9:AE20" si="5">G9+M9+T9+AA9+AC9</f>
        <v>100595373.57999998</v>
      </c>
      <c r="AF9" s="196"/>
      <c r="AG9" s="200">
        <f t="shared" ref="AG9:AG20" si="6">F9+L9</f>
        <v>-2100000</v>
      </c>
      <c r="AH9" s="196">
        <f t="shared" ref="AH9:AH20" si="7">S9+Z9</f>
        <v>99330000</v>
      </c>
      <c r="AI9" s="197">
        <f t="shared" ref="AI9:AI19" si="8">AG9+AH9</f>
        <v>97230000</v>
      </c>
      <c r="AJ9" s="199">
        <f t="shared" si="0"/>
        <v>3365373.5799999833</v>
      </c>
    </row>
    <row r="10" spans="2:36" s="158" customFormat="1" ht="11.25">
      <c r="B10" s="272">
        <v>40756</v>
      </c>
      <c r="C10" s="267">
        <v>34948284.710000001</v>
      </c>
      <c r="D10" s="271">
        <v>0</v>
      </c>
      <c r="E10" s="271">
        <v>0</v>
      </c>
      <c r="F10" s="269">
        <v>-2900000</v>
      </c>
      <c r="G10" s="194">
        <f t="shared" si="1"/>
        <v>32048284.710000001</v>
      </c>
      <c r="H10" s="195"/>
      <c r="I10" s="267">
        <v>5702291.1699999999</v>
      </c>
      <c r="J10" s="268">
        <v>0</v>
      </c>
      <c r="K10" s="268">
        <v>0</v>
      </c>
      <c r="L10" s="268">
        <v>0</v>
      </c>
      <c r="M10" s="197">
        <f t="shared" si="2"/>
        <v>5702291.1699999999</v>
      </c>
      <c r="N10" s="198"/>
      <c r="O10" s="267">
        <v>-170952498.68000001</v>
      </c>
      <c r="P10" s="268">
        <v>0</v>
      </c>
      <c r="Q10" s="268">
        <v>0</v>
      </c>
      <c r="R10" s="268">
        <v>0</v>
      </c>
      <c r="S10" s="269">
        <v>87595444</v>
      </c>
      <c r="T10" s="194">
        <f t="shared" si="3"/>
        <v>-83357054.680000007</v>
      </c>
      <c r="U10" s="195"/>
      <c r="V10" s="267">
        <v>-287646785.47000003</v>
      </c>
      <c r="W10" s="268">
        <v>0</v>
      </c>
      <c r="X10" s="268">
        <v>0</v>
      </c>
      <c r="Y10" s="268">
        <v>0</v>
      </c>
      <c r="Z10" s="269">
        <v>10914556</v>
      </c>
      <c r="AA10" s="197">
        <f t="shared" si="4"/>
        <v>-276732229.47000003</v>
      </c>
      <c r="AB10" s="198"/>
      <c r="AC10" s="270">
        <v>419033964.85000002</v>
      </c>
      <c r="AE10" s="199">
        <f t="shared" si="5"/>
        <v>96695256.579999983</v>
      </c>
      <c r="AF10" s="196"/>
      <c r="AG10" s="200">
        <f t="shared" si="6"/>
        <v>-2900000</v>
      </c>
      <c r="AH10" s="196">
        <f t="shared" si="7"/>
        <v>98510000</v>
      </c>
      <c r="AI10" s="197">
        <f t="shared" si="8"/>
        <v>95610000</v>
      </c>
      <c r="AJ10" s="199">
        <f t="shared" si="0"/>
        <v>1085256.5799999833</v>
      </c>
    </row>
    <row r="11" spans="2:36" s="158" customFormat="1" ht="11.25">
      <c r="B11" s="272">
        <v>40787</v>
      </c>
      <c r="C11" s="267">
        <v>34379854</v>
      </c>
      <c r="D11" s="271">
        <v>0</v>
      </c>
      <c r="E11" s="271">
        <v>0</v>
      </c>
      <c r="F11" s="269">
        <v>-2500000</v>
      </c>
      <c r="G11" s="194">
        <f t="shared" si="1"/>
        <v>31879854</v>
      </c>
      <c r="H11" s="195"/>
      <c r="I11" s="267">
        <v>6297562</v>
      </c>
      <c r="J11" s="268">
        <v>0</v>
      </c>
      <c r="K11" s="268">
        <v>0</v>
      </c>
      <c r="L11" s="268">
        <v>0</v>
      </c>
      <c r="M11" s="197">
        <f t="shared" si="2"/>
        <v>6297562</v>
      </c>
      <c r="N11" s="198"/>
      <c r="O11" s="267">
        <v>-187201653</v>
      </c>
      <c r="P11" s="268">
        <v>0</v>
      </c>
      <c r="Q11" s="268">
        <v>0</v>
      </c>
      <c r="R11" s="268">
        <v>0</v>
      </c>
      <c r="S11" s="269">
        <v>75060588</v>
      </c>
      <c r="T11" s="194">
        <f t="shared" si="3"/>
        <v>-112141065</v>
      </c>
      <c r="U11" s="195"/>
      <c r="V11" s="267">
        <v>-276699387</v>
      </c>
      <c r="W11" s="268">
        <v>0</v>
      </c>
      <c r="X11" s="268">
        <v>0</v>
      </c>
      <c r="Y11" s="268">
        <v>0</v>
      </c>
      <c r="Z11" s="269">
        <v>10709412</v>
      </c>
      <c r="AA11" s="197">
        <f t="shared" si="4"/>
        <v>-265989975</v>
      </c>
      <c r="AB11" s="198"/>
      <c r="AC11" s="270">
        <v>423223624</v>
      </c>
      <c r="AE11" s="199">
        <f t="shared" si="5"/>
        <v>83270000</v>
      </c>
      <c r="AF11" s="196"/>
      <c r="AG11" s="200">
        <f t="shared" si="6"/>
        <v>-2500000</v>
      </c>
      <c r="AH11" s="196">
        <f t="shared" si="7"/>
        <v>85770000</v>
      </c>
      <c r="AI11" s="197">
        <f t="shared" si="8"/>
        <v>83270000</v>
      </c>
      <c r="AJ11" s="199">
        <f t="shared" si="0"/>
        <v>0</v>
      </c>
    </row>
    <row r="12" spans="2:36" s="158" customFormat="1" ht="11.25">
      <c r="B12" s="272">
        <v>40817</v>
      </c>
      <c r="C12" s="267">
        <v>32713692</v>
      </c>
      <c r="D12" s="271">
        <v>0</v>
      </c>
      <c r="E12" s="271">
        <v>0</v>
      </c>
      <c r="F12" s="269">
        <v>-3100000</v>
      </c>
      <c r="G12" s="194">
        <f t="shared" si="1"/>
        <v>29613692</v>
      </c>
      <c r="H12" s="195"/>
      <c r="I12" s="267">
        <v>6123786</v>
      </c>
      <c r="J12" s="268">
        <v>0</v>
      </c>
      <c r="K12" s="268">
        <v>0</v>
      </c>
      <c r="L12" s="268">
        <v>0</v>
      </c>
      <c r="M12" s="197">
        <f t="shared" si="2"/>
        <v>6123786</v>
      </c>
      <c r="N12" s="198"/>
      <c r="O12" s="267">
        <v>-186246041</v>
      </c>
      <c r="P12" s="268">
        <v>0</v>
      </c>
      <c r="Q12" s="268">
        <v>0</v>
      </c>
      <c r="R12" s="268">
        <v>0</v>
      </c>
      <c r="S12" s="269">
        <v>75932221</v>
      </c>
      <c r="T12" s="194">
        <f t="shared" si="3"/>
        <v>-110313820</v>
      </c>
      <c r="U12" s="195"/>
      <c r="V12" s="267">
        <v>-255132726</v>
      </c>
      <c r="W12" s="268">
        <v>0</v>
      </c>
      <c r="X12" s="268">
        <v>0</v>
      </c>
      <c r="Y12" s="268">
        <v>0</v>
      </c>
      <c r="Z12" s="269">
        <v>20287779</v>
      </c>
      <c r="AA12" s="197">
        <f t="shared" si="4"/>
        <v>-234844947</v>
      </c>
      <c r="AB12" s="198"/>
      <c r="AC12" s="270">
        <v>402541289</v>
      </c>
      <c r="AE12" s="199">
        <f t="shared" si="5"/>
        <v>93120000</v>
      </c>
      <c r="AF12" s="196"/>
      <c r="AG12" s="200">
        <f t="shared" si="6"/>
        <v>-3100000</v>
      </c>
      <c r="AH12" s="196">
        <f t="shared" si="7"/>
        <v>96220000</v>
      </c>
      <c r="AI12" s="197">
        <f t="shared" si="8"/>
        <v>93120000</v>
      </c>
      <c r="AJ12" s="199">
        <f t="shared" si="0"/>
        <v>0</v>
      </c>
    </row>
    <row r="13" spans="2:36" s="158" customFormat="1" ht="11.25">
      <c r="B13" s="272">
        <v>40848</v>
      </c>
      <c r="C13" s="267">
        <v>24885207</v>
      </c>
      <c r="D13" s="271">
        <v>0</v>
      </c>
      <c r="E13" s="271">
        <v>0</v>
      </c>
      <c r="F13" s="269">
        <v>-3100000</v>
      </c>
      <c r="G13" s="194">
        <f t="shared" si="1"/>
        <v>21785207</v>
      </c>
      <c r="H13" s="195"/>
      <c r="I13" s="267">
        <v>5637366</v>
      </c>
      <c r="J13" s="268">
        <v>0</v>
      </c>
      <c r="K13" s="268">
        <v>0</v>
      </c>
      <c r="L13" s="268">
        <v>0</v>
      </c>
      <c r="M13" s="197">
        <f t="shared" si="2"/>
        <v>5637366</v>
      </c>
      <c r="N13" s="198"/>
      <c r="O13" s="267">
        <v>-188181404</v>
      </c>
      <c r="P13" s="268">
        <v>0</v>
      </c>
      <c r="Q13" s="268">
        <v>0</v>
      </c>
      <c r="R13" s="268">
        <v>0</v>
      </c>
      <c r="S13" s="269">
        <v>77807743</v>
      </c>
      <c r="T13" s="194">
        <f t="shared" si="3"/>
        <v>-110373661</v>
      </c>
      <c r="U13" s="195"/>
      <c r="V13" s="267">
        <v>-260977627</v>
      </c>
      <c r="W13" s="268">
        <v>0</v>
      </c>
      <c r="X13" s="268">
        <v>0</v>
      </c>
      <c r="Y13" s="268">
        <v>0</v>
      </c>
      <c r="Z13" s="269">
        <v>29542257</v>
      </c>
      <c r="AA13" s="197">
        <f t="shared" si="4"/>
        <v>-231435370</v>
      </c>
      <c r="AB13" s="198"/>
      <c r="AC13" s="270">
        <v>418636458</v>
      </c>
      <c r="AE13" s="199">
        <f t="shared" si="5"/>
        <v>104250000</v>
      </c>
      <c r="AF13" s="196"/>
      <c r="AG13" s="200">
        <f t="shared" si="6"/>
        <v>-3100000</v>
      </c>
      <c r="AH13" s="196">
        <f t="shared" si="7"/>
        <v>107350000</v>
      </c>
      <c r="AI13" s="197">
        <f t="shared" si="8"/>
        <v>104250000</v>
      </c>
      <c r="AJ13" s="199">
        <f t="shared" si="0"/>
        <v>0</v>
      </c>
    </row>
    <row r="14" spans="2:36" s="158" customFormat="1" ht="11.25">
      <c r="B14" s="272">
        <v>40878</v>
      </c>
      <c r="C14" s="267">
        <v>13439881</v>
      </c>
      <c r="D14" s="271">
        <v>0</v>
      </c>
      <c r="E14" s="271">
        <v>0</v>
      </c>
      <c r="F14" s="269">
        <v>-2100000</v>
      </c>
      <c r="G14" s="194">
        <f t="shared" si="1"/>
        <v>11339881</v>
      </c>
      <c r="H14" s="195"/>
      <c r="I14" s="267">
        <v>4472312</v>
      </c>
      <c r="J14" s="268">
        <v>0</v>
      </c>
      <c r="K14" s="268">
        <v>0</v>
      </c>
      <c r="L14" s="268">
        <v>0</v>
      </c>
      <c r="M14" s="197">
        <f t="shared" si="2"/>
        <v>4472312</v>
      </c>
      <c r="N14" s="198"/>
      <c r="O14" s="267">
        <v>-175179192</v>
      </c>
      <c r="P14" s="268">
        <v>0</v>
      </c>
      <c r="Q14" s="268">
        <v>0</v>
      </c>
      <c r="R14" s="268">
        <v>0</v>
      </c>
      <c r="S14" s="269">
        <v>85574282</v>
      </c>
      <c r="T14" s="194">
        <f t="shared" si="3"/>
        <v>-89604910</v>
      </c>
      <c r="U14" s="195"/>
      <c r="V14" s="267">
        <v>-105925672</v>
      </c>
      <c r="W14" s="268">
        <v>0</v>
      </c>
      <c r="X14" s="268">
        <v>0</v>
      </c>
      <c r="Y14" s="268">
        <v>0</v>
      </c>
      <c r="Z14" s="269">
        <v>39475718</v>
      </c>
      <c r="AA14" s="197">
        <f t="shared" si="4"/>
        <v>-66449954</v>
      </c>
      <c r="AB14" s="198"/>
      <c r="AC14" s="270">
        <v>263192671</v>
      </c>
      <c r="AE14" s="199">
        <f t="shared" si="5"/>
        <v>122950000</v>
      </c>
      <c r="AF14" s="196"/>
      <c r="AG14" s="200">
        <f t="shared" si="6"/>
        <v>-2100000</v>
      </c>
      <c r="AH14" s="196">
        <f t="shared" si="7"/>
        <v>125050000</v>
      </c>
      <c r="AI14" s="197">
        <f t="shared" si="8"/>
        <v>122950000</v>
      </c>
      <c r="AJ14" s="199">
        <f t="shared" si="0"/>
        <v>0</v>
      </c>
    </row>
    <row r="15" spans="2:36" s="158" customFormat="1" ht="11.25">
      <c r="B15" s="272">
        <v>40909</v>
      </c>
      <c r="C15" s="267">
        <v>17136517</v>
      </c>
      <c r="D15" s="271">
        <v>0</v>
      </c>
      <c r="E15" s="271">
        <v>0</v>
      </c>
      <c r="F15" s="269">
        <v>-2500000</v>
      </c>
      <c r="G15" s="194">
        <f t="shared" si="1"/>
        <v>14636517</v>
      </c>
      <c r="H15" s="195"/>
      <c r="I15" s="267">
        <v>3800307</v>
      </c>
      <c r="J15" s="268">
        <v>0</v>
      </c>
      <c r="K15" s="268">
        <v>0</v>
      </c>
      <c r="L15" s="268">
        <v>0</v>
      </c>
      <c r="M15" s="197">
        <f t="shared" si="2"/>
        <v>3800307</v>
      </c>
      <c r="N15" s="198"/>
      <c r="O15" s="267">
        <v>-184823214</v>
      </c>
      <c r="P15" s="268">
        <v>0</v>
      </c>
      <c r="Q15" s="268">
        <v>0</v>
      </c>
      <c r="R15" s="268">
        <v>0</v>
      </c>
      <c r="S15" s="269">
        <v>92535665</v>
      </c>
      <c r="T15" s="194">
        <f t="shared" si="3"/>
        <v>-92287549</v>
      </c>
      <c r="U15" s="195"/>
      <c r="V15" s="267">
        <v>-116658630</v>
      </c>
      <c r="W15" s="268">
        <v>0</v>
      </c>
      <c r="X15" s="268">
        <v>0</v>
      </c>
      <c r="Y15" s="268">
        <v>0</v>
      </c>
      <c r="Z15" s="269">
        <v>50554335</v>
      </c>
      <c r="AA15" s="197">
        <f t="shared" si="4"/>
        <v>-66104295</v>
      </c>
      <c r="AB15" s="198"/>
      <c r="AC15" s="270">
        <v>280545020</v>
      </c>
      <c r="AE15" s="199">
        <f t="shared" si="5"/>
        <v>140590000</v>
      </c>
      <c r="AF15" s="196"/>
      <c r="AG15" s="200">
        <f t="shared" si="6"/>
        <v>-2500000</v>
      </c>
      <c r="AH15" s="196">
        <f t="shared" si="7"/>
        <v>143090000</v>
      </c>
      <c r="AI15" s="197">
        <f t="shared" si="8"/>
        <v>140590000</v>
      </c>
      <c r="AJ15" s="199">
        <f t="shared" si="0"/>
        <v>0</v>
      </c>
    </row>
    <row r="16" spans="2:36" s="158" customFormat="1" ht="11.25">
      <c r="B16" s="272">
        <v>40940</v>
      </c>
      <c r="C16" s="267">
        <v>21012720.59</v>
      </c>
      <c r="D16" s="271">
        <v>0</v>
      </c>
      <c r="E16" s="271">
        <v>0</v>
      </c>
      <c r="F16" s="269">
        <v>-2500000</v>
      </c>
      <c r="G16" s="194">
        <f t="shared" si="1"/>
        <v>18512720.59</v>
      </c>
      <c r="H16" s="195"/>
      <c r="I16" s="267">
        <v>2747187.72</v>
      </c>
      <c r="J16" s="268">
        <v>0</v>
      </c>
      <c r="K16" s="268">
        <v>0</v>
      </c>
      <c r="L16" s="268">
        <v>0</v>
      </c>
      <c r="M16" s="197">
        <f t="shared" si="2"/>
        <v>2747187.72</v>
      </c>
      <c r="N16" s="198"/>
      <c r="O16" s="267">
        <v>-184928420.08000001</v>
      </c>
      <c r="P16" s="268">
        <v>0</v>
      </c>
      <c r="Q16" s="268">
        <v>0</v>
      </c>
      <c r="R16" s="268">
        <v>0</v>
      </c>
      <c r="S16" s="269">
        <v>98066706</v>
      </c>
      <c r="T16" s="194">
        <f t="shared" si="3"/>
        <v>-86861714.080000013</v>
      </c>
      <c r="U16" s="195"/>
      <c r="V16" s="267">
        <v>-104629881.56</v>
      </c>
      <c r="W16" s="268">
        <v>0</v>
      </c>
      <c r="X16" s="268">
        <v>0</v>
      </c>
      <c r="Y16" s="268">
        <v>0</v>
      </c>
      <c r="Z16" s="269">
        <v>47633294</v>
      </c>
      <c r="AA16" s="197">
        <f t="shared" si="4"/>
        <v>-56996587.560000002</v>
      </c>
      <c r="AB16" s="198"/>
      <c r="AC16" s="270">
        <v>265798393.33000001</v>
      </c>
      <c r="AE16" s="199">
        <f t="shared" si="5"/>
        <v>143200000</v>
      </c>
      <c r="AF16" s="196"/>
      <c r="AG16" s="200">
        <f t="shared" si="6"/>
        <v>-2500000</v>
      </c>
      <c r="AH16" s="196">
        <f t="shared" si="7"/>
        <v>145700000</v>
      </c>
      <c r="AI16" s="197">
        <f t="shared" si="8"/>
        <v>143200000</v>
      </c>
      <c r="AJ16" s="199">
        <f t="shared" si="0"/>
        <v>0</v>
      </c>
    </row>
    <row r="17" spans="2:36" s="158" customFormat="1" ht="11.25">
      <c r="B17" s="272">
        <v>40969</v>
      </c>
      <c r="C17" s="267">
        <v>21484555.489999998</v>
      </c>
      <c r="D17" s="271">
        <v>0</v>
      </c>
      <c r="E17" s="271">
        <v>0</v>
      </c>
      <c r="F17" s="269">
        <v>-2900000</v>
      </c>
      <c r="G17" s="194">
        <f t="shared" si="1"/>
        <v>18584555.489999998</v>
      </c>
      <c r="H17" s="195"/>
      <c r="I17" s="267">
        <v>1068525.1100000001</v>
      </c>
      <c r="J17" s="268">
        <v>0</v>
      </c>
      <c r="K17" s="268">
        <v>0</v>
      </c>
      <c r="L17" s="268">
        <v>0</v>
      </c>
      <c r="M17" s="197">
        <f t="shared" si="2"/>
        <v>1068525.1100000001</v>
      </c>
      <c r="N17" s="198"/>
      <c r="O17" s="267">
        <v>-203894050.86000001</v>
      </c>
      <c r="P17" s="268">
        <v>0</v>
      </c>
      <c r="Q17" s="268">
        <v>0</v>
      </c>
      <c r="R17" s="268">
        <v>0</v>
      </c>
      <c r="S17" s="269">
        <v>35708440</v>
      </c>
      <c r="T17" s="194">
        <f t="shared" si="3"/>
        <v>-168185610.86000001</v>
      </c>
      <c r="U17" s="195"/>
      <c r="V17" s="267">
        <v>-102553092.90000001</v>
      </c>
      <c r="W17" s="268">
        <v>0</v>
      </c>
      <c r="X17" s="268">
        <v>0</v>
      </c>
      <c r="Y17" s="268">
        <v>0</v>
      </c>
      <c r="Z17" s="269">
        <v>4791560</v>
      </c>
      <c r="AA17" s="197">
        <f t="shared" si="4"/>
        <v>-97761532.900000006</v>
      </c>
      <c r="AB17" s="198"/>
      <c r="AC17" s="270">
        <v>283894063.16000003</v>
      </c>
      <c r="AE17" s="199">
        <f t="shared" si="5"/>
        <v>37600000</v>
      </c>
      <c r="AF17" s="196"/>
      <c r="AG17" s="200">
        <f t="shared" si="6"/>
        <v>-2900000</v>
      </c>
      <c r="AH17" s="196">
        <f t="shared" si="7"/>
        <v>40500000</v>
      </c>
      <c r="AI17" s="197">
        <f t="shared" si="8"/>
        <v>37600000</v>
      </c>
      <c r="AJ17" s="199">
        <f t="shared" si="0"/>
        <v>0</v>
      </c>
    </row>
    <row r="18" spans="2:36" s="158" customFormat="1" ht="11.25">
      <c r="B18" s="272">
        <v>41000</v>
      </c>
      <c r="C18" s="267">
        <v>19861906.559999999</v>
      </c>
      <c r="D18" s="271">
        <v>0</v>
      </c>
      <c r="E18" s="271">
        <v>0</v>
      </c>
      <c r="F18" s="269">
        <v>-2100000</v>
      </c>
      <c r="G18" s="194">
        <f t="shared" si="1"/>
        <v>17761906.559999999</v>
      </c>
      <c r="H18" s="195"/>
      <c r="I18" s="267">
        <v>1057610.7</v>
      </c>
      <c r="J18" s="268">
        <v>0</v>
      </c>
      <c r="K18" s="268">
        <v>0</v>
      </c>
      <c r="L18" s="268">
        <v>0</v>
      </c>
      <c r="M18" s="197">
        <f t="shared" si="2"/>
        <v>1057610.7</v>
      </c>
      <c r="N18" s="198"/>
      <c r="O18" s="267">
        <v>-189230742.59999999</v>
      </c>
      <c r="P18" s="268">
        <v>0</v>
      </c>
      <c r="Q18" s="268">
        <v>0</v>
      </c>
      <c r="R18" s="268">
        <v>0</v>
      </c>
      <c r="S18" s="269">
        <v>93048609</v>
      </c>
      <c r="T18" s="194">
        <f t="shared" si="3"/>
        <v>-96182133.599999994</v>
      </c>
      <c r="U18" s="195"/>
      <c r="V18" s="267">
        <v>-97655803.530000001</v>
      </c>
      <c r="W18" s="268">
        <v>0</v>
      </c>
      <c r="X18" s="268">
        <v>0</v>
      </c>
      <c r="Y18" s="268">
        <v>0</v>
      </c>
      <c r="Z18" s="269">
        <v>51151391</v>
      </c>
      <c r="AA18" s="197">
        <f t="shared" si="4"/>
        <v>-46504412.530000001</v>
      </c>
      <c r="AB18" s="198"/>
      <c r="AC18" s="270">
        <v>265967028.87</v>
      </c>
      <c r="AE18" s="199">
        <f t="shared" si="5"/>
        <v>142100000</v>
      </c>
      <c r="AF18" s="196"/>
      <c r="AG18" s="200">
        <f t="shared" si="6"/>
        <v>-2100000</v>
      </c>
      <c r="AH18" s="196">
        <f t="shared" si="7"/>
        <v>144200000</v>
      </c>
      <c r="AI18" s="197">
        <f t="shared" si="8"/>
        <v>142100000</v>
      </c>
      <c r="AJ18" s="199">
        <f t="shared" si="0"/>
        <v>0</v>
      </c>
    </row>
    <row r="19" spans="2:36" s="158" customFormat="1" ht="11.25">
      <c r="B19" s="272">
        <v>41030</v>
      </c>
      <c r="C19" s="267">
        <v>12660220.550000001</v>
      </c>
      <c r="D19" s="271">
        <v>0</v>
      </c>
      <c r="E19" s="271">
        <v>0</v>
      </c>
      <c r="F19" s="269">
        <v>-500000</v>
      </c>
      <c r="G19" s="194">
        <f t="shared" si="1"/>
        <v>12160220.550000001</v>
      </c>
      <c r="H19" s="195"/>
      <c r="I19" s="267">
        <v>953643.83</v>
      </c>
      <c r="J19" s="268">
        <v>0</v>
      </c>
      <c r="K19" s="268">
        <v>0</v>
      </c>
      <c r="L19" s="268">
        <v>0</v>
      </c>
      <c r="M19" s="197">
        <f t="shared" si="2"/>
        <v>953643.83</v>
      </c>
      <c r="N19" s="198"/>
      <c r="O19" s="267">
        <v>-167063190.53999999</v>
      </c>
      <c r="P19" s="268">
        <v>0</v>
      </c>
      <c r="Q19" s="268">
        <v>0</v>
      </c>
      <c r="R19" s="268">
        <v>0</v>
      </c>
      <c r="S19" s="269">
        <v>88548042</v>
      </c>
      <c r="T19" s="194">
        <f t="shared" si="3"/>
        <v>-78515148.539999992</v>
      </c>
      <c r="U19" s="195"/>
      <c r="V19" s="267">
        <v>-91374960.569999993</v>
      </c>
      <c r="W19" s="268">
        <v>0</v>
      </c>
      <c r="X19" s="268">
        <v>0</v>
      </c>
      <c r="Y19" s="268">
        <v>0</v>
      </c>
      <c r="Z19" s="269">
        <v>37551958</v>
      </c>
      <c r="AA19" s="197">
        <f t="shared" si="4"/>
        <v>-53823002.569999993</v>
      </c>
      <c r="AB19" s="198"/>
      <c r="AC19" s="270">
        <v>244824286.72999999</v>
      </c>
      <c r="AE19" s="199">
        <f t="shared" si="5"/>
        <v>125600000</v>
      </c>
      <c r="AF19" s="196"/>
      <c r="AG19" s="200">
        <f t="shared" si="6"/>
        <v>-500000</v>
      </c>
      <c r="AH19" s="196">
        <f t="shared" si="7"/>
        <v>126100000</v>
      </c>
      <c r="AI19" s="197">
        <f t="shared" si="8"/>
        <v>125600000</v>
      </c>
      <c r="AJ19" s="199">
        <f t="shared" si="0"/>
        <v>0</v>
      </c>
    </row>
    <row r="20" spans="2:36" s="158" customFormat="1" ht="12" thickBot="1">
      <c r="B20" s="273">
        <v>41061</v>
      </c>
      <c r="C20" s="267">
        <v>11643752.310000001</v>
      </c>
      <c r="D20" s="271">
        <v>0</v>
      </c>
      <c r="E20" s="271">
        <v>0</v>
      </c>
      <c r="F20" s="269">
        <v>0</v>
      </c>
      <c r="G20" s="194">
        <f t="shared" si="1"/>
        <v>11643752.310000001</v>
      </c>
      <c r="H20" s="195"/>
      <c r="I20" s="267">
        <v>843218.75</v>
      </c>
      <c r="J20" s="268">
        <v>0</v>
      </c>
      <c r="K20" s="268">
        <v>0</v>
      </c>
      <c r="L20" s="268">
        <v>0</v>
      </c>
      <c r="M20" s="197">
        <f>I20+L20</f>
        <v>843218.75</v>
      </c>
      <c r="N20" s="198"/>
      <c r="O20" s="267">
        <v>-147353020.06999999</v>
      </c>
      <c r="P20" s="268">
        <v>0</v>
      </c>
      <c r="Q20" s="268">
        <v>0</v>
      </c>
      <c r="R20" s="268">
        <v>0</v>
      </c>
      <c r="S20" s="269">
        <v>75707043</v>
      </c>
      <c r="T20" s="194">
        <f>O20+S20</f>
        <v>-71645977.069999993</v>
      </c>
      <c r="U20" s="195"/>
      <c r="V20" s="267">
        <v>-81958128.430000007</v>
      </c>
      <c r="W20" s="268">
        <v>0</v>
      </c>
      <c r="X20" s="268">
        <v>0</v>
      </c>
      <c r="Y20" s="268">
        <v>0</v>
      </c>
      <c r="Z20" s="269">
        <v>33792957</v>
      </c>
      <c r="AA20" s="197">
        <f>V20+Z20</f>
        <v>-48165171.430000007</v>
      </c>
      <c r="AB20" s="198"/>
      <c r="AC20" s="270">
        <v>216824177.44</v>
      </c>
      <c r="AE20" s="201">
        <f t="shared" si="5"/>
        <v>109500000</v>
      </c>
      <c r="AF20" s="196"/>
      <c r="AG20" s="200">
        <f t="shared" si="6"/>
        <v>0</v>
      </c>
      <c r="AH20" s="196">
        <f t="shared" si="7"/>
        <v>109500000</v>
      </c>
      <c r="AI20" s="197">
        <f>AG20+AH20</f>
        <v>109500000</v>
      </c>
      <c r="AJ20" s="199">
        <f t="shared" si="0"/>
        <v>0</v>
      </c>
    </row>
    <row r="21" spans="2:36" s="158" customFormat="1" ht="12" thickBot="1">
      <c r="B21" s="163" t="s">
        <v>175</v>
      </c>
      <c r="C21" s="202">
        <f>(C8+2*SUM(C9:C19)+C20)/24</f>
        <v>25388484.385000002</v>
      </c>
      <c r="D21" s="203"/>
      <c r="E21" s="203"/>
      <c r="F21" s="204">
        <f>(F8+2*SUM(F9:F19)+F20)/24</f>
        <v>-2279166.6666666665</v>
      </c>
      <c r="G21" s="205">
        <f>(G8+2*SUM(G9:G19)+G20)/24</f>
        <v>23109317.718333334</v>
      </c>
      <c r="H21" s="206"/>
      <c r="I21" s="202">
        <f>(I8+2*SUM(I9:I19)+I20)/24</f>
        <v>3881819.93</v>
      </c>
      <c r="J21" s="207"/>
      <c r="K21" s="207"/>
      <c r="L21" s="204">
        <f>(L8+2*SUM(L9:L19)+L20)/24</f>
        <v>0</v>
      </c>
      <c r="M21" s="205">
        <f>(M8+2*SUM(M9:M19)+M20)/24</f>
        <v>3881819.93</v>
      </c>
      <c r="O21" s="202">
        <f>(O8+2*SUM(O9:O19)+O20)/24</f>
        <v>-180694459.50666666</v>
      </c>
      <c r="P21" s="207"/>
      <c r="Q21" s="207"/>
      <c r="R21" s="207"/>
      <c r="S21" s="204">
        <f>(S8+2*SUM(S9:S19)+S20)/24</f>
        <v>82066663.041666672</v>
      </c>
      <c r="T21" s="205">
        <f>(T8+2*SUM(T9:T19)+T20)/24</f>
        <v>-98627796.465000018</v>
      </c>
      <c r="V21" s="202">
        <f>(V8+2*SUM(V9:V19)+V20)/24</f>
        <v>-184651666.99583337</v>
      </c>
      <c r="W21" s="207"/>
      <c r="X21" s="207"/>
      <c r="Y21" s="207"/>
      <c r="Z21" s="204">
        <f>(Z8+2*SUM(Z9:Z19)+Z20)/24</f>
        <v>28090003.625</v>
      </c>
      <c r="AA21" s="205">
        <f>(AA8+2*SUM(AA9:AA19)+AA20)/24</f>
        <v>-156561663.37083334</v>
      </c>
      <c r="AC21" s="208">
        <f>(AC8+2*SUM(AC9:AC19)+AC20)/24</f>
        <v>336576118.61958331</v>
      </c>
      <c r="AE21" s="208">
        <f>(AE8+2*SUM(AE9:AE19)+AE20)/24</f>
        <v>108377796.43208332</v>
      </c>
      <c r="AF21" s="196"/>
      <c r="AG21" s="202">
        <f>(AG8+2*SUM(AG9:AG19)+AG20)/24</f>
        <v>-2279166.6666666665</v>
      </c>
      <c r="AH21" s="204">
        <f>(AH8+2*SUM(AH9:AH19)+AH20)/24</f>
        <v>110156666.66666667</v>
      </c>
      <c r="AI21" s="205">
        <f>(AI8+2*SUM(AI9:AI19)+AI20)/24</f>
        <v>107877500</v>
      </c>
      <c r="AJ21" s="208">
        <f>(AJ8+2*SUM(AJ9:AJ19)+AJ20)/24</f>
        <v>500296.43208333105</v>
      </c>
    </row>
    <row r="23" spans="2:36">
      <c r="B23" s="157"/>
      <c r="G23" s="198"/>
      <c r="AH23" s="158"/>
      <c r="AI23" s="158"/>
    </row>
    <row r="24" spans="2:36">
      <c r="G24" s="198"/>
      <c r="AH24" s="158"/>
      <c r="AI24" s="158"/>
    </row>
    <row r="25" spans="2:36" s="158" customFormat="1" ht="11.25" hidden="1">
      <c r="B25" s="209" t="s">
        <v>717</v>
      </c>
      <c r="G25" s="198"/>
    </row>
    <row r="26" spans="2:36" s="158" customFormat="1" hidden="1">
      <c r="B26"/>
      <c r="C26" s="211" t="s">
        <v>718</v>
      </c>
      <c r="G26" s="198"/>
    </row>
    <row r="27" spans="2:36" s="158" customFormat="1" ht="11.25" hidden="1">
      <c r="B27" s="210" t="s">
        <v>719</v>
      </c>
      <c r="C27" s="211" t="s">
        <v>720</v>
      </c>
      <c r="G27" s="198"/>
    </row>
    <row r="28" spans="2:36" s="158" customFormat="1" ht="11.25" hidden="1">
      <c r="B28" s="210" t="s">
        <v>721</v>
      </c>
      <c r="C28" s="211" t="s">
        <v>722</v>
      </c>
      <c r="G28" s="198"/>
    </row>
    <row r="29" spans="2:36" s="158" customFormat="1" ht="11.25" hidden="1">
      <c r="B29" s="210" t="s">
        <v>723</v>
      </c>
      <c r="C29" s="211" t="s">
        <v>724</v>
      </c>
      <c r="G29" s="198"/>
    </row>
    <row r="30" spans="2:36" s="158" customFormat="1" ht="11.25" hidden="1">
      <c r="B30" s="210" t="s">
        <v>725</v>
      </c>
      <c r="C30" s="211" t="s">
        <v>726</v>
      </c>
      <c r="G30" s="198"/>
    </row>
    <row r="31" spans="2:36" s="158" customFormat="1" ht="11.25" hidden="1">
      <c r="G31" s="198"/>
    </row>
    <row r="32" spans="2:36" s="158" customFormat="1" ht="11.25" hidden="1">
      <c r="B32" s="209" t="s">
        <v>727</v>
      </c>
      <c r="G32" s="198"/>
    </row>
    <row r="33" spans="2:7" s="158" customFormat="1" ht="11.25" hidden="1">
      <c r="B33" s="210" t="s">
        <v>21</v>
      </c>
      <c r="C33" s="211" t="s">
        <v>728</v>
      </c>
      <c r="G33" s="198"/>
    </row>
    <row r="34" spans="2:7" s="158" customFormat="1" ht="11.25" hidden="1">
      <c r="B34" s="210" t="s">
        <v>729</v>
      </c>
      <c r="C34" s="211" t="s">
        <v>730</v>
      </c>
      <c r="G34" s="198"/>
    </row>
    <row r="35" spans="2:7" s="158" customFormat="1" ht="11.25" hidden="1">
      <c r="B35" s="210" t="s">
        <v>731</v>
      </c>
      <c r="C35" s="211" t="s">
        <v>732</v>
      </c>
      <c r="G35" s="198"/>
    </row>
    <row r="36" spans="2:7" s="158" customFormat="1" ht="11.25" hidden="1">
      <c r="B36" s="210" t="s">
        <v>733</v>
      </c>
      <c r="C36" s="211" t="s">
        <v>734</v>
      </c>
      <c r="G36" s="198"/>
    </row>
    <row r="37" spans="2:7" s="158" customFormat="1" ht="11.25" hidden="1">
      <c r="B37" s="210" t="s">
        <v>735</v>
      </c>
      <c r="C37" s="211" t="s">
        <v>736</v>
      </c>
      <c r="G37" s="198"/>
    </row>
    <row r="38" spans="2:7" s="158" customFormat="1" ht="11.25" hidden="1">
      <c r="G38" s="198"/>
    </row>
    <row r="39" spans="2:7" s="158" customFormat="1" ht="11.25" hidden="1">
      <c r="B39" s="209" t="s">
        <v>737</v>
      </c>
      <c r="G39" s="198"/>
    </row>
    <row r="40" spans="2:7" s="158" customFormat="1" ht="11.25" hidden="1">
      <c r="B40" s="210" t="s">
        <v>21</v>
      </c>
      <c r="C40" s="211" t="s">
        <v>738</v>
      </c>
      <c r="G40" s="198"/>
    </row>
    <row r="41" spans="2:7" s="158" customFormat="1" ht="11.25" hidden="1">
      <c r="B41" s="210" t="s">
        <v>739</v>
      </c>
      <c r="C41" s="211" t="s">
        <v>740</v>
      </c>
      <c r="G41" s="198"/>
    </row>
    <row r="42" spans="2:7" s="158" customFormat="1" ht="11.25" hidden="1">
      <c r="B42" s="210" t="s">
        <v>741</v>
      </c>
      <c r="C42" s="211" t="s">
        <v>742</v>
      </c>
      <c r="G42" s="198"/>
    </row>
    <row r="43" spans="2:7" s="158" customFormat="1" ht="11.25" hidden="1">
      <c r="B43" s="210" t="s">
        <v>743</v>
      </c>
      <c r="C43" s="211" t="s">
        <v>744</v>
      </c>
      <c r="G43" s="198"/>
    </row>
    <row r="44" spans="2:7" s="158" customFormat="1" ht="11.25" hidden="1">
      <c r="B44" s="210" t="s">
        <v>745</v>
      </c>
      <c r="C44" s="211" t="s">
        <v>746</v>
      </c>
      <c r="G44" s="198"/>
    </row>
    <row r="45" spans="2:7" s="158" customFormat="1" ht="11.25" hidden="1">
      <c r="B45" s="210" t="s">
        <v>747</v>
      </c>
      <c r="C45" s="211" t="s">
        <v>748</v>
      </c>
      <c r="G45" s="198"/>
    </row>
    <row r="46" spans="2:7" s="158" customFormat="1" ht="11.25" hidden="1">
      <c r="G46" s="198"/>
    </row>
    <row r="47" spans="2:7" s="158" customFormat="1" ht="11.25" hidden="1">
      <c r="B47" s="209" t="s">
        <v>749</v>
      </c>
      <c r="G47" s="198"/>
    </row>
    <row r="48" spans="2:7" s="158" customFormat="1" ht="11.25" hidden="1">
      <c r="B48" s="210" t="s">
        <v>21</v>
      </c>
      <c r="C48" s="211" t="s">
        <v>750</v>
      </c>
      <c r="G48" s="198"/>
    </row>
    <row r="49" spans="2:36" s="158" customFormat="1" ht="11.25" hidden="1">
      <c r="B49" s="210" t="s">
        <v>751</v>
      </c>
      <c r="C49" s="211" t="s">
        <v>752</v>
      </c>
      <c r="G49" s="198"/>
    </row>
    <row r="50" spans="2:36" s="158" customFormat="1" ht="11.25" hidden="1">
      <c r="B50" s="210" t="s">
        <v>753</v>
      </c>
      <c r="C50" s="211" t="s">
        <v>754</v>
      </c>
      <c r="G50" s="198"/>
    </row>
    <row r="51" spans="2:36" s="158" customFormat="1" ht="11.25" hidden="1">
      <c r="B51" s="210" t="s">
        <v>755</v>
      </c>
      <c r="C51" s="211" t="s">
        <v>756</v>
      </c>
      <c r="G51" s="198"/>
    </row>
    <row r="52" spans="2:36" s="158" customFormat="1" ht="11.25" hidden="1">
      <c r="B52" s="210" t="s">
        <v>757</v>
      </c>
      <c r="C52" s="211" t="s">
        <v>758</v>
      </c>
      <c r="G52" s="198"/>
    </row>
    <row r="53" spans="2:36" s="158" customFormat="1" ht="11.25" hidden="1">
      <c r="B53" s="210" t="s">
        <v>759</v>
      </c>
      <c r="C53" s="211" t="s">
        <v>760</v>
      </c>
      <c r="G53" s="198"/>
    </row>
    <row r="54" spans="2:36" s="158" customFormat="1" ht="11.25" hidden="1">
      <c r="G54" s="198"/>
    </row>
    <row r="55" spans="2:36" s="158" customFormat="1" ht="11.25" hidden="1">
      <c r="B55" s="209" t="s">
        <v>691</v>
      </c>
      <c r="G55" s="198"/>
    </row>
    <row r="56" spans="2:36" s="158" customFormat="1" ht="11.25" hidden="1">
      <c r="B56" s="210" t="s">
        <v>761</v>
      </c>
      <c r="C56" s="211" t="s">
        <v>762</v>
      </c>
      <c r="G56" s="198"/>
    </row>
    <row r="57" spans="2:36" s="158" customFormat="1" ht="11.25">
      <c r="G57" s="198"/>
    </row>
    <row r="58" spans="2:36">
      <c r="B58" s="158"/>
      <c r="C58" s="158"/>
      <c r="D58" s="158"/>
      <c r="E58" s="158"/>
      <c r="F58" s="158"/>
      <c r="G58" s="26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row>
    <row r="59" spans="2:36">
      <c r="G59" s="268"/>
    </row>
    <row r="60" spans="2:36">
      <c r="G60" s="268"/>
    </row>
    <row r="61" spans="2:36">
      <c r="G61" s="268"/>
    </row>
    <row r="62" spans="2:36">
      <c r="G62" s="196"/>
    </row>
  </sheetData>
  <mergeCells count="4">
    <mergeCell ref="C4:G4"/>
    <mergeCell ref="I4:M4"/>
    <mergeCell ref="O4:T4"/>
    <mergeCell ref="V4:AA4"/>
  </mergeCells>
  <pageMargins left="0.7" right="0.7" top="0.75" bottom="0.75" header="0.3" footer="0.3"/>
  <pageSetup scale="78" orientation="portrait" r:id="rId1"/>
  <colBreaks count="2" manualBreakCount="2">
    <brk id="13" max="1048575" man="1"/>
    <brk id="27" max="1048575" man="1"/>
  </colBreaks>
</worksheet>
</file>

<file path=xl/worksheets/sheet7.xml><?xml version="1.0" encoding="utf-8"?>
<worksheet xmlns="http://schemas.openxmlformats.org/spreadsheetml/2006/main" xmlns:r="http://schemas.openxmlformats.org/officeDocument/2006/relationships">
  <dimension ref="A1:AD45"/>
  <sheetViews>
    <sheetView zoomScaleNormal="100" workbookViewId="0">
      <selection activeCell="P1" sqref="P1"/>
    </sheetView>
  </sheetViews>
  <sheetFormatPr defaultColWidth="10" defaultRowHeight="12.75"/>
  <cols>
    <col min="1" max="1" width="33.85546875" style="50" customWidth="1"/>
    <col min="2" max="2" width="11.7109375" style="50" customWidth="1"/>
    <col min="3" max="3" width="13.140625" style="50" customWidth="1"/>
    <col min="4" max="15" width="11.140625" style="50" customWidth="1"/>
    <col min="16" max="16" width="14" style="50" customWidth="1"/>
    <col min="17" max="27" width="11.140625" style="50" customWidth="1"/>
    <col min="28" max="16384" width="10" style="50"/>
  </cols>
  <sheetData>
    <row r="1" spans="1:17">
      <c r="A1" s="49" t="s">
        <v>204</v>
      </c>
      <c r="B1" s="49"/>
      <c r="P1" s="51">
        <v>0.66666666666666596</v>
      </c>
    </row>
    <row r="2" spans="1:17">
      <c r="A2" s="49" t="s">
        <v>225</v>
      </c>
      <c r="B2" s="49"/>
    </row>
    <row r="3" spans="1:17">
      <c r="A3" s="49" t="s">
        <v>226</v>
      </c>
      <c r="B3" s="49"/>
    </row>
    <row r="4" spans="1:17">
      <c r="A4" s="49" t="s">
        <v>205</v>
      </c>
      <c r="B4" s="49"/>
    </row>
    <row r="5" spans="1:17">
      <c r="A5" s="49" t="s">
        <v>206</v>
      </c>
      <c r="B5" s="49"/>
    </row>
    <row r="6" spans="1:17">
      <c r="A6" s="49"/>
      <c r="B6" s="49"/>
    </row>
    <row r="7" spans="1:17" ht="13.5" thickBot="1">
      <c r="A7" s="52" t="s">
        <v>207</v>
      </c>
      <c r="B7" s="53"/>
      <c r="C7" s="54" t="s">
        <v>208</v>
      </c>
      <c r="D7" s="54" t="s">
        <v>208</v>
      </c>
      <c r="E7" s="54" t="s">
        <v>208</v>
      </c>
      <c r="F7" s="54" t="s">
        <v>208</v>
      </c>
      <c r="G7" s="54" t="s">
        <v>208</v>
      </c>
      <c r="H7" s="54" t="s">
        <v>208</v>
      </c>
      <c r="I7" s="54" t="s">
        <v>208</v>
      </c>
      <c r="J7" s="54" t="s">
        <v>208</v>
      </c>
      <c r="K7" s="54" t="s">
        <v>208</v>
      </c>
      <c r="L7" s="54" t="s">
        <v>208</v>
      </c>
      <c r="M7" s="54" t="s">
        <v>208</v>
      </c>
      <c r="N7" s="54" t="s">
        <v>208</v>
      </c>
      <c r="O7" s="54" t="s">
        <v>208</v>
      </c>
    </row>
    <row r="8" spans="1:17" ht="39" thickBot="1">
      <c r="A8" s="55" t="s">
        <v>209</v>
      </c>
      <c r="B8" s="56" t="s">
        <v>210</v>
      </c>
      <c r="C8" s="57">
        <v>40695</v>
      </c>
      <c r="D8" s="57">
        <v>40725</v>
      </c>
      <c r="E8" s="57">
        <v>40756</v>
      </c>
      <c r="F8" s="57">
        <v>40787</v>
      </c>
      <c r="G8" s="57">
        <v>40817</v>
      </c>
      <c r="H8" s="57">
        <v>40848</v>
      </c>
      <c r="I8" s="57">
        <v>40878</v>
      </c>
      <c r="J8" s="57">
        <v>40909</v>
      </c>
      <c r="K8" s="57">
        <v>40940</v>
      </c>
      <c r="L8" s="57">
        <v>40969</v>
      </c>
      <c r="M8" s="57">
        <v>41000</v>
      </c>
      <c r="N8" s="57">
        <v>41030</v>
      </c>
      <c r="O8" s="57">
        <v>41061</v>
      </c>
      <c r="P8" s="57" t="s">
        <v>211</v>
      </c>
    </row>
    <row r="9" spans="1:17">
      <c r="A9" s="58" t="s">
        <v>212</v>
      </c>
      <c r="B9" s="59">
        <v>399</v>
      </c>
      <c r="C9" s="60">
        <v>429423.70836999995</v>
      </c>
      <c r="D9" s="60">
        <v>430198.52551999991</v>
      </c>
      <c r="E9" s="60">
        <v>430283.35671999992</v>
      </c>
      <c r="F9" s="60">
        <v>430545.13982999988</v>
      </c>
      <c r="G9" s="60">
        <v>424711.36148999992</v>
      </c>
      <c r="H9" s="60">
        <v>427883.10433999996</v>
      </c>
      <c r="I9" s="60">
        <v>434585.48834999994</v>
      </c>
      <c r="J9" s="60">
        <v>436905.76411999995</v>
      </c>
      <c r="K9" s="60">
        <v>440868.01619999995</v>
      </c>
      <c r="L9" s="60">
        <v>440962.18806999997</v>
      </c>
      <c r="M9" s="60">
        <v>444156.43499999994</v>
      </c>
      <c r="N9" s="60">
        <v>444438.10217999999</v>
      </c>
      <c r="O9" s="60">
        <v>444618.16275000002</v>
      </c>
      <c r="P9" s="60">
        <f>(((C9+O9)+(SUM(D9:N9)*2))/24)*(2/3)</f>
        <v>290142.13429888885</v>
      </c>
    </row>
    <row r="10" spans="1:17">
      <c r="A10" s="58" t="s">
        <v>213</v>
      </c>
      <c r="B10" s="59">
        <v>154</v>
      </c>
      <c r="C10" s="60">
        <v>15042.494739999998</v>
      </c>
      <c r="D10" s="60">
        <v>15249.70132</v>
      </c>
      <c r="E10" s="60">
        <v>15115.311619999999</v>
      </c>
      <c r="F10" s="60">
        <v>14856.85303</v>
      </c>
      <c r="G10" s="60">
        <v>15309.49178</v>
      </c>
      <c r="H10" s="60">
        <v>15681.03118</v>
      </c>
      <c r="I10" s="60">
        <v>15728.09002</v>
      </c>
      <c r="J10" s="60">
        <v>15669.686320000001</v>
      </c>
      <c r="K10" s="60">
        <v>15005.080239999999</v>
      </c>
      <c r="L10" s="60">
        <v>14645.211090000001</v>
      </c>
      <c r="M10" s="60">
        <v>15102.257099999999</v>
      </c>
      <c r="N10" s="60">
        <v>15926.196079999998</v>
      </c>
      <c r="O10" s="60">
        <v>14942.45117</v>
      </c>
      <c r="P10" s="60">
        <f>(((C10+O10)+(SUM(D10:N10)*2))/24)*$P$1</f>
        <v>10182.299040833323</v>
      </c>
    </row>
    <row r="11" spans="1:17">
      <c r="A11" s="58" t="s">
        <v>214</v>
      </c>
      <c r="B11" s="59">
        <v>151</v>
      </c>
      <c r="C11" s="60">
        <v>24182.219119999998</v>
      </c>
      <c r="D11" s="60">
        <v>29685.927640000002</v>
      </c>
      <c r="E11" s="60">
        <v>35292.208509999997</v>
      </c>
      <c r="F11" s="60">
        <v>37622.576559999994</v>
      </c>
      <c r="G11" s="60">
        <v>43820.986120000001</v>
      </c>
      <c r="H11" s="60">
        <v>51087.495879999995</v>
      </c>
      <c r="I11" s="60">
        <v>45778.098410000006</v>
      </c>
      <c r="J11" s="60">
        <v>46623.275139999998</v>
      </c>
      <c r="K11" s="60">
        <v>45430.249710000004</v>
      </c>
      <c r="L11" s="60">
        <v>44139.36381000001</v>
      </c>
      <c r="M11" s="60">
        <v>51260.674809999997</v>
      </c>
      <c r="N11" s="60">
        <v>52890.544879999994</v>
      </c>
      <c r="O11" s="60">
        <v>56179.529299999995</v>
      </c>
      <c r="P11" s="60">
        <f>(((C11+O11)+(SUM(D11:N11)*2))/24)*$P$1</f>
        <v>29100.681982222191</v>
      </c>
    </row>
    <row r="12" spans="1:17">
      <c r="A12" s="58" t="s">
        <v>215</v>
      </c>
      <c r="B12" s="59" t="s">
        <v>202</v>
      </c>
      <c r="C12" s="60">
        <v>2650.27726857275</v>
      </c>
      <c r="D12" s="60">
        <v>2866.7427687561963</v>
      </c>
      <c r="E12" s="60">
        <v>3163.7054022220236</v>
      </c>
      <c r="F12" s="60">
        <v>3075.8588554371308</v>
      </c>
      <c r="G12" s="60">
        <v>2869.0593385869197</v>
      </c>
      <c r="H12" s="60">
        <v>2401.7948838845386</v>
      </c>
      <c r="I12" s="60">
        <v>1878.6440989437438</v>
      </c>
      <c r="J12" s="60">
        <v>1663.2320281728955</v>
      </c>
      <c r="K12" s="60">
        <v>1439.0388501025768</v>
      </c>
      <c r="L12" s="60">
        <v>2070.7081547198268</v>
      </c>
      <c r="M12" s="60">
        <v>3085.1659204030502</v>
      </c>
      <c r="N12" s="60">
        <v>2517.0968898189162</v>
      </c>
      <c r="O12" s="60">
        <v>1242.519923665998</v>
      </c>
      <c r="P12" s="60">
        <f>(((C12+O12)+(SUM(D12:N12)*2))/24)*(2/3)</f>
        <v>1609.8580992870666</v>
      </c>
    </row>
    <row r="13" spans="1:17">
      <c r="A13" s="58" t="s">
        <v>216</v>
      </c>
      <c r="B13" s="59"/>
      <c r="C13" s="60">
        <v>0</v>
      </c>
      <c r="D13" s="60">
        <v>0</v>
      </c>
      <c r="E13" s="60">
        <v>0</v>
      </c>
      <c r="F13" s="60">
        <v>0</v>
      </c>
      <c r="G13" s="60">
        <v>0</v>
      </c>
      <c r="H13" s="60">
        <v>0</v>
      </c>
      <c r="I13" s="60">
        <v>0</v>
      </c>
      <c r="J13" s="60">
        <v>0</v>
      </c>
      <c r="K13" s="60">
        <v>0</v>
      </c>
      <c r="L13" s="60">
        <v>0</v>
      </c>
      <c r="M13" s="60">
        <v>0</v>
      </c>
      <c r="N13" s="60">
        <v>0</v>
      </c>
      <c r="O13" s="60">
        <v>0</v>
      </c>
      <c r="P13" s="60">
        <f>(((C13+O13)+(SUM(D13:N13)*2))/24)*(2/3)</f>
        <v>0</v>
      </c>
    </row>
    <row r="14" spans="1:17">
      <c r="A14" s="58" t="s">
        <v>217</v>
      </c>
      <c r="B14" s="59" t="s">
        <v>203</v>
      </c>
      <c r="C14" s="60">
        <v>-209644.35227559842</v>
      </c>
      <c r="D14" s="60">
        <v>-211861.41606559843</v>
      </c>
      <c r="E14" s="60">
        <v>-213353.29817559844</v>
      </c>
      <c r="F14" s="60">
        <v>-215565.95482559846</v>
      </c>
      <c r="G14" s="60">
        <v>-210607.17346559843</v>
      </c>
      <c r="H14" s="60">
        <v>-213010.82204559844</v>
      </c>
      <c r="I14" s="60">
        <v>-215334.53822559846</v>
      </c>
      <c r="J14" s="60">
        <v>-217717.26783559844</v>
      </c>
      <c r="K14" s="60">
        <v>-220236.40513559844</v>
      </c>
      <c r="L14" s="60">
        <v>-222510.29642559844</v>
      </c>
      <c r="M14" s="60">
        <v>-224652.57342559844</v>
      </c>
      <c r="N14" s="60">
        <v>-227197.20151559846</v>
      </c>
      <c r="O14" s="60">
        <v>-229887.48419559846</v>
      </c>
      <c r="P14" s="60">
        <f>(((C14+O14)+(SUM(D14:N14)*2))/24)*(2/3)</f>
        <v>-145100.71474317677</v>
      </c>
    </row>
    <row r="15" spans="1:17">
      <c r="A15" s="58" t="s">
        <v>218</v>
      </c>
      <c r="B15" s="59" t="s">
        <v>202</v>
      </c>
      <c r="C15" s="60">
        <v>0</v>
      </c>
      <c r="D15" s="60">
        <v>0</v>
      </c>
      <c r="E15" s="60">
        <v>0</v>
      </c>
      <c r="F15" s="60">
        <v>0</v>
      </c>
      <c r="G15" s="60">
        <v>0</v>
      </c>
      <c r="H15" s="60">
        <v>0</v>
      </c>
      <c r="I15" s="60">
        <v>0</v>
      </c>
      <c r="J15" s="60">
        <v>0</v>
      </c>
      <c r="K15" s="60">
        <v>0</v>
      </c>
      <c r="L15" s="60">
        <v>0</v>
      </c>
      <c r="M15" s="60">
        <v>0</v>
      </c>
      <c r="N15" s="60">
        <v>0</v>
      </c>
      <c r="O15" s="60">
        <v>0</v>
      </c>
      <c r="P15" s="60">
        <f>(((C15+O15)+(SUM(D15:N15)*2))/24)*(2/3)</f>
        <v>0</v>
      </c>
    </row>
    <row r="16" spans="1:17" ht="13.5" thickBot="1">
      <c r="A16" s="61" t="s">
        <v>219</v>
      </c>
      <c r="B16" s="62"/>
      <c r="C16" s="63">
        <f>C9+C12+C14</f>
        <v>222429.6333629743</v>
      </c>
      <c r="D16" s="63">
        <f t="shared" ref="D16:O16" si="0">D9+D12+D14</f>
        <v>221203.85222315765</v>
      </c>
      <c r="E16" s="63">
        <f t="shared" si="0"/>
        <v>220093.76394662348</v>
      </c>
      <c r="F16" s="63">
        <f t="shared" si="0"/>
        <v>218055.04385983857</v>
      </c>
      <c r="G16" s="63">
        <f t="shared" si="0"/>
        <v>216973.24736298842</v>
      </c>
      <c r="H16" s="63">
        <f t="shared" si="0"/>
        <v>217274.07717828607</v>
      </c>
      <c r="I16" s="63">
        <f t="shared" si="0"/>
        <v>221129.59422334522</v>
      </c>
      <c r="J16" s="63">
        <f t="shared" si="0"/>
        <v>220851.72831257439</v>
      </c>
      <c r="K16" s="63">
        <f t="shared" si="0"/>
        <v>222070.64991450409</v>
      </c>
      <c r="L16" s="63">
        <f t="shared" si="0"/>
        <v>220522.59979912138</v>
      </c>
      <c r="M16" s="63">
        <f t="shared" si="0"/>
        <v>222589.02749480453</v>
      </c>
      <c r="N16" s="63">
        <f t="shared" si="0"/>
        <v>219757.99755422043</v>
      </c>
      <c r="O16" s="63">
        <f t="shared" si="0"/>
        <v>215973.19847806758</v>
      </c>
      <c r="P16" s="63">
        <f>P9+P12+P14</f>
        <v>146651.27765499917</v>
      </c>
      <c r="Q16" s="64"/>
    </row>
    <row r="17" spans="1:30" ht="13.5" thickTop="1">
      <c r="A17" s="65"/>
      <c r="B17" s="66"/>
      <c r="C17" s="66"/>
      <c r="D17" s="66"/>
      <c r="E17" s="66"/>
      <c r="F17" s="66"/>
      <c r="G17" s="66"/>
      <c r="H17" s="66"/>
      <c r="I17" s="66"/>
      <c r="J17" s="66"/>
      <c r="K17" s="66"/>
      <c r="L17" s="66"/>
      <c r="M17" s="66"/>
      <c r="N17" s="66"/>
      <c r="O17" s="67"/>
      <c r="P17" s="67"/>
    </row>
    <row r="18" spans="1:30" ht="27" customHeight="1" thickBot="1">
      <c r="A18" s="68" t="s">
        <v>220</v>
      </c>
      <c r="B18" s="69"/>
      <c r="C18" s="70">
        <f>C16*(2/3)</f>
        <v>148286.42224198286</v>
      </c>
      <c r="D18" s="70">
        <f t="shared" ref="D18:O18" si="1">D16*(2/3)</f>
        <v>147469.23481543842</v>
      </c>
      <c r="E18" s="70">
        <f t="shared" si="1"/>
        <v>146729.17596441566</v>
      </c>
      <c r="F18" s="70">
        <f t="shared" si="1"/>
        <v>145370.02923989238</v>
      </c>
      <c r="G18" s="70">
        <f t="shared" si="1"/>
        <v>144648.8315753256</v>
      </c>
      <c r="H18" s="70">
        <f t="shared" si="1"/>
        <v>144849.38478552405</v>
      </c>
      <c r="I18" s="70">
        <f t="shared" si="1"/>
        <v>147419.72948223015</v>
      </c>
      <c r="J18" s="70">
        <f t="shared" si="1"/>
        <v>147234.48554171625</v>
      </c>
      <c r="K18" s="70">
        <f t="shared" si="1"/>
        <v>148047.09994300272</v>
      </c>
      <c r="L18" s="70">
        <f t="shared" si="1"/>
        <v>147015.06653274759</v>
      </c>
      <c r="M18" s="70">
        <f t="shared" si="1"/>
        <v>148392.68499653635</v>
      </c>
      <c r="N18" s="70">
        <f t="shared" si="1"/>
        <v>146505.33170281362</v>
      </c>
      <c r="O18" s="70">
        <f t="shared" si="1"/>
        <v>143982.13231871172</v>
      </c>
      <c r="P18" s="70"/>
      <c r="Q18" s="64"/>
      <c r="R18" s="64"/>
      <c r="S18" s="64"/>
      <c r="T18" s="64"/>
      <c r="U18" s="64"/>
      <c r="V18" s="64"/>
      <c r="W18" s="64"/>
      <c r="X18" s="64"/>
      <c r="Y18" s="64"/>
      <c r="Z18" s="64"/>
      <c r="AA18" s="64"/>
      <c r="AB18" s="64"/>
      <c r="AC18" s="64"/>
    </row>
    <row r="19" spans="1:30" ht="24.6" customHeight="1"/>
    <row r="20" spans="1:30" ht="24.6" customHeight="1"/>
    <row r="21" spans="1:30" ht="24.6" customHeight="1" thickBot="1">
      <c r="A21" s="52" t="s">
        <v>207</v>
      </c>
      <c r="B21" s="52"/>
      <c r="C21" s="71" t="s">
        <v>208</v>
      </c>
      <c r="D21" s="71" t="s">
        <v>208</v>
      </c>
      <c r="E21" s="71" t="s">
        <v>221</v>
      </c>
      <c r="F21" s="71" t="s">
        <v>221</v>
      </c>
      <c r="G21" s="71" t="s">
        <v>221</v>
      </c>
      <c r="H21" s="71" t="s">
        <v>221</v>
      </c>
      <c r="I21" s="71" t="s">
        <v>221</v>
      </c>
      <c r="J21" s="71" t="s">
        <v>221</v>
      </c>
      <c r="K21" s="71" t="s">
        <v>221</v>
      </c>
      <c r="L21" s="71" t="s">
        <v>221</v>
      </c>
      <c r="M21" s="71" t="s">
        <v>221</v>
      </c>
      <c r="N21" s="71" t="s">
        <v>221</v>
      </c>
      <c r="O21" s="71" t="s">
        <v>221</v>
      </c>
    </row>
    <row r="22" spans="1:30" ht="60" customHeight="1" thickBot="1">
      <c r="A22" s="55" t="s">
        <v>209</v>
      </c>
      <c r="B22" s="56" t="s">
        <v>210</v>
      </c>
      <c r="C22" s="57">
        <v>41061</v>
      </c>
      <c r="D22" s="57">
        <v>41091</v>
      </c>
      <c r="E22" s="57">
        <v>41122</v>
      </c>
      <c r="F22" s="57">
        <v>41153</v>
      </c>
      <c r="G22" s="57">
        <v>41183</v>
      </c>
      <c r="H22" s="57">
        <v>41214</v>
      </c>
      <c r="I22" s="57">
        <v>41244</v>
      </c>
      <c r="J22" s="57">
        <v>41275</v>
      </c>
      <c r="K22" s="57">
        <v>41306</v>
      </c>
      <c r="L22" s="57">
        <v>41334</v>
      </c>
      <c r="M22" s="57">
        <v>41365</v>
      </c>
      <c r="N22" s="57">
        <v>41395</v>
      </c>
      <c r="O22" s="57">
        <v>41426</v>
      </c>
      <c r="P22" s="57" t="s">
        <v>211</v>
      </c>
    </row>
    <row r="23" spans="1:30" ht="24.6" customHeight="1">
      <c r="A23" s="58" t="s">
        <v>212</v>
      </c>
      <c r="B23" s="59">
        <v>399</v>
      </c>
      <c r="C23" s="60">
        <v>444618.16275000002</v>
      </c>
      <c r="D23" s="60">
        <v>447680.65515000001</v>
      </c>
      <c r="E23" s="60">
        <v>450065.32515000005</v>
      </c>
      <c r="F23" s="60">
        <v>454227.80515000003</v>
      </c>
      <c r="G23" s="60">
        <v>456714.09514999995</v>
      </c>
      <c r="H23" s="60">
        <v>458882.09514999995</v>
      </c>
      <c r="I23" s="60">
        <v>465552.48314999999</v>
      </c>
      <c r="J23" s="60">
        <v>465954.48314999999</v>
      </c>
      <c r="K23" s="60">
        <v>466678.48314999999</v>
      </c>
      <c r="L23" s="60">
        <v>467278.65615</v>
      </c>
      <c r="M23" s="60">
        <v>467746.65615</v>
      </c>
      <c r="N23" s="60">
        <v>468454.65615</v>
      </c>
      <c r="O23" s="60">
        <v>469616.82815000002</v>
      </c>
      <c r="P23" s="60">
        <f t="shared" ref="P23:P29" si="2">(((C23+O23)+(SUM(D23:N23)*2))/24)*$P$1</f>
        <v>307019.60494999972</v>
      </c>
      <c r="Q23" s="64"/>
    </row>
    <row r="24" spans="1:30" ht="24.6" customHeight="1">
      <c r="A24" s="58" t="s">
        <v>213</v>
      </c>
      <c r="B24" s="59">
        <v>154</v>
      </c>
      <c r="C24" s="60">
        <v>14942.45117</v>
      </c>
      <c r="D24" s="60">
        <v>15375.908830000002</v>
      </c>
      <c r="E24" s="60">
        <v>15375.908830000002</v>
      </c>
      <c r="F24" s="60">
        <v>15375.908830000002</v>
      </c>
      <c r="G24" s="60">
        <v>15375.908830000002</v>
      </c>
      <c r="H24" s="60">
        <v>15375.908830000002</v>
      </c>
      <c r="I24" s="60">
        <v>15375.908830000002</v>
      </c>
      <c r="J24" s="60">
        <v>15375.908830000002</v>
      </c>
      <c r="K24" s="60">
        <v>15375.908830000002</v>
      </c>
      <c r="L24" s="60">
        <v>15375.908830000002</v>
      </c>
      <c r="M24" s="60">
        <v>15375.908830000002</v>
      </c>
      <c r="N24" s="60">
        <v>15375.908830000002</v>
      </c>
      <c r="O24" s="60">
        <v>15375.908830000002</v>
      </c>
      <c r="P24" s="60">
        <f t="shared" si="2"/>
        <v>10238.565396111102</v>
      </c>
    </row>
    <row r="25" spans="1:30" ht="24.6" customHeight="1">
      <c r="A25" s="58" t="s">
        <v>214</v>
      </c>
      <c r="B25" s="59">
        <v>151</v>
      </c>
      <c r="C25" s="60">
        <v>56179.529299999995</v>
      </c>
      <c r="D25" s="60">
        <v>53413.031589999999</v>
      </c>
      <c r="E25" s="60">
        <v>50082.007785614755</v>
      </c>
      <c r="F25" s="60">
        <v>49449.56250303323</v>
      </c>
      <c r="G25" s="60">
        <v>41795.867428170466</v>
      </c>
      <c r="H25" s="60">
        <v>40314.055024294481</v>
      </c>
      <c r="I25" s="60">
        <v>42945.628610531334</v>
      </c>
      <c r="J25" s="60">
        <v>44024.808594473703</v>
      </c>
      <c r="K25" s="60">
        <v>43815.085460476796</v>
      </c>
      <c r="L25" s="60">
        <v>44728.234406001211</v>
      </c>
      <c r="M25" s="60">
        <v>49283.560918607647</v>
      </c>
      <c r="N25" s="60">
        <v>47392.297967857921</v>
      </c>
      <c r="O25" s="60">
        <v>48212.347728038163</v>
      </c>
      <c r="P25" s="60">
        <f t="shared" si="2"/>
        <v>31080.004377948888</v>
      </c>
    </row>
    <row r="26" spans="1:30" ht="24.6" customHeight="1">
      <c r="A26" s="58" t="s">
        <v>215</v>
      </c>
      <c r="B26" s="59" t="s">
        <v>202</v>
      </c>
      <c r="C26" s="60">
        <v>1242.519923665998</v>
      </c>
      <c r="D26" s="60">
        <v>803.32394012002635</v>
      </c>
      <c r="E26" s="60">
        <v>287.79698597579875</v>
      </c>
      <c r="F26" s="60">
        <v>310.23235987798859</v>
      </c>
      <c r="G26" s="60">
        <v>2937.3801027895479</v>
      </c>
      <c r="H26" s="60">
        <v>2442.2724777135236</v>
      </c>
      <c r="I26" s="60">
        <v>1956.51237355735</v>
      </c>
      <c r="J26" s="60">
        <v>1413.4616318713413</v>
      </c>
      <c r="K26" s="60">
        <v>1053.6367087244992</v>
      </c>
      <c r="L26" s="60">
        <v>529.6820457423197</v>
      </c>
      <c r="M26" s="60">
        <v>0</v>
      </c>
      <c r="N26" s="60">
        <v>2679.16071256845</v>
      </c>
      <c r="O26" s="60">
        <v>2480.1378639116001</v>
      </c>
      <c r="P26" s="60">
        <f t="shared" si="2"/>
        <v>904.15490181831274</v>
      </c>
    </row>
    <row r="27" spans="1:30" ht="24.6" customHeight="1">
      <c r="A27" s="58" t="s">
        <v>216</v>
      </c>
      <c r="B27" s="59"/>
      <c r="C27" s="60">
        <v>0</v>
      </c>
      <c r="D27" s="60">
        <v>0</v>
      </c>
      <c r="E27" s="60">
        <v>0</v>
      </c>
      <c r="F27" s="60">
        <v>0</v>
      </c>
      <c r="G27" s="60">
        <v>0</v>
      </c>
      <c r="H27" s="60">
        <v>0</v>
      </c>
      <c r="I27" s="60">
        <v>0</v>
      </c>
      <c r="J27" s="60">
        <v>0</v>
      </c>
      <c r="K27" s="60">
        <v>0</v>
      </c>
      <c r="L27" s="60">
        <v>0</v>
      </c>
      <c r="M27" s="60">
        <v>0</v>
      </c>
      <c r="N27" s="60">
        <v>0</v>
      </c>
      <c r="O27" s="60">
        <v>0</v>
      </c>
      <c r="P27" s="60">
        <f t="shared" si="2"/>
        <v>0</v>
      </c>
    </row>
    <row r="28" spans="1:30" ht="24.6" customHeight="1">
      <c r="A28" s="58" t="s">
        <v>217</v>
      </c>
      <c r="B28" s="59" t="s">
        <v>203</v>
      </c>
      <c r="C28" s="60">
        <v>-229887.48419559846</v>
      </c>
      <c r="D28" s="60">
        <v>-232576.79646559845</v>
      </c>
      <c r="E28" s="60">
        <v>-235415.69099942077</v>
      </c>
      <c r="F28" s="60">
        <v>-238143.44050564678</v>
      </c>
      <c r="G28" s="60">
        <v>-240512.97275794443</v>
      </c>
      <c r="H28" s="60">
        <v>-243292.07681921631</v>
      </c>
      <c r="I28" s="60">
        <v>-246103.88754732185</v>
      </c>
      <c r="J28" s="60">
        <v>-248960.52957345895</v>
      </c>
      <c r="K28" s="60">
        <v>-251647.38171103245</v>
      </c>
      <c r="L28" s="60">
        <v>-254495.70103098702</v>
      </c>
      <c r="M28" s="60">
        <v>-257366.77620841324</v>
      </c>
      <c r="N28" s="60">
        <v>-259677.40370991157</v>
      </c>
      <c r="O28" s="60">
        <v>-262353.93297534599</v>
      </c>
      <c r="P28" s="60">
        <f t="shared" si="2"/>
        <v>-164128.52032857898</v>
      </c>
    </row>
    <row r="29" spans="1:30" ht="24.6" customHeight="1">
      <c r="A29" s="58" t="s">
        <v>218</v>
      </c>
      <c r="B29" s="59" t="s">
        <v>202</v>
      </c>
      <c r="C29" s="60">
        <v>0</v>
      </c>
      <c r="D29" s="60">
        <v>0</v>
      </c>
      <c r="E29" s="60">
        <v>0</v>
      </c>
      <c r="F29" s="60">
        <v>0</v>
      </c>
      <c r="G29" s="60">
        <v>0</v>
      </c>
      <c r="H29" s="60">
        <v>0</v>
      </c>
      <c r="I29" s="60">
        <v>0</v>
      </c>
      <c r="J29" s="60">
        <v>0</v>
      </c>
      <c r="K29" s="60">
        <v>0</v>
      </c>
      <c r="L29" s="60">
        <v>0</v>
      </c>
      <c r="M29" s="60">
        <v>0</v>
      </c>
      <c r="N29" s="60">
        <v>0</v>
      </c>
      <c r="O29" s="60">
        <v>0</v>
      </c>
      <c r="P29" s="60">
        <f t="shared" si="2"/>
        <v>0</v>
      </c>
    </row>
    <row r="30" spans="1:30" ht="24.6" customHeight="1" thickBot="1">
      <c r="A30" s="61" t="s">
        <v>219</v>
      </c>
      <c r="B30" s="62"/>
      <c r="C30" s="63">
        <f t="shared" ref="C30:O30" si="3">C23+C26+C28</f>
        <v>215973.19847806758</v>
      </c>
      <c r="D30" s="63">
        <f t="shared" si="3"/>
        <v>215907.18262452161</v>
      </c>
      <c r="E30" s="63">
        <f t="shared" si="3"/>
        <v>214937.4311365551</v>
      </c>
      <c r="F30" s="63">
        <f t="shared" si="3"/>
        <v>216394.59700423121</v>
      </c>
      <c r="G30" s="63">
        <f t="shared" si="3"/>
        <v>219138.50249484507</v>
      </c>
      <c r="H30" s="63">
        <f t="shared" si="3"/>
        <v>218032.29080849717</v>
      </c>
      <c r="I30" s="63">
        <f t="shared" si="3"/>
        <v>221405.10797623551</v>
      </c>
      <c r="J30" s="63">
        <f t="shared" si="3"/>
        <v>218407.41520841239</v>
      </c>
      <c r="K30" s="63">
        <f t="shared" si="3"/>
        <v>216084.73814769203</v>
      </c>
      <c r="L30" s="63">
        <f t="shared" si="3"/>
        <v>213312.63716475532</v>
      </c>
      <c r="M30" s="63">
        <f t="shared" si="3"/>
        <v>210379.87994158675</v>
      </c>
      <c r="N30" s="63">
        <f t="shared" si="3"/>
        <v>211456.41315265687</v>
      </c>
      <c r="O30" s="63">
        <f t="shared" si="3"/>
        <v>209743.0330385656</v>
      </c>
      <c r="P30" s="63">
        <f>P23+P26+P28</f>
        <v>143795.23952323906</v>
      </c>
      <c r="Q30" s="64"/>
    </row>
    <row r="31" spans="1:30" ht="13.5" thickTop="1">
      <c r="A31" s="65"/>
      <c r="B31" s="66"/>
      <c r="C31" s="66"/>
      <c r="D31" s="66"/>
      <c r="E31" s="66"/>
      <c r="F31" s="66"/>
      <c r="G31" s="66"/>
      <c r="H31" s="66"/>
      <c r="I31" s="66"/>
      <c r="J31" s="66"/>
      <c r="K31" s="66"/>
      <c r="L31" s="66"/>
      <c r="M31" s="66"/>
      <c r="N31" s="66"/>
      <c r="O31" s="66"/>
      <c r="P31" s="67"/>
    </row>
    <row r="32" spans="1:30" ht="27" customHeight="1" thickBot="1">
      <c r="A32" s="68" t="s">
        <v>220</v>
      </c>
      <c r="B32" s="69"/>
      <c r="C32" s="70">
        <f>C30*(2/3)</f>
        <v>143982.13231871172</v>
      </c>
      <c r="D32" s="70">
        <f t="shared" ref="D32:O32" si="4">D30*(2/3)</f>
        <v>143938.12174968107</v>
      </c>
      <c r="E32" s="70">
        <f t="shared" si="4"/>
        <v>143291.62075770338</v>
      </c>
      <c r="F32" s="70">
        <f t="shared" si="4"/>
        <v>144263.06466948747</v>
      </c>
      <c r="G32" s="70">
        <f t="shared" si="4"/>
        <v>146092.33499656338</v>
      </c>
      <c r="H32" s="70">
        <f t="shared" si="4"/>
        <v>145354.86053899809</v>
      </c>
      <c r="I32" s="70">
        <f t="shared" si="4"/>
        <v>147603.40531749034</v>
      </c>
      <c r="J32" s="70">
        <f t="shared" si="4"/>
        <v>145604.94347227493</v>
      </c>
      <c r="K32" s="70">
        <f t="shared" si="4"/>
        <v>144056.49209846134</v>
      </c>
      <c r="L32" s="70">
        <f t="shared" si="4"/>
        <v>142208.42477650353</v>
      </c>
      <c r="M32" s="70">
        <f t="shared" si="4"/>
        <v>140253.25329439115</v>
      </c>
      <c r="N32" s="70">
        <f t="shared" si="4"/>
        <v>140970.94210177124</v>
      </c>
      <c r="O32" s="70">
        <f t="shared" si="4"/>
        <v>139828.68869237707</v>
      </c>
      <c r="P32" s="70"/>
      <c r="Q32" s="64"/>
      <c r="R32" s="64"/>
      <c r="S32" s="64"/>
      <c r="T32" s="64"/>
      <c r="U32" s="64"/>
      <c r="V32" s="64"/>
      <c r="W32" s="64"/>
      <c r="X32" s="64"/>
      <c r="Y32" s="64"/>
      <c r="Z32" s="64"/>
      <c r="AA32" s="64"/>
      <c r="AB32" s="64"/>
      <c r="AC32" s="64"/>
      <c r="AD32" s="64"/>
    </row>
    <row r="35" spans="1:4" ht="13.5" thickBot="1">
      <c r="A35" s="312" t="s">
        <v>222</v>
      </c>
      <c r="B35" s="313"/>
      <c r="C35" s="72">
        <f>(C18+O18+2*SUM(D18:N18))/24</f>
        <v>146651.27765499917</v>
      </c>
      <c r="D35" s="73" t="s">
        <v>223</v>
      </c>
    </row>
    <row r="36" spans="1:4" ht="13.5" thickBot="1">
      <c r="A36" s="314" t="s">
        <v>224</v>
      </c>
      <c r="B36" s="315"/>
      <c r="C36" s="72">
        <f>(C32+O32+2*SUM(D32:N32))/24</f>
        <v>143795.2395232392</v>
      </c>
      <c r="D36" s="73" t="s">
        <v>223</v>
      </c>
    </row>
    <row r="38" spans="1:4">
      <c r="A38" s="74" t="s">
        <v>227</v>
      </c>
      <c r="C38" s="76">
        <v>0.21415849143671642</v>
      </c>
    </row>
    <row r="39" spans="1:4" ht="13.5" thickBot="1">
      <c r="C39" s="77">
        <f>+C35*C38</f>
        <v>31406.616389861661</v>
      </c>
    </row>
    <row r="40" spans="1:4" ht="13.5" thickTop="1"/>
    <row r="42" spans="1:4">
      <c r="A42" s="74" t="s">
        <v>228</v>
      </c>
      <c r="C42" s="78">
        <f>((C10+O10+2*SUM(D10:N10))/24)+((C11+O11+2*SUM(D11:N11))/24)</f>
        <v>58924.471534583332</v>
      </c>
    </row>
    <row r="43" spans="1:4">
      <c r="A43" s="74" t="s">
        <v>229</v>
      </c>
      <c r="C43" s="75">
        <f>2/3</f>
        <v>0.66666666666666663</v>
      </c>
    </row>
    <row r="44" spans="1:4" ht="13.5" thickBot="1">
      <c r="C44" s="77">
        <f>+C42*C43</f>
        <v>39282.981023055552</v>
      </c>
    </row>
    <row r="45" spans="1:4" ht="13.5" thickTop="1"/>
  </sheetData>
  <mergeCells count="2">
    <mergeCell ref="A35:B35"/>
    <mergeCell ref="A36:B36"/>
  </mergeCells>
  <pageMargins left="0.7" right="0.7" top="0.75" bottom="0.75" header="0.3" footer="0.3"/>
  <pageSetup scale="80" orientation="portrait" r:id="rId1"/>
  <colBreaks count="2" manualBreakCount="2">
    <brk id="6" max="43" man="1"/>
    <brk id="16" max="1048575" man="1"/>
  </colBreaks>
</worksheet>
</file>

<file path=xl/worksheets/sheet8.xml><?xml version="1.0" encoding="utf-8"?>
<worksheet xmlns="http://schemas.openxmlformats.org/spreadsheetml/2006/main" xmlns:r="http://schemas.openxmlformats.org/officeDocument/2006/relationships">
  <sheetPr>
    <pageSetUpPr fitToPage="1"/>
  </sheetPr>
  <dimension ref="A1:AC268"/>
  <sheetViews>
    <sheetView zoomScale="75" zoomScaleNormal="75" workbookViewId="0">
      <pane xSplit="2" ySplit="3" topLeftCell="P163" activePane="bottomRight" state="frozen"/>
      <selection pane="topRight" activeCell="C1" sqref="C1"/>
      <selection pane="bottomLeft" activeCell="A4" sqref="A4"/>
      <selection pane="bottomRight" activeCell="P4" sqref="P4"/>
    </sheetView>
  </sheetViews>
  <sheetFormatPr defaultRowHeight="15.75" outlineLevelCol="1"/>
  <cols>
    <col min="1" max="1" width="5.28515625" style="1" bestFit="1" customWidth="1"/>
    <col min="2" max="2" width="62" style="1" bestFit="1" customWidth="1"/>
    <col min="3" max="15" width="18" style="1" hidden="1" customWidth="1" outlineLevel="1"/>
    <col min="16" max="16" width="18.5703125" style="1" bestFit="1" customWidth="1" collapsed="1"/>
    <col min="17" max="17" width="20.140625" style="1" hidden="1" customWidth="1"/>
    <col min="18" max="18" width="11.28515625" style="1" hidden="1" customWidth="1"/>
    <col min="19" max="19" width="3.5703125" style="1" customWidth="1"/>
    <col min="20" max="21" width="16.7109375" style="1" customWidth="1" outlineLevel="1"/>
    <col min="22" max="22" width="18" style="1" customWidth="1" outlineLevel="1"/>
    <col min="23" max="23" width="17.7109375" style="1" customWidth="1" outlineLevel="1"/>
    <col min="24" max="24" width="15.7109375" style="1" customWidth="1" outlineLevel="1"/>
    <col min="25" max="25" width="18" style="1" customWidth="1" outlineLevel="1"/>
    <col min="26" max="26" width="16.85546875" style="1" customWidth="1" outlineLevel="1"/>
    <col min="27" max="27" width="18.85546875" style="1" customWidth="1" outlineLevel="1"/>
    <col min="28" max="28" width="11.140625" style="1" bestFit="1" customWidth="1"/>
    <col min="29" max="29" width="13.140625" style="1" bestFit="1" customWidth="1"/>
    <col min="30" max="16384" width="9.140625" style="1"/>
  </cols>
  <sheetData>
    <row r="1" spans="1:28">
      <c r="B1" s="79" t="s">
        <v>200</v>
      </c>
      <c r="C1" s="79" t="s">
        <v>199</v>
      </c>
      <c r="D1" s="79" t="s">
        <v>198</v>
      </c>
      <c r="E1" s="79" t="s">
        <v>197</v>
      </c>
      <c r="F1" s="79" t="s">
        <v>196</v>
      </c>
      <c r="G1" s="79" t="s">
        <v>195</v>
      </c>
      <c r="H1" s="79" t="s">
        <v>194</v>
      </c>
      <c r="I1" s="79" t="s">
        <v>193</v>
      </c>
      <c r="J1" s="79" t="s">
        <v>192</v>
      </c>
      <c r="K1" s="79" t="s">
        <v>191</v>
      </c>
      <c r="L1" s="79" t="s">
        <v>190</v>
      </c>
      <c r="M1" s="79" t="s">
        <v>189</v>
      </c>
      <c r="N1" s="79" t="s">
        <v>188</v>
      </c>
      <c r="O1" s="79" t="s">
        <v>187</v>
      </c>
      <c r="P1" s="79" t="s">
        <v>186</v>
      </c>
      <c r="Q1" s="79"/>
      <c r="R1" s="79"/>
      <c r="T1" s="79" t="s">
        <v>185</v>
      </c>
      <c r="U1" s="79" t="s">
        <v>184</v>
      </c>
      <c r="V1" s="79" t="s">
        <v>183</v>
      </c>
      <c r="W1" s="79" t="s">
        <v>182</v>
      </c>
      <c r="X1" s="79" t="s">
        <v>181</v>
      </c>
      <c r="Y1" s="79" t="s">
        <v>180</v>
      </c>
      <c r="Z1" s="79" t="s">
        <v>179</v>
      </c>
      <c r="AA1" s="79" t="s">
        <v>178</v>
      </c>
    </row>
    <row r="2" spans="1:28">
      <c r="A2" s="79" t="s">
        <v>177</v>
      </c>
      <c r="B2" s="47" t="s">
        <v>176</v>
      </c>
      <c r="C2" s="44">
        <v>40695</v>
      </c>
      <c r="D2" s="44">
        <v>40725</v>
      </c>
      <c r="E2" s="44">
        <v>40756</v>
      </c>
      <c r="F2" s="44">
        <v>40787</v>
      </c>
      <c r="G2" s="44">
        <v>40817</v>
      </c>
      <c r="H2" s="44">
        <v>40848</v>
      </c>
      <c r="I2" s="44">
        <v>40878</v>
      </c>
      <c r="J2" s="44">
        <v>40909</v>
      </c>
      <c r="K2" s="44">
        <v>40940</v>
      </c>
      <c r="L2" s="44">
        <v>40969</v>
      </c>
      <c r="M2" s="44">
        <v>41000</v>
      </c>
      <c r="N2" s="44">
        <v>41030</v>
      </c>
      <c r="O2" s="44">
        <v>41061</v>
      </c>
      <c r="P2" s="79" t="s">
        <v>175</v>
      </c>
      <c r="Q2" s="3" t="s">
        <v>174</v>
      </c>
      <c r="R2" s="3" t="s">
        <v>173</v>
      </c>
      <c r="T2" s="79" t="s">
        <v>172</v>
      </c>
      <c r="U2" s="79" t="s">
        <v>171</v>
      </c>
      <c r="V2" s="79" t="s">
        <v>170</v>
      </c>
      <c r="W2" s="79" t="s">
        <v>169</v>
      </c>
      <c r="X2" s="316" t="s">
        <v>168</v>
      </c>
      <c r="Y2" s="316"/>
      <c r="Z2" s="316"/>
      <c r="AA2" s="46" t="s">
        <v>167</v>
      </c>
    </row>
    <row r="3" spans="1:28">
      <c r="B3" s="45"/>
      <c r="C3" s="44"/>
      <c r="D3" s="44"/>
      <c r="E3" s="44"/>
      <c r="F3" s="44"/>
      <c r="G3" s="44"/>
      <c r="H3" s="44"/>
      <c r="I3" s="44"/>
      <c r="J3" s="44"/>
      <c r="K3" s="44"/>
      <c r="L3" s="44"/>
      <c r="M3" s="44"/>
      <c r="N3" s="44"/>
      <c r="O3" s="44"/>
      <c r="P3" s="3"/>
      <c r="Q3" s="3"/>
      <c r="R3" s="3"/>
      <c r="X3" s="79" t="s">
        <v>166</v>
      </c>
      <c r="Y3" s="79" t="s">
        <v>165</v>
      </c>
      <c r="Z3" s="79" t="s">
        <v>164</v>
      </c>
    </row>
    <row r="4" spans="1:28" s="3" customFormat="1">
      <c r="A4" s="3">
        <v>1</v>
      </c>
      <c r="B4" s="17" t="s">
        <v>163</v>
      </c>
      <c r="C4" s="30" t="s">
        <v>21</v>
      </c>
      <c r="D4" s="30" t="s">
        <v>21</v>
      </c>
      <c r="E4" s="30" t="s">
        <v>21</v>
      </c>
      <c r="F4" s="30" t="s">
        <v>21</v>
      </c>
      <c r="G4" s="30" t="s">
        <v>21</v>
      </c>
      <c r="H4" s="30" t="s">
        <v>21</v>
      </c>
      <c r="I4" s="30" t="s">
        <v>21</v>
      </c>
      <c r="J4" s="30" t="s">
        <v>21</v>
      </c>
      <c r="K4" s="30" t="s">
        <v>21</v>
      </c>
      <c r="L4" s="30" t="s">
        <v>21</v>
      </c>
      <c r="M4" s="30" t="s">
        <v>21</v>
      </c>
      <c r="N4" s="30" t="s">
        <v>21</v>
      </c>
      <c r="O4" s="30" t="s">
        <v>21</v>
      </c>
      <c r="R4" s="3" t="s">
        <v>162</v>
      </c>
      <c r="X4" s="5"/>
      <c r="Y4" s="5"/>
      <c r="Z4" s="5"/>
      <c r="AA4" s="5"/>
      <c r="AB4" s="5"/>
    </row>
    <row r="5" spans="1:28" s="3" customFormat="1">
      <c r="A5" s="3">
        <f t="shared" ref="A5:A68" si="0">+A4+1</f>
        <v>2</v>
      </c>
      <c r="B5" s="17" t="s">
        <v>161</v>
      </c>
      <c r="C5" s="48">
        <f>22519683339.27-25026303</f>
        <v>22494657036.27</v>
      </c>
      <c r="D5" s="28">
        <v>22538905367.18</v>
      </c>
      <c r="E5" s="28">
        <v>22592506930.139999</v>
      </c>
      <c r="F5" s="48">
        <f>22598922375.09-25155340</f>
        <v>22573767035.09</v>
      </c>
      <c r="G5" s="28">
        <v>22633607562.82</v>
      </c>
      <c r="H5" s="28">
        <v>22885467141.580002</v>
      </c>
      <c r="I5" s="28">
        <v>23014228731.009998</v>
      </c>
      <c r="J5" s="28">
        <v>23041852963.66</v>
      </c>
      <c r="K5" s="28">
        <v>23063076957.150002</v>
      </c>
      <c r="L5" s="28">
        <v>23141225342.98</v>
      </c>
      <c r="M5" s="28">
        <v>23276471692.220001</v>
      </c>
      <c r="N5" s="28">
        <v>23341283033.93</v>
      </c>
      <c r="O5" s="28">
        <v>23570701300.41</v>
      </c>
      <c r="P5" s="4">
        <f t="shared" ref="P5:P19" si="1">(C5+2*SUM(D5:N5)+O5)/24</f>
        <v>22927922660.508335</v>
      </c>
      <c r="Q5" s="4">
        <f t="shared" ref="Q5:Q19" si="2">AVERAGE(D5:O5)</f>
        <v>22972757838.180832</v>
      </c>
      <c r="R5" s="8">
        <f>+Q5/P5-1</f>
        <v>1.9554836404660492E-3</v>
      </c>
      <c r="V5" s="4">
        <f>+P5</f>
        <v>22927922660.508335</v>
      </c>
      <c r="X5" s="5">
        <f>+[4]Report!$K$2419+[4]Report!$K$2431+[4]Report!$K$2439</f>
        <v>1548960033.034529</v>
      </c>
      <c r="Y5" s="5">
        <f>+[4]Report!$J$2419+[4]Report!$J$2431+[4]Report!$J$2439</f>
        <v>21277452770.969261</v>
      </c>
      <c r="Z5" s="5">
        <f>+P5-X5-Y5</f>
        <v>101509856.5045433</v>
      </c>
      <c r="AA5" s="5">
        <f>+Z5+X5+Y5</f>
        <v>22927922660.508335</v>
      </c>
      <c r="AB5" s="5"/>
    </row>
    <row r="6" spans="1:28" s="3" customFormat="1">
      <c r="A6" s="3">
        <f t="shared" si="0"/>
        <v>3</v>
      </c>
      <c r="B6" s="17" t="s">
        <v>160</v>
      </c>
      <c r="C6" s="28">
        <v>1028316270.58</v>
      </c>
      <c r="D6" s="28">
        <v>1115094453.8399999</v>
      </c>
      <c r="E6" s="28">
        <v>1162288374.3199999</v>
      </c>
      <c r="F6" s="28">
        <v>1243059219.7</v>
      </c>
      <c r="G6" s="28">
        <v>1323576403.99</v>
      </c>
      <c r="H6" s="28">
        <v>1199496888.6600001</v>
      </c>
      <c r="I6" s="28">
        <v>1203547965.21</v>
      </c>
      <c r="J6" s="28">
        <v>1262420584.3299999</v>
      </c>
      <c r="K6" s="28">
        <v>1343476611.71</v>
      </c>
      <c r="L6" s="28">
        <v>1334646286.0999999</v>
      </c>
      <c r="M6" s="28">
        <v>1304174952.55</v>
      </c>
      <c r="N6" s="28">
        <v>1345399206.3099999</v>
      </c>
      <c r="O6" s="28">
        <v>1198496961.5599999</v>
      </c>
      <c r="P6" s="4">
        <f t="shared" si="1"/>
        <v>1245882296.8991666</v>
      </c>
      <c r="Q6" s="4">
        <f t="shared" si="2"/>
        <v>1252973159.0233331</v>
      </c>
      <c r="R6" s="8">
        <f>+Q6/P6-1</f>
        <v>5.6914382215838E-3</v>
      </c>
      <c r="V6" s="4">
        <f>+P6</f>
        <v>1245882296.8991666</v>
      </c>
      <c r="X6" s="5"/>
      <c r="Y6" s="5"/>
      <c r="Z6" s="5">
        <f>+V6</f>
        <v>1245882296.8991666</v>
      </c>
      <c r="AA6" s="5">
        <f>+Z6+X6+Y6</f>
        <v>1245882296.8991666</v>
      </c>
      <c r="AB6" s="5"/>
    </row>
    <row r="7" spans="1:28" s="3" customFormat="1">
      <c r="A7" s="3">
        <f t="shared" si="0"/>
        <v>4</v>
      </c>
      <c r="B7" s="17" t="s">
        <v>159</v>
      </c>
      <c r="C7" s="28">
        <f t="shared" ref="C7:N7" si="3">SUM(C5:C6)</f>
        <v>23522973306.850002</v>
      </c>
      <c r="D7" s="28">
        <f t="shared" si="3"/>
        <v>23653999821.02</v>
      </c>
      <c r="E7" s="28">
        <f t="shared" si="3"/>
        <v>23754795304.459999</v>
      </c>
      <c r="F7" s="28">
        <f t="shared" si="3"/>
        <v>23816826254.790001</v>
      </c>
      <c r="G7" s="28">
        <f t="shared" si="3"/>
        <v>23957183966.810001</v>
      </c>
      <c r="H7" s="28">
        <f t="shared" si="3"/>
        <v>24084964030.240002</v>
      </c>
      <c r="I7" s="28">
        <f t="shared" si="3"/>
        <v>24217776696.219997</v>
      </c>
      <c r="J7" s="28">
        <f t="shared" si="3"/>
        <v>24304273547.989998</v>
      </c>
      <c r="K7" s="28">
        <f t="shared" si="3"/>
        <v>24406553568.860001</v>
      </c>
      <c r="L7" s="28">
        <f t="shared" si="3"/>
        <v>24475871629.079998</v>
      </c>
      <c r="M7" s="28">
        <f t="shared" si="3"/>
        <v>24580646644.77</v>
      </c>
      <c r="N7" s="28">
        <f t="shared" si="3"/>
        <v>24686682240.240002</v>
      </c>
      <c r="O7" s="28">
        <f>SUM(O5:O6)</f>
        <v>24769198261.970001</v>
      </c>
      <c r="P7" s="4">
        <f>(C7+2*SUM(D7:N7)+O7)/24</f>
        <v>24173804957.40749</v>
      </c>
      <c r="Q7" s="4">
        <f t="shared" si="2"/>
        <v>24225730997.204163</v>
      </c>
      <c r="R7" s="8">
        <f>+Q7/P7-1</f>
        <v>2.1480292361157893E-3</v>
      </c>
      <c r="X7" s="5"/>
      <c r="Y7" s="5"/>
      <c r="Z7" s="5"/>
      <c r="AA7" s="5"/>
      <c r="AB7" s="5"/>
    </row>
    <row r="8" spans="1:28" s="3" customFormat="1">
      <c r="A8" s="3">
        <f t="shared" si="0"/>
        <v>5</v>
      </c>
      <c r="B8" s="17" t="s">
        <v>158</v>
      </c>
      <c r="C8" s="28">
        <v>7552203238.9499998</v>
      </c>
      <c r="D8" s="28">
        <v>7585333316.8999996</v>
      </c>
      <c r="E8" s="28">
        <v>7615857092.5699997</v>
      </c>
      <c r="F8" s="28">
        <v>7640180650.9399996</v>
      </c>
      <c r="G8" s="28">
        <v>7659358031.1700001</v>
      </c>
      <c r="H8" s="28">
        <v>7694397958.6300001</v>
      </c>
      <c r="I8" s="28">
        <v>7666665055.4700003</v>
      </c>
      <c r="J8" s="28">
        <v>7702786353.1899996</v>
      </c>
      <c r="K8" s="28">
        <v>7738759852.1999998</v>
      </c>
      <c r="L8" s="28">
        <v>7730562168.8100004</v>
      </c>
      <c r="M8" s="28">
        <v>7747416317.5500002</v>
      </c>
      <c r="N8" s="28">
        <v>7789820002.1700001</v>
      </c>
      <c r="O8" s="28">
        <v>7826359196.9499998</v>
      </c>
      <c r="P8" s="4">
        <f t="shared" si="1"/>
        <v>7688368168.1291685</v>
      </c>
      <c r="Q8" s="4">
        <f t="shared" si="2"/>
        <v>7699791333.0458336</v>
      </c>
      <c r="R8" s="8">
        <f>+Q8/P8-1</f>
        <v>1.4857723598640238E-3</v>
      </c>
      <c r="V8" s="4">
        <f>-P8</f>
        <v>-7688368168.1291685</v>
      </c>
      <c r="X8" s="5">
        <f>+[4]Report!$K$2447+[4]Report!$K$2972+[4]Report!$K$3035</f>
        <v>-602925363.62793529</v>
      </c>
      <c r="Y8" s="5">
        <f>+[4]Report!$J$2447+[4]Report!$J$2972+[4]Report!$J$3035</f>
        <v>-7045213334.3912182</v>
      </c>
      <c r="Z8" s="5">
        <f>-P8-X8-Y8</f>
        <v>-40229470.110014915</v>
      </c>
      <c r="AA8" s="5">
        <f>+Z8+X8+Y8</f>
        <v>-7688368168.1291685</v>
      </c>
      <c r="AB8" s="5"/>
    </row>
    <row r="9" spans="1:28" s="3" customFormat="1">
      <c r="A9" s="3">
        <f t="shared" si="0"/>
        <v>6</v>
      </c>
      <c r="B9" s="17" t="s">
        <v>150</v>
      </c>
      <c r="C9" s="28">
        <f t="shared" ref="C9:N9" si="4">C7-C8</f>
        <v>15970770067.900002</v>
      </c>
      <c r="D9" s="28">
        <f t="shared" si="4"/>
        <v>16068666504.120001</v>
      </c>
      <c r="E9" s="28">
        <f t="shared" si="4"/>
        <v>16138938211.889999</v>
      </c>
      <c r="F9" s="28">
        <f t="shared" si="4"/>
        <v>16176645603.850002</v>
      </c>
      <c r="G9" s="28">
        <f t="shared" si="4"/>
        <v>16297825935.640001</v>
      </c>
      <c r="H9" s="28">
        <f t="shared" si="4"/>
        <v>16390566071.610001</v>
      </c>
      <c r="I9" s="28">
        <f t="shared" si="4"/>
        <v>16551111640.749996</v>
      </c>
      <c r="J9" s="28">
        <f t="shared" si="4"/>
        <v>16601487194.799999</v>
      </c>
      <c r="K9" s="28">
        <f t="shared" si="4"/>
        <v>16667793716.66</v>
      </c>
      <c r="L9" s="28">
        <f t="shared" si="4"/>
        <v>16745309460.269997</v>
      </c>
      <c r="M9" s="28">
        <f t="shared" si="4"/>
        <v>16833230327.220001</v>
      </c>
      <c r="N9" s="28">
        <f t="shared" si="4"/>
        <v>16896862238.070002</v>
      </c>
      <c r="O9" s="28">
        <f>O7-O8</f>
        <v>16942839065.02</v>
      </c>
      <c r="P9" s="4">
        <f t="shared" si="1"/>
        <v>16485436789.278336</v>
      </c>
      <c r="Q9" s="4">
        <f t="shared" si="2"/>
        <v>16525939664.158333</v>
      </c>
      <c r="R9" s="8">
        <f>+Q9/P9-1</f>
        <v>2.4568881854765134E-3</v>
      </c>
      <c r="X9" s="5"/>
      <c r="Y9" s="5"/>
      <c r="Z9" s="5"/>
      <c r="AA9" s="5"/>
      <c r="AB9" s="5"/>
    </row>
    <row r="10" spans="1:28" s="3" customFormat="1">
      <c r="A10" s="3">
        <f t="shared" si="0"/>
        <v>7</v>
      </c>
      <c r="B10" s="17" t="s">
        <v>157</v>
      </c>
      <c r="C10" s="28"/>
      <c r="D10" s="28"/>
      <c r="E10" s="28"/>
      <c r="F10" s="28"/>
      <c r="G10" s="28"/>
      <c r="H10" s="28"/>
      <c r="I10" s="28"/>
      <c r="J10" s="28"/>
      <c r="K10" s="28"/>
      <c r="L10" s="28"/>
      <c r="M10" s="28"/>
      <c r="N10" s="28"/>
      <c r="O10" s="28"/>
      <c r="P10" s="4">
        <f t="shared" si="1"/>
        <v>0</v>
      </c>
      <c r="Q10" s="4" t="e">
        <f t="shared" si="2"/>
        <v>#DIV/0!</v>
      </c>
      <c r="R10" s="8"/>
      <c r="X10" s="5"/>
      <c r="Y10" s="5"/>
      <c r="Z10" s="5"/>
      <c r="AA10" s="5"/>
      <c r="AB10" s="5"/>
    </row>
    <row r="11" spans="1:28" s="3" customFormat="1">
      <c r="A11" s="3">
        <f t="shared" si="0"/>
        <v>8</v>
      </c>
      <c r="B11" s="17" t="s">
        <v>156</v>
      </c>
      <c r="C11" s="28"/>
      <c r="D11" s="28"/>
      <c r="E11" s="28"/>
      <c r="F11" s="28"/>
      <c r="G11" s="28"/>
      <c r="H11" s="28"/>
      <c r="I11" s="28"/>
      <c r="J11" s="28"/>
      <c r="K11" s="28"/>
      <c r="L11" s="28"/>
      <c r="M11" s="28"/>
      <c r="N11" s="28"/>
      <c r="O11" s="28"/>
      <c r="P11" s="4">
        <f t="shared" si="1"/>
        <v>0</v>
      </c>
      <c r="Q11" s="4" t="e">
        <f t="shared" si="2"/>
        <v>#DIV/0!</v>
      </c>
      <c r="R11" s="8"/>
      <c r="X11" s="5"/>
      <c r="Y11" s="5"/>
      <c r="Z11" s="5"/>
      <c r="AA11" s="5"/>
      <c r="AB11" s="5"/>
    </row>
    <row r="12" spans="1:28" s="3" customFormat="1">
      <c r="A12" s="3">
        <f t="shared" si="0"/>
        <v>9</v>
      </c>
      <c r="B12" s="17" t="s">
        <v>155</v>
      </c>
      <c r="C12" s="28"/>
      <c r="D12" s="28"/>
      <c r="E12" s="28"/>
      <c r="F12" s="28"/>
      <c r="G12" s="28"/>
      <c r="H12" s="28"/>
      <c r="I12" s="28"/>
      <c r="J12" s="28"/>
      <c r="K12" s="28"/>
      <c r="L12" s="28"/>
      <c r="M12" s="28"/>
      <c r="N12" s="28"/>
      <c r="O12" s="28"/>
      <c r="P12" s="4">
        <f t="shared" si="1"/>
        <v>0</v>
      </c>
      <c r="Q12" s="4" t="e">
        <f t="shared" si="2"/>
        <v>#DIV/0!</v>
      </c>
      <c r="R12" s="8"/>
      <c r="X12" s="5"/>
      <c r="Y12" s="5"/>
      <c r="Z12" s="5"/>
      <c r="AA12" s="5"/>
      <c r="AB12" s="5"/>
    </row>
    <row r="13" spans="1:28" s="3" customFormat="1">
      <c r="A13" s="3">
        <f t="shared" si="0"/>
        <v>10</v>
      </c>
      <c r="B13" s="17" t="s">
        <v>154</v>
      </c>
      <c r="C13" s="28"/>
      <c r="D13" s="28"/>
      <c r="E13" s="28"/>
      <c r="F13" s="28"/>
      <c r="G13" s="28"/>
      <c r="H13" s="28"/>
      <c r="I13" s="28"/>
      <c r="J13" s="28"/>
      <c r="K13" s="28"/>
      <c r="L13" s="28"/>
      <c r="M13" s="28"/>
      <c r="N13" s="28"/>
      <c r="O13" s="28"/>
      <c r="P13" s="4">
        <f t="shared" si="1"/>
        <v>0</v>
      </c>
      <c r="Q13" s="4" t="e">
        <f t="shared" si="2"/>
        <v>#DIV/0!</v>
      </c>
      <c r="R13" s="8"/>
      <c r="X13" s="5"/>
      <c r="Y13" s="5"/>
      <c r="Z13" s="5"/>
      <c r="AA13" s="5"/>
      <c r="AB13" s="5"/>
    </row>
    <row r="14" spans="1:28" s="3" customFormat="1">
      <c r="A14" s="3">
        <f t="shared" si="0"/>
        <v>11</v>
      </c>
      <c r="B14" s="17" t="s">
        <v>153</v>
      </c>
      <c r="C14" s="28"/>
      <c r="D14" s="28"/>
      <c r="E14" s="28"/>
      <c r="F14" s="28"/>
      <c r="G14" s="28"/>
      <c r="H14" s="28"/>
      <c r="I14" s="28"/>
      <c r="J14" s="28"/>
      <c r="K14" s="28"/>
      <c r="L14" s="28"/>
      <c r="M14" s="28"/>
      <c r="N14" s="28"/>
      <c r="O14" s="28"/>
      <c r="P14" s="4">
        <f t="shared" si="1"/>
        <v>0</v>
      </c>
      <c r="Q14" s="4" t="e">
        <f t="shared" si="2"/>
        <v>#DIV/0!</v>
      </c>
      <c r="R14" s="8"/>
      <c r="X14" s="5"/>
      <c r="Y14" s="5"/>
      <c r="Z14" s="5"/>
      <c r="AA14" s="5"/>
      <c r="AB14" s="5"/>
    </row>
    <row r="15" spans="1:28" s="3" customFormat="1">
      <c r="A15" s="3">
        <f t="shared" si="0"/>
        <v>12</v>
      </c>
      <c r="B15" s="17" t="s">
        <v>152</v>
      </c>
      <c r="C15" s="28"/>
      <c r="D15" s="28"/>
      <c r="E15" s="28"/>
      <c r="F15" s="28"/>
      <c r="G15" s="28"/>
      <c r="H15" s="28"/>
      <c r="I15" s="28"/>
      <c r="J15" s="28"/>
      <c r="K15" s="28"/>
      <c r="L15" s="28"/>
      <c r="M15" s="28"/>
      <c r="N15" s="28"/>
      <c r="O15" s="28"/>
      <c r="P15" s="4">
        <f t="shared" si="1"/>
        <v>0</v>
      </c>
      <c r="Q15" s="4" t="e">
        <f t="shared" si="2"/>
        <v>#DIV/0!</v>
      </c>
      <c r="R15" s="8"/>
      <c r="X15" s="5"/>
      <c r="Y15" s="5"/>
      <c r="Z15" s="5"/>
      <c r="AA15" s="5"/>
      <c r="AB15" s="5"/>
    </row>
    <row r="16" spans="1:28" s="3" customFormat="1">
      <c r="A16" s="3">
        <f t="shared" si="0"/>
        <v>13</v>
      </c>
      <c r="B16" s="17" t="s">
        <v>151</v>
      </c>
      <c r="C16" s="28"/>
      <c r="D16" s="28"/>
      <c r="E16" s="28"/>
      <c r="F16" s="28"/>
      <c r="G16" s="28"/>
      <c r="H16" s="28"/>
      <c r="I16" s="28"/>
      <c r="J16" s="28"/>
      <c r="K16" s="28"/>
      <c r="L16" s="28"/>
      <c r="M16" s="28"/>
      <c r="N16" s="28"/>
      <c r="O16" s="28"/>
      <c r="P16" s="4">
        <f t="shared" si="1"/>
        <v>0</v>
      </c>
      <c r="Q16" s="4" t="e">
        <f t="shared" si="2"/>
        <v>#DIV/0!</v>
      </c>
      <c r="R16" s="8"/>
      <c r="X16" s="5"/>
      <c r="Y16" s="5"/>
      <c r="Z16" s="5"/>
      <c r="AA16" s="5"/>
      <c r="AB16" s="5"/>
    </row>
    <row r="17" spans="1:29" s="3" customFormat="1">
      <c r="A17" s="3">
        <f t="shared" si="0"/>
        <v>14</v>
      </c>
      <c r="C17" s="28"/>
      <c r="D17" s="28"/>
      <c r="E17" s="28"/>
      <c r="F17" s="28"/>
      <c r="G17" s="28"/>
      <c r="H17" s="28"/>
      <c r="I17" s="28"/>
      <c r="J17" s="28"/>
      <c r="K17" s="28"/>
      <c r="L17" s="28"/>
      <c r="M17" s="28"/>
      <c r="N17" s="28"/>
      <c r="O17" s="28"/>
      <c r="P17" s="4">
        <f t="shared" si="1"/>
        <v>0</v>
      </c>
      <c r="Q17" s="4" t="e">
        <f t="shared" si="2"/>
        <v>#DIV/0!</v>
      </c>
      <c r="R17" s="8"/>
      <c r="X17" s="5"/>
      <c r="Y17" s="5"/>
      <c r="Z17" s="5"/>
      <c r="AA17" s="5"/>
      <c r="AB17" s="5"/>
    </row>
    <row r="18" spans="1:29" s="3" customFormat="1">
      <c r="A18" s="3">
        <f t="shared" si="0"/>
        <v>15</v>
      </c>
      <c r="B18" s="17" t="s">
        <v>150</v>
      </c>
      <c r="C18" s="28">
        <f t="shared" ref="C18:N18" si="5">C9</f>
        <v>15970770067.900002</v>
      </c>
      <c r="D18" s="28">
        <f t="shared" si="5"/>
        <v>16068666504.120001</v>
      </c>
      <c r="E18" s="28">
        <f t="shared" si="5"/>
        <v>16138938211.889999</v>
      </c>
      <c r="F18" s="28">
        <f t="shared" si="5"/>
        <v>16176645603.850002</v>
      </c>
      <c r="G18" s="28">
        <f t="shared" si="5"/>
        <v>16297825935.640001</v>
      </c>
      <c r="H18" s="28">
        <f t="shared" si="5"/>
        <v>16390566071.610001</v>
      </c>
      <c r="I18" s="28">
        <f t="shared" si="5"/>
        <v>16551111640.749996</v>
      </c>
      <c r="J18" s="28">
        <f t="shared" si="5"/>
        <v>16601487194.799999</v>
      </c>
      <c r="K18" s="28">
        <f t="shared" si="5"/>
        <v>16667793716.66</v>
      </c>
      <c r="L18" s="28">
        <f t="shared" si="5"/>
        <v>16745309460.269997</v>
      </c>
      <c r="M18" s="28">
        <f t="shared" si="5"/>
        <v>16833230327.220001</v>
      </c>
      <c r="N18" s="28">
        <f t="shared" si="5"/>
        <v>16896862238.070002</v>
      </c>
      <c r="O18" s="28">
        <f>O9</f>
        <v>16942839065.02</v>
      </c>
      <c r="P18" s="4">
        <f t="shared" si="1"/>
        <v>16485436789.278336</v>
      </c>
      <c r="Q18" s="4">
        <f t="shared" si="2"/>
        <v>16525939664.158333</v>
      </c>
      <c r="R18" s="8">
        <f>+Q18/P18-1</f>
        <v>2.4568881854765134E-3</v>
      </c>
      <c r="V18" s="29">
        <f>SUBTOTAL(9,V5:V8)</f>
        <v>16485436789.278332</v>
      </c>
      <c r="W18" s="29">
        <f>SUBTOTAL(9,W5:W8)</f>
        <v>0</v>
      </c>
      <c r="X18" s="29">
        <f>SUBTOTAL(9,X5:X8)</f>
        <v>946034669.40659368</v>
      </c>
      <c r="Y18" s="29">
        <f>SUBTOTAL(9,Y5:Y8)</f>
        <v>14232239436.578043</v>
      </c>
      <c r="Z18" s="29">
        <f>SUBTOTAL(9,Z5:Z8)</f>
        <v>1307162683.293695</v>
      </c>
      <c r="AA18" s="5">
        <f>+Z18+Y18+X18</f>
        <v>16485436789.278332</v>
      </c>
      <c r="AB18" s="5"/>
    </row>
    <row r="19" spans="1:29" s="3" customFormat="1">
      <c r="A19" s="3">
        <f t="shared" si="0"/>
        <v>16</v>
      </c>
      <c r="B19" s="17" t="s">
        <v>149</v>
      </c>
      <c r="C19" s="28"/>
      <c r="D19" s="28"/>
      <c r="E19" s="28"/>
      <c r="F19" s="28"/>
      <c r="G19" s="28"/>
      <c r="H19" s="28"/>
      <c r="I19" s="28"/>
      <c r="J19" s="28"/>
      <c r="K19" s="28"/>
      <c r="L19" s="28"/>
      <c r="M19" s="28"/>
      <c r="N19" s="28"/>
      <c r="O19" s="28"/>
      <c r="P19" s="4">
        <f t="shared" si="1"/>
        <v>0</v>
      </c>
      <c r="Q19" s="4" t="e">
        <f t="shared" si="2"/>
        <v>#DIV/0!</v>
      </c>
      <c r="R19" s="8"/>
      <c r="X19" s="6"/>
      <c r="Y19" s="6"/>
      <c r="Z19" s="6"/>
      <c r="AA19" s="5"/>
      <c r="AB19" s="5"/>
    </row>
    <row r="20" spans="1:29" s="3" customFormat="1">
      <c r="A20" s="3">
        <f t="shared" si="0"/>
        <v>17</v>
      </c>
      <c r="B20" s="17"/>
      <c r="C20" s="32"/>
      <c r="D20" s="32"/>
      <c r="E20" s="32"/>
      <c r="F20" s="32"/>
      <c r="G20" s="32"/>
      <c r="H20" s="32"/>
      <c r="I20" s="32"/>
      <c r="J20" s="32"/>
      <c r="K20" s="32"/>
      <c r="L20" s="32"/>
      <c r="M20" s="32"/>
      <c r="N20" s="32"/>
      <c r="O20" s="32"/>
      <c r="P20" s="4"/>
      <c r="Q20" s="4"/>
      <c r="R20" s="8"/>
      <c r="X20" s="6"/>
      <c r="Y20" s="6"/>
      <c r="Z20" s="6"/>
      <c r="AA20" s="5"/>
      <c r="AB20" s="5"/>
    </row>
    <row r="21" spans="1:29" s="3" customFormat="1">
      <c r="A21" s="3">
        <f t="shared" si="0"/>
        <v>18</v>
      </c>
      <c r="B21" s="17" t="s">
        <v>148</v>
      </c>
      <c r="C21" s="30"/>
      <c r="D21" s="30"/>
      <c r="E21" s="30"/>
      <c r="F21" s="30"/>
      <c r="G21" s="30"/>
      <c r="H21" s="30"/>
      <c r="I21" s="30"/>
      <c r="J21" s="30"/>
      <c r="K21" s="30"/>
      <c r="L21" s="30"/>
      <c r="M21" s="30"/>
      <c r="N21" s="30"/>
      <c r="O21" s="30"/>
      <c r="P21" s="4"/>
      <c r="Q21" s="4"/>
      <c r="R21" s="8"/>
      <c r="X21" s="5"/>
      <c r="Y21" s="5"/>
      <c r="Z21" s="5"/>
      <c r="AA21" s="5"/>
      <c r="AB21" s="5"/>
    </row>
    <row r="22" spans="1:29" s="3" customFormat="1">
      <c r="A22" s="3">
        <f t="shared" si="0"/>
        <v>19</v>
      </c>
      <c r="B22" s="17" t="s">
        <v>147</v>
      </c>
      <c r="C22" s="28">
        <v>15601520.83</v>
      </c>
      <c r="D22" s="28">
        <v>15601520.83</v>
      </c>
      <c r="E22" s="28">
        <v>15483040.890000001</v>
      </c>
      <c r="F22" s="28">
        <v>15483040.890000001</v>
      </c>
      <c r="G22" s="28">
        <v>15483040.890000001</v>
      </c>
      <c r="H22" s="28">
        <v>15483040.890000001</v>
      </c>
      <c r="I22" s="28">
        <v>15445647.789999999</v>
      </c>
      <c r="J22" s="28">
        <v>15445647.789999999</v>
      </c>
      <c r="K22" s="28">
        <v>15445655.029999999</v>
      </c>
      <c r="L22" s="28">
        <v>14793403.220000001</v>
      </c>
      <c r="M22" s="28">
        <v>14793403.220000001</v>
      </c>
      <c r="N22" s="28">
        <v>14656612.390000001</v>
      </c>
      <c r="O22" s="28">
        <v>15344663.710000001</v>
      </c>
      <c r="P22" s="4">
        <f>(C22+2*SUM(D22:N22)+O22)/24</f>
        <v>15298928.841666663</v>
      </c>
      <c r="Q22" s="4">
        <f t="shared" ref="Q22:Q35" si="6">AVERAGE(D22:O22)</f>
        <v>15288226.461666666</v>
      </c>
      <c r="R22" s="8">
        <f>+Q22/P22-1</f>
        <v>-6.9955093658902179E-4</v>
      </c>
      <c r="V22" s="4">
        <f>+P22</f>
        <v>15298928.841666663</v>
      </c>
      <c r="W22" s="20"/>
      <c r="X22" s="7"/>
      <c r="Y22" s="7"/>
      <c r="Z22" s="7">
        <f>+V22</f>
        <v>15298928.841666663</v>
      </c>
      <c r="AA22" s="5">
        <f t="shared" ref="AA22:AA34" si="7">+Z22+X22+Y22</f>
        <v>15298928.841666663</v>
      </c>
      <c r="AB22" s="5"/>
    </row>
    <row r="23" spans="1:29" s="3" customFormat="1">
      <c r="A23" s="3">
        <f t="shared" si="0"/>
        <v>20</v>
      </c>
      <c r="B23" s="17" t="s">
        <v>146</v>
      </c>
      <c r="C23" s="28">
        <v>1860570.33</v>
      </c>
      <c r="D23" s="28">
        <v>1873631.4</v>
      </c>
      <c r="E23" s="28">
        <v>1886692.43</v>
      </c>
      <c r="F23" s="28">
        <v>1899752.71</v>
      </c>
      <c r="G23" s="28">
        <v>1912811.32</v>
      </c>
      <c r="H23" s="28">
        <v>1925862.66</v>
      </c>
      <c r="I23" s="28">
        <v>1917756.81</v>
      </c>
      <c r="J23" s="28">
        <v>1930728.36</v>
      </c>
      <c r="K23" s="28">
        <v>1943699.91</v>
      </c>
      <c r="L23" s="28">
        <v>1936631.85</v>
      </c>
      <c r="M23" s="28">
        <v>1957867.76</v>
      </c>
      <c r="N23" s="28">
        <v>1960620.89</v>
      </c>
      <c r="O23" s="28">
        <v>2659571.46</v>
      </c>
      <c r="P23" s="4">
        <f>-(C23+2*SUM(D23:N23)+O23)/24</f>
        <v>-1950510.5829166668</v>
      </c>
      <c r="Q23" s="4">
        <f t="shared" si="6"/>
        <v>1983802.2966666669</v>
      </c>
      <c r="R23" s="8">
        <f>+Q23/P23-1</f>
        <v>-2.0170682046237438</v>
      </c>
      <c r="V23" s="4">
        <f>P23</f>
        <v>-1950510.5829166668</v>
      </c>
      <c r="W23" s="20"/>
      <c r="X23" s="7"/>
      <c r="Y23" s="7"/>
      <c r="Z23" s="7">
        <f>+V23</f>
        <v>-1950510.5829166668</v>
      </c>
      <c r="AA23" s="5">
        <f t="shared" si="7"/>
        <v>-1950510.5829166668</v>
      </c>
      <c r="AB23" s="5"/>
    </row>
    <row r="24" spans="1:29" s="3" customFormat="1">
      <c r="A24" s="3">
        <f t="shared" si="0"/>
        <v>21</v>
      </c>
      <c r="B24" s="17" t="s">
        <v>145</v>
      </c>
      <c r="C24" s="28">
        <v>69928.31</v>
      </c>
      <c r="D24" s="28">
        <v>69928.31</v>
      </c>
      <c r="E24" s="28">
        <v>69928.31</v>
      </c>
      <c r="F24" s="28">
        <v>69928.31</v>
      </c>
      <c r="G24" s="28">
        <v>69928.31</v>
      </c>
      <c r="H24" s="28">
        <v>69928.31</v>
      </c>
      <c r="I24" s="28">
        <v>69928.31</v>
      </c>
      <c r="J24" s="28">
        <v>69928.31</v>
      </c>
      <c r="K24" s="28">
        <v>69928.31</v>
      </c>
      <c r="L24" s="28">
        <v>69928.31</v>
      </c>
      <c r="M24" s="28">
        <v>69928.31</v>
      </c>
      <c r="N24" s="28">
        <v>69928.31</v>
      </c>
      <c r="O24" s="28">
        <v>69928.31</v>
      </c>
      <c r="P24" s="4">
        <f t="shared" ref="P24:P34" si="8">(C24+2*SUM(D24:N24)+O24)/24</f>
        <v>69928.310000000012</v>
      </c>
      <c r="Q24" s="4">
        <f t="shared" si="6"/>
        <v>69928.310000000012</v>
      </c>
      <c r="R24" s="8">
        <f>+Q24/P24-1</f>
        <v>0</v>
      </c>
      <c r="V24" s="4">
        <f>P24</f>
        <v>69928.310000000012</v>
      </c>
      <c r="W24" s="20"/>
      <c r="X24" s="7"/>
      <c r="Y24" s="7"/>
      <c r="Z24" s="7">
        <f>+V24</f>
        <v>69928.310000000012</v>
      </c>
      <c r="AA24" s="5">
        <f t="shared" si="7"/>
        <v>69928.310000000012</v>
      </c>
      <c r="AB24" s="5"/>
    </row>
    <row r="25" spans="1:29" s="3" customFormat="1">
      <c r="A25" s="3">
        <f t="shared" si="0"/>
        <v>22</v>
      </c>
      <c r="B25" s="17" t="s">
        <v>144</v>
      </c>
      <c r="C25" s="48">
        <f>210570088.62-4314397</f>
        <v>206255691.62</v>
      </c>
      <c r="D25" s="28">
        <v>208641707.66</v>
      </c>
      <c r="E25" s="28">
        <v>214253746.28</v>
      </c>
      <c r="F25" s="48">
        <f>213713594.73+18077181</f>
        <v>231790775.72999999</v>
      </c>
      <c r="G25" s="28">
        <v>218794715.47</v>
      </c>
      <c r="H25" s="28">
        <v>234623726.63</v>
      </c>
      <c r="I25" s="28">
        <v>240956267.94</v>
      </c>
      <c r="J25" s="28">
        <v>247193781.97</v>
      </c>
      <c r="K25" s="28">
        <v>250431206.88</v>
      </c>
      <c r="L25" s="28">
        <v>252425950.81999999</v>
      </c>
      <c r="M25" s="28">
        <v>251904190.06999999</v>
      </c>
      <c r="N25" s="28">
        <v>251246412.71000001</v>
      </c>
      <c r="O25" s="28">
        <v>250946712.15000001</v>
      </c>
      <c r="P25" s="4">
        <f t="shared" si="8"/>
        <v>235905307.00374997</v>
      </c>
      <c r="Q25" s="4">
        <f t="shared" si="6"/>
        <v>237767432.85916665</v>
      </c>
      <c r="R25" s="8">
        <f>+Q25/P25-1</f>
        <v>7.8935310064349729E-3</v>
      </c>
      <c r="T25" s="5">
        <f>+Bridger!C44*1000</f>
        <v>39282981.023055553</v>
      </c>
      <c r="V25" s="4">
        <f>+P25-T25</f>
        <v>196622325.98069441</v>
      </c>
      <c r="W25" s="20"/>
      <c r="X25" s="7">
        <f>+'[5]Lead Sheet - WCA'!$F$27*[4]Factors!$X$40</f>
        <v>32424125.297717221</v>
      </c>
      <c r="Y25" s="7">
        <f>+'[5]Lead Sheet - WCA'!$F$27-X25</f>
        <v>111558007.02099431</v>
      </c>
      <c r="Z25" s="5">
        <f>+V25-X25-Y25</f>
        <v>52640193.661982894</v>
      </c>
      <c r="AA25" s="5">
        <f t="shared" si="7"/>
        <v>196622325.98069441</v>
      </c>
      <c r="AB25" s="5"/>
      <c r="AC25" s="43"/>
    </row>
    <row r="26" spans="1:29" s="3" customFormat="1">
      <c r="A26" s="3">
        <f t="shared" si="0"/>
        <v>23</v>
      </c>
      <c r="B26" s="17" t="s">
        <v>143</v>
      </c>
      <c r="C26" s="28"/>
      <c r="D26" s="28"/>
      <c r="E26" s="28"/>
      <c r="F26" s="28"/>
      <c r="G26" s="28"/>
      <c r="H26" s="28"/>
      <c r="I26" s="28"/>
      <c r="J26" s="28"/>
      <c r="K26" s="28"/>
      <c r="L26" s="28"/>
      <c r="M26" s="28"/>
      <c r="N26" s="28"/>
      <c r="O26" s="28"/>
      <c r="P26" s="4">
        <f t="shared" si="8"/>
        <v>0</v>
      </c>
      <c r="Q26" s="4" t="e">
        <f t="shared" si="6"/>
        <v>#DIV/0!</v>
      </c>
      <c r="R26" s="8"/>
      <c r="V26" s="4">
        <f t="shared" ref="V26:V32" si="9">P26</f>
        <v>0</v>
      </c>
      <c r="W26" s="20"/>
      <c r="X26" s="7"/>
      <c r="Y26" s="7"/>
      <c r="Z26" s="7">
        <f t="shared" ref="Z26:Z32" si="10">+V26</f>
        <v>0</v>
      </c>
      <c r="AA26" s="5">
        <f t="shared" si="7"/>
        <v>0</v>
      </c>
      <c r="AB26" s="5"/>
    </row>
    <row r="27" spans="1:29" s="3" customFormat="1">
      <c r="A27" s="3">
        <f t="shared" si="0"/>
        <v>24</v>
      </c>
      <c r="B27" s="17" t="s">
        <v>142</v>
      </c>
      <c r="C27" s="28">
        <v>84158849.980000004</v>
      </c>
      <c r="D27" s="28">
        <v>83900228.709999993</v>
      </c>
      <c r="E27" s="28">
        <v>83292190.430000007</v>
      </c>
      <c r="F27" s="28">
        <v>82378724.560000002</v>
      </c>
      <c r="G27" s="28">
        <v>82697970.609999999</v>
      </c>
      <c r="H27" s="28">
        <v>82563472.879999995</v>
      </c>
      <c r="I27" s="28">
        <v>83950134.829999998</v>
      </c>
      <c r="J27" s="28">
        <v>83406622.319999993</v>
      </c>
      <c r="K27" s="28">
        <v>84790157.870000005</v>
      </c>
      <c r="L27" s="28">
        <v>85020053.689999998</v>
      </c>
      <c r="M27" s="28">
        <v>84663559.299999997</v>
      </c>
      <c r="N27" s="28">
        <v>83848083.400000006</v>
      </c>
      <c r="O27" s="28">
        <v>84304196.310000002</v>
      </c>
      <c r="P27" s="4">
        <f t="shared" si="8"/>
        <v>83728560.145416647</v>
      </c>
      <c r="Q27" s="4">
        <f t="shared" si="6"/>
        <v>83734616.242499992</v>
      </c>
      <c r="R27" s="8">
        <f>+Q27/P27-1</f>
        <v>7.2330123351393993E-5</v>
      </c>
      <c r="V27" s="4">
        <f t="shared" si="9"/>
        <v>83728560.145416647</v>
      </c>
      <c r="W27" s="20"/>
      <c r="X27" s="7"/>
      <c r="Y27" s="7"/>
      <c r="Z27" s="7">
        <f t="shared" si="10"/>
        <v>83728560.145416647</v>
      </c>
      <c r="AA27" s="5">
        <f t="shared" si="7"/>
        <v>83728560.145416647</v>
      </c>
      <c r="AB27" s="5"/>
    </row>
    <row r="28" spans="1:29" s="3" customFormat="1">
      <c r="A28" s="3">
        <f t="shared" si="0"/>
        <v>25</v>
      </c>
      <c r="B28" s="17" t="s">
        <v>141</v>
      </c>
      <c r="C28" s="28"/>
      <c r="D28" s="28"/>
      <c r="E28" s="28"/>
      <c r="F28" s="28"/>
      <c r="G28" s="28"/>
      <c r="H28" s="28"/>
      <c r="I28" s="28"/>
      <c r="J28" s="28"/>
      <c r="K28" s="28"/>
      <c r="L28" s="28"/>
      <c r="M28" s="28"/>
      <c r="N28" s="28"/>
      <c r="O28" s="28"/>
      <c r="P28" s="4">
        <f t="shared" si="8"/>
        <v>0</v>
      </c>
      <c r="Q28" s="4" t="e">
        <f t="shared" si="6"/>
        <v>#DIV/0!</v>
      </c>
      <c r="R28" s="8"/>
      <c r="V28" s="4">
        <f t="shared" si="9"/>
        <v>0</v>
      </c>
      <c r="W28" s="20"/>
      <c r="X28" s="7"/>
      <c r="Y28" s="7"/>
      <c r="Z28" s="7">
        <f t="shared" si="10"/>
        <v>0</v>
      </c>
      <c r="AA28" s="5">
        <f t="shared" si="7"/>
        <v>0</v>
      </c>
      <c r="AB28" s="5"/>
    </row>
    <row r="29" spans="1:29" s="3" customFormat="1">
      <c r="A29" s="3">
        <f t="shared" si="0"/>
        <v>26</v>
      </c>
      <c r="B29" s="17" t="s">
        <v>140</v>
      </c>
      <c r="C29" s="28"/>
      <c r="D29" s="28"/>
      <c r="E29" s="28"/>
      <c r="F29" s="28"/>
      <c r="G29" s="28"/>
      <c r="H29" s="28"/>
      <c r="I29" s="28"/>
      <c r="J29" s="28"/>
      <c r="K29" s="28"/>
      <c r="L29" s="28"/>
      <c r="M29" s="28"/>
      <c r="N29" s="28"/>
      <c r="O29" s="28"/>
      <c r="P29" s="4">
        <f t="shared" si="8"/>
        <v>0</v>
      </c>
      <c r="Q29" s="4" t="e">
        <f t="shared" si="6"/>
        <v>#DIV/0!</v>
      </c>
      <c r="R29" s="8"/>
      <c r="V29" s="4">
        <f t="shared" si="9"/>
        <v>0</v>
      </c>
      <c r="W29" s="20"/>
      <c r="X29" s="7"/>
      <c r="Y29" s="7"/>
      <c r="Z29" s="7">
        <f t="shared" si="10"/>
        <v>0</v>
      </c>
      <c r="AA29" s="5">
        <f t="shared" si="7"/>
        <v>0</v>
      </c>
      <c r="AB29" s="5"/>
    </row>
    <row r="30" spans="1:29" s="3" customFormat="1">
      <c r="A30" s="3">
        <f t="shared" si="0"/>
        <v>27</v>
      </c>
      <c r="B30" s="17" t="s">
        <v>139</v>
      </c>
      <c r="C30" s="28"/>
      <c r="D30" s="28"/>
      <c r="E30" s="28"/>
      <c r="F30" s="28"/>
      <c r="G30" s="28"/>
      <c r="H30" s="28"/>
      <c r="I30" s="28"/>
      <c r="J30" s="28"/>
      <c r="K30" s="28"/>
      <c r="L30" s="28"/>
      <c r="M30" s="28"/>
      <c r="N30" s="28"/>
      <c r="O30" s="28"/>
      <c r="P30" s="4">
        <f t="shared" si="8"/>
        <v>0</v>
      </c>
      <c r="Q30" s="4" t="e">
        <f t="shared" si="6"/>
        <v>#DIV/0!</v>
      </c>
      <c r="R30" s="8"/>
      <c r="V30" s="4">
        <f t="shared" si="9"/>
        <v>0</v>
      </c>
      <c r="W30" s="20"/>
      <c r="X30" s="7"/>
      <c r="Y30" s="7"/>
      <c r="Z30" s="7">
        <f t="shared" si="10"/>
        <v>0</v>
      </c>
      <c r="AA30" s="5">
        <f t="shared" si="7"/>
        <v>0</v>
      </c>
      <c r="AB30" s="5"/>
    </row>
    <row r="31" spans="1:29" s="3" customFormat="1">
      <c r="A31" s="3">
        <f t="shared" si="0"/>
        <v>28</v>
      </c>
      <c r="B31" s="17" t="s">
        <v>138</v>
      </c>
      <c r="C31" s="28">
        <v>5477018.6500000004</v>
      </c>
      <c r="D31" s="28">
        <v>5584343.04</v>
      </c>
      <c r="E31" s="28">
        <v>5706203.6799999997</v>
      </c>
      <c r="F31" s="28">
        <v>5741715.4699999997</v>
      </c>
      <c r="G31" s="28">
        <v>5807944.6500000004</v>
      </c>
      <c r="H31" s="28">
        <v>5912937.7699999996</v>
      </c>
      <c r="I31" s="28">
        <v>6137778.9400000004</v>
      </c>
      <c r="J31" s="28">
        <v>6331097.0499999998</v>
      </c>
      <c r="K31" s="28">
        <v>6322919.04</v>
      </c>
      <c r="L31" s="28">
        <v>6413022.8499999996</v>
      </c>
      <c r="M31" s="28">
        <v>16602967.720000001</v>
      </c>
      <c r="N31" s="28">
        <v>17789376.219999999</v>
      </c>
      <c r="O31" s="28">
        <v>18935451.510000002</v>
      </c>
      <c r="P31" s="4">
        <f t="shared" si="8"/>
        <v>8379711.7924999995</v>
      </c>
      <c r="Q31" s="4">
        <f t="shared" si="6"/>
        <v>8940479.8283333331</v>
      </c>
      <c r="R31" s="8">
        <f>+Q31/P31-1</f>
        <v>6.691972823399861E-2</v>
      </c>
      <c r="V31" s="4">
        <f t="shared" si="9"/>
        <v>8379711.7924999995</v>
      </c>
      <c r="W31" s="20"/>
      <c r="X31" s="7"/>
      <c r="Y31" s="7"/>
      <c r="Z31" s="7">
        <f t="shared" si="10"/>
        <v>8379711.7924999995</v>
      </c>
      <c r="AA31" s="5">
        <f t="shared" si="7"/>
        <v>8379711.7924999995</v>
      </c>
      <c r="AB31" s="5"/>
    </row>
    <row r="32" spans="1:29" s="3" customFormat="1">
      <c r="A32" s="3">
        <f t="shared" si="0"/>
        <v>29</v>
      </c>
      <c r="B32" s="17" t="s">
        <v>137</v>
      </c>
      <c r="C32" s="28"/>
      <c r="D32" s="28"/>
      <c r="E32" s="28"/>
      <c r="F32" s="28"/>
      <c r="G32" s="28"/>
      <c r="H32" s="28"/>
      <c r="I32" s="28"/>
      <c r="J32" s="28"/>
      <c r="K32" s="28"/>
      <c r="L32" s="28"/>
      <c r="M32" s="28"/>
      <c r="N32" s="28"/>
      <c r="O32" s="28"/>
      <c r="P32" s="4">
        <f t="shared" si="8"/>
        <v>0</v>
      </c>
      <c r="Q32" s="4" t="e">
        <f t="shared" si="6"/>
        <v>#DIV/0!</v>
      </c>
      <c r="R32" s="8"/>
      <c r="V32" s="4">
        <f t="shared" si="9"/>
        <v>0</v>
      </c>
      <c r="W32" s="20"/>
      <c r="X32" s="7"/>
      <c r="Y32" s="7"/>
      <c r="Z32" s="7">
        <f t="shared" si="10"/>
        <v>0</v>
      </c>
      <c r="AA32" s="5">
        <f t="shared" si="7"/>
        <v>0</v>
      </c>
      <c r="AB32" s="5"/>
    </row>
    <row r="33" spans="1:29" s="3" customFormat="1">
      <c r="A33" s="3">
        <f t="shared" si="0"/>
        <v>30</v>
      </c>
      <c r="B33" s="17" t="s">
        <v>136</v>
      </c>
      <c r="C33" s="28">
        <v>5904320.1699999999</v>
      </c>
      <c r="D33" s="28">
        <v>5347478.17</v>
      </c>
      <c r="E33" s="28">
        <v>5702291.1699999999</v>
      </c>
      <c r="F33" s="28">
        <v>6297562</v>
      </c>
      <c r="G33" s="28">
        <v>6123786</v>
      </c>
      <c r="H33" s="28">
        <v>5637366</v>
      </c>
      <c r="I33" s="28">
        <v>4472312</v>
      </c>
      <c r="J33" s="28">
        <v>3800307</v>
      </c>
      <c r="K33" s="28">
        <v>2747187.72</v>
      </c>
      <c r="L33" s="28">
        <v>1068525.1100000001</v>
      </c>
      <c r="M33" s="28">
        <v>1057610.7</v>
      </c>
      <c r="N33" s="28">
        <v>953643.83</v>
      </c>
      <c r="O33" s="28">
        <v>843218.75</v>
      </c>
      <c r="P33" s="4">
        <f t="shared" si="8"/>
        <v>3881819.93</v>
      </c>
      <c r="Q33" s="4">
        <f t="shared" si="6"/>
        <v>3670940.7041666671</v>
      </c>
      <c r="R33" s="8">
        <f>+Q33/P33-1</f>
        <v>-5.4324834648714182E-2</v>
      </c>
      <c r="T33" s="4">
        <f>+P33</f>
        <v>3881819.93</v>
      </c>
      <c r="U33" s="4"/>
      <c r="V33" s="42"/>
      <c r="W33" s="21"/>
      <c r="X33" s="7"/>
      <c r="Y33" s="7"/>
      <c r="Z33" s="7"/>
      <c r="AA33" s="5">
        <f t="shared" si="7"/>
        <v>0</v>
      </c>
      <c r="AB33" s="5"/>
    </row>
    <row r="34" spans="1:29" s="3" customFormat="1">
      <c r="A34" s="3">
        <f t="shared" si="0"/>
        <v>31</v>
      </c>
      <c r="B34" s="17" t="s">
        <v>135</v>
      </c>
      <c r="C34" s="28"/>
      <c r="D34" s="28"/>
      <c r="E34" s="28"/>
      <c r="F34" s="28"/>
      <c r="G34" s="28"/>
      <c r="H34" s="28"/>
      <c r="I34" s="28"/>
      <c r="J34" s="28"/>
      <c r="K34" s="28"/>
      <c r="L34" s="28"/>
      <c r="M34" s="28"/>
      <c r="N34" s="28"/>
      <c r="O34" s="28"/>
      <c r="P34" s="4">
        <f t="shared" si="8"/>
        <v>0</v>
      </c>
      <c r="Q34" s="4" t="e">
        <f t="shared" si="6"/>
        <v>#DIV/0!</v>
      </c>
      <c r="R34" s="8"/>
      <c r="V34" s="4">
        <f>P34</f>
        <v>0</v>
      </c>
      <c r="W34" s="20"/>
      <c r="X34" s="7"/>
      <c r="Y34" s="7"/>
      <c r="Z34" s="7">
        <f>+V34</f>
        <v>0</v>
      </c>
      <c r="AA34" s="5">
        <f t="shared" si="7"/>
        <v>0</v>
      </c>
      <c r="AB34" s="5"/>
    </row>
    <row r="35" spans="1:29" s="3" customFormat="1">
      <c r="A35" s="3">
        <f t="shared" si="0"/>
        <v>32</v>
      </c>
      <c r="B35" s="17" t="s">
        <v>134</v>
      </c>
      <c r="C35" s="28">
        <f t="shared" ref="C35:O35" si="11">SUM(C24:C34,C22)-C23</f>
        <v>315606759.23000002</v>
      </c>
      <c r="D35" s="28">
        <f t="shared" si="11"/>
        <v>317271575.32000005</v>
      </c>
      <c r="E35" s="28">
        <f t="shared" si="11"/>
        <v>322620708.32999998</v>
      </c>
      <c r="F35" s="28">
        <f t="shared" si="11"/>
        <v>339861994.25000006</v>
      </c>
      <c r="G35" s="28">
        <f t="shared" si="11"/>
        <v>327064574.60999995</v>
      </c>
      <c r="H35" s="28">
        <f t="shared" si="11"/>
        <v>342364609.81999993</v>
      </c>
      <c r="I35" s="28">
        <f t="shared" si="11"/>
        <v>349114313</v>
      </c>
      <c r="J35" s="28">
        <f t="shared" si="11"/>
        <v>354316656.08000004</v>
      </c>
      <c r="K35" s="28">
        <f t="shared" si="11"/>
        <v>357863354.94</v>
      </c>
      <c r="L35" s="28">
        <f t="shared" si="11"/>
        <v>357854252.15000004</v>
      </c>
      <c r="M35" s="28">
        <f t="shared" si="11"/>
        <v>367133791.56000006</v>
      </c>
      <c r="N35" s="28">
        <f t="shared" si="11"/>
        <v>366603435.96999997</v>
      </c>
      <c r="O35" s="28">
        <f t="shared" si="11"/>
        <v>367784599.27999997</v>
      </c>
      <c r="P35" s="41">
        <f>SUBTOTAL(9,P22:P34)</f>
        <v>345313745.44041663</v>
      </c>
      <c r="Q35" s="4">
        <f t="shared" si="6"/>
        <v>347487822.10916662</v>
      </c>
      <c r="R35" s="8">
        <f>+Q35/P35-1</f>
        <v>6.2959459258626893E-3</v>
      </c>
      <c r="T35" s="41">
        <f>SUBTOTAL(9,T22:T34)</f>
        <v>43164800.953055553</v>
      </c>
      <c r="V35" s="41">
        <f>SUBTOTAL(9,V22:V34)</f>
        <v>302148944.48736107</v>
      </c>
      <c r="W35" s="41">
        <f>SUBTOTAL(9,W22:W34)</f>
        <v>0</v>
      </c>
      <c r="X35" s="41">
        <f>SUBTOTAL(9,X22:X34)</f>
        <v>32424125.297717221</v>
      </c>
      <c r="Y35" s="41">
        <f>SUBTOTAL(9,Y22:Y34)</f>
        <v>111558007.02099431</v>
      </c>
      <c r="Z35" s="41">
        <f>SUBTOTAL(9,Z22:Z34)</f>
        <v>158166812.16864952</v>
      </c>
      <c r="AA35" s="5"/>
      <c r="AB35" s="5"/>
    </row>
    <row r="36" spans="1:29" s="3" customFormat="1">
      <c r="A36" s="3">
        <f t="shared" si="0"/>
        <v>33</v>
      </c>
      <c r="B36" s="17"/>
      <c r="C36" s="32"/>
      <c r="D36" s="32"/>
      <c r="E36" s="32"/>
      <c r="F36" s="32"/>
      <c r="G36" s="32"/>
      <c r="H36" s="32"/>
      <c r="I36" s="32"/>
      <c r="J36" s="32"/>
      <c r="K36" s="32"/>
      <c r="L36" s="32"/>
      <c r="M36" s="32"/>
      <c r="N36" s="32"/>
      <c r="O36" s="32"/>
      <c r="P36" s="40"/>
      <c r="Q36" s="4"/>
      <c r="R36" s="8"/>
      <c r="T36" s="40"/>
      <c r="V36" s="40"/>
      <c r="W36" s="40"/>
      <c r="X36" s="40"/>
      <c r="Y36" s="40"/>
      <c r="Z36" s="40"/>
      <c r="AA36" s="5"/>
      <c r="AB36" s="5"/>
    </row>
    <row r="37" spans="1:29" s="3" customFormat="1">
      <c r="A37" s="3">
        <f t="shared" si="0"/>
        <v>34</v>
      </c>
      <c r="B37" s="17" t="s">
        <v>133</v>
      </c>
      <c r="C37" s="30"/>
      <c r="D37" s="30"/>
      <c r="E37" s="30"/>
      <c r="F37" s="30"/>
      <c r="G37" s="30"/>
      <c r="H37" s="30"/>
      <c r="I37" s="30"/>
      <c r="J37" s="30"/>
      <c r="K37" s="30"/>
      <c r="L37" s="30"/>
      <c r="M37" s="30"/>
      <c r="N37" s="30"/>
      <c r="O37" s="30"/>
      <c r="P37" s="4"/>
      <c r="Q37" s="4"/>
      <c r="R37" s="8"/>
      <c r="V37" s="20"/>
      <c r="W37" s="20"/>
      <c r="X37" s="7"/>
      <c r="Y37" s="7"/>
      <c r="Z37" s="7"/>
      <c r="AA37" s="5"/>
      <c r="AB37" s="5"/>
    </row>
    <row r="38" spans="1:29" s="3" customFormat="1">
      <c r="A38" s="3">
        <f t="shared" si="0"/>
        <v>35</v>
      </c>
      <c r="B38" s="17" t="s">
        <v>132</v>
      </c>
      <c r="C38" s="48">
        <f>8428469.66-169218</f>
        <v>8259251.6600000001</v>
      </c>
      <c r="D38" s="28">
        <v>77850163.760000005</v>
      </c>
      <c r="E38" s="28">
        <v>6635991.6399999997</v>
      </c>
      <c r="F38" s="48">
        <f>8776698.29-285313</f>
        <v>8491385.2899999991</v>
      </c>
      <c r="G38" s="28">
        <v>15975075.42</v>
      </c>
      <c r="H38" s="28">
        <v>6409676.0499999998</v>
      </c>
      <c r="I38" s="28">
        <v>14846925.880000001</v>
      </c>
      <c r="J38" s="28">
        <v>7253456.7400000002</v>
      </c>
      <c r="K38" s="28">
        <v>8327523.6399999997</v>
      </c>
      <c r="L38" s="28">
        <v>12565601.609999999</v>
      </c>
      <c r="M38" s="28">
        <v>14880796.99</v>
      </c>
      <c r="N38" s="28">
        <v>6174358.4800000004</v>
      </c>
      <c r="O38" s="28">
        <v>13317074.93</v>
      </c>
      <c r="P38" s="4">
        <f t="shared" ref="P38:P44" si="12">(C38+2*SUM(D38:N38)+O38)/24</f>
        <v>15849926.566249998</v>
      </c>
      <c r="Q38" s="4">
        <f t="shared" ref="Q38:Q70" si="13">AVERAGE(D38:O38)</f>
        <v>16060669.202499999</v>
      </c>
      <c r="R38" s="8">
        <f t="shared" ref="R38:R48" si="14">+Q38/P38-1</f>
        <v>1.3296126980092415E-2</v>
      </c>
      <c r="T38" s="4">
        <f>+P38</f>
        <v>15849926.566249998</v>
      </c>
      <c r="V38" s="20"/>
      <c r="W38" s="20"/>
      <c r="X38" s="7"/>
      <c r="Y38" s="7"/>
      <c r="Z38" s="7"/>
      <c r="AA38" s="5"/>
      <c r="AB38" s="5"/>
    </row>
    <row r="39" spans="1:29" s="3" customFormat="1">
      <c r="A39" s="3">
        <f t="shared" si="0"/>
        <v>36</v>
      </c>
      <c r="B39" s="17" t="s">
        <v>131</v>
      </c>
      <c r="C39" s="28">
        <v>714145.89</v>
      </c>
      <c r="D39" s="28">
        <v>745745.89</v>
      </c>
      <c r="E39" s="28">
        <v>745745.89</v>
      </c>
      <c r="F39" s="28">
        <v>745745.89</v>
      </c>
      <c r="G39" s="28">
        <v>774145.89</v>
      </c>
      <c r="H39" s="28">
        <v>774145.89</v>
      </c>
      <c r="I39" s="28">
        <v>774145.89</v>
      </c>
      <c r="J39" s="28">
        <v>603873.55000000005</v>
      </c>
      <c r="K39" s="28">
        <v>713728.55</v>
      </c>
      <c r="L39" s="28">
        <v>713728.55</v>
      </c>
      <c r="M39" s="28">
        <v>713728.55</v>
      </c>
      <c r="N39" s="28">
        <v>713728.55</v>
      </c>
      <c r="O39" s="28">
        <v>713728.55</v>
      </c>
      <c r="P39" s="4">
        <f t="shared" si="12"/>
        <v>727700.02583333326</v>
      </c>
      <c r="Q39" s="4">
        <f t="shared" si="13"/>
        <v>727682.6366666666</v>
      </c>
      <c r="R39" s="8">
        <f t="shared" si="14"/>
        <v>-2.3896064380024562E-5</v>
      </c>
      <c r="T39" s="4"/>
      <c r="V39" s="4">
        <f>+P39</f>
        <v>727700.02583333326</v>
      </c>
      <c r="X39" s="5"/>
      <c r="Y39" s="5"/>
      <c r="Z39" s="5">
        <f>+V39</f>
        <v>727700.02583333326</v>
      </c>
      <c r="AA39" s="5"/>
      <c r="AB39" s="5"/>
    </row>
    <row r="40" spans="1:29" s="3" customFormat="1">
      <c r="A40" s="3">
        <f t="shared" si="0"/>
        <v>37</v>
      </c>
      <c r="B40" s="17" t="s">
        <v>130</v>
      </c>
      <c r="C40" s="28">
        <v>1720</v>
      </c>
      <c r="D40" s="28">
        <v>1720</v>
      </c>
      <c r="E40" s="28">
        <v>1720</v>
      </c>
      <c r="F40" s="28">
        <v>1720</v>
      </c>
      <c r="G40" s="28">
        <v>1720</v>
      </c>
      <c r="H40" s="28">
        <v>1720</v>
      </c>
      <c r="I40" s="28">
        <v>1520</v>
      </c>
      <c r="J40" s="28">
        <v>1520</v>
      </c>
      <c r="K40" s="28">
        <v>1520</v>
      </c>
      <c r="L40" s="28">
        <v>1520</v>
      </c>
      <c r="M40" s="28">
        <v>1520</v>
      </c>
      <c r="N40" s="28">
        <v>1520</v>
      </c>
      <c r="O40" s="28">
        <v>1520</v>
      </c>
      <c r="P40" s="4">
        <f t="shared" si="12"/>
        <v>1611.6666666666667</v>
      </c>
      <c r="Q40" s="4">
        <f t="shared" si="13"/>
        <v>1603.3333333333333</v>
      </c>
      <c r="R40" s="8">
        <f t="shared" si="14"/>
        <v>-5.170630816959787E-3</v>
      </c>
      <c r="T40" s="4">
        <f>+P40</f>
        <v>1611.6666666666667</v>
      </c>
      <c r="X40" s="5"/>
      <c r="Y40" s="5"/>
      <c r="Z40" s="5"/>
      <c r="AA40" s="5"/>
      <c r="AB40" s="5"/>
    </row>
    <row r="41" spans="1:29" s="3" customFormat="1">
      <c r="A41" s="3">
        <f t="shared" si="0"/>
        <v>38</v>
      </c>
      <c r="B41" s="17" t="s">
        <v>129</v>
      </c>
      <c r="C41" s="28">
        <v>134856988.08000001</v>
      </c>
      <c r="D41" s="28">
        <v>46043</v>
      </c>
      <c r="E41" s="28">
        <v>63545752.82</v>
      </c>
      <c r="F41" s="28">
        <v>116946384.34999999</v>
      </c>
      <c r="G41" s="28">
        <v>110538746.97</v>
      </c>
      <c r="H41" s="28">
        <v>17539671.030000001</v>
      </c>
      <c r="I41" s="28">
        <v>7244794</v>
      </c>
      <c r="J41" s="28">
        <v>7946000.3300000001</v>
      </c>
      <c r="K41" s="28">
        <v>944058.16</v>
      </c>
      <c r="L41" s="28">
        <v>8443507.3699999992</v>
      </c>
      <c r="M41" s="28">
        <v>15143776.23</v>
      </c>
      <c r="N41" s="28">
        <v>11244035.25</v>
      </c>
      <c r="O41" s="28">
        <v>69144376.010000005</v>
      </c>
      <c r="P41" s="4">
        <f t="shared" si="12"/>
        <v>38465287.629583336</v>
      </c>
      <c r="Q41" s="4">
        <f t="shared" si="13"/>
        <v>35727262.126666665</v>
      </c>
      <c r="R41" s="8">
        <f t="shared" si="14"/>
        <v>-7.1181724397424762E-2</v>
      </c>
      <c r="S41" s="8"/>
      <c r="T41" s="4"/>
      <c r="V41" s="4">
        <f>+P41</f>
        <v>38465287.629583336</v>
      </c>
      <c r="X41" s="5"/>
      <c r="Y41" s="5"/>
      <c r="Z41" s="5">
        <f>+V41</f>
        <v>38465287.629583336</v>
      </c>
      <c r="AA41" s="5"/>
      <c r="AB41" s="5"/>
    </row>
    <row r="42" spans="1:29" s="3" customFormat="1">
      <c r="A42" s="3">
        <f t="shared" si="0"/>
        <v>39</v>
      </c>
      <c r="B42" s="17" t="s">
        <v>128</v>
      </c>
      <c r="C42" s="28">
        <v>352481.28000000003</v>
      </c>
      <c r="D42" s="28">
        <v>237601.05</v>
      </c>
      <c r="E42" s="28">
        <v>237744.01</v>
      </c>
      <c r="F42" s="28">
        <v>237905.24</v>
      </c>
      <c r="G42" s="28">
        <v>238029.4</v>
      </c>
      <c r="H42" s="28">
        <v>238168.31</v>
      </c>
      <c r="I42" s="28">
        <v>238518.94</v>
      </c>
      <c r="J42" s="28">
        <v>238875.26</v>
      </c>
      <c r="K42" s="28">
        <v>239187.59</v>
      </c>
      <c r="L42" s="28">
        <v>329897.68</v>
      </c>
      <c r="M42" s="28">
        <v>330154.38</v>
      </c>
      <c r="N42" s="28">
        <v>330337.61</v>
      </c>
      <c r="O42" s="28">
        <v>330489.83</v>
      </c>
      <c r="P42" s="4">
        <f t="shared" si="12"/>
        <v>269825.41875000001</v>
      </c>
      <c r="Q42" s="4">
        <f t="shared" si="13"/>
        <v>268909.10833333334</v>
      </c>
      <c r="R42" s="8">
        <f t="shared" si="14"/>
        <v>-3.3959380880852486E-3</v>
      </c>
      <c r="T42" s="4"/>
      <c r="V42" s="4">
        <f>+P42</f>
        <v>269825.41875000001</v>
      </c>
      <c r="X42" s="5"/>
      <c r="Y42" s="5"/>
      <c r="Z42" s="5">
        <f>+V42</f>
        <v>269825.41875000001</v>
      </c>
      <c r="AA42" s="5"/>
      <c r="AB42" s="5"/>
    </row>
    <row r="43" spans="1:29" s="3" customFormat="1">
      <c r="A43" s="3">
        <f t="shared" si="0"/>
        <v>40</v>
      </c>
      <c r="B43" s="17" t="s">
        <v>127</v>
      </c>
      <c r="C43" s="28">
        <v>289880719.57999998</v>
      </c>
      <c r="D43" s="28">
        <v>332037207.89999998</v>
      </c>
      <c r="E43" s="28">
        <v>334816117.38</v>
      </c>
      <c r="F43" s="28">
        <v>357355881.13</v>
      </c>
      <c r="G43" s="28">
        <v>311244954.76999998</v>
      </c>
      <c r="H43" s="28">
        <v>326425606.69</v>
      </c>
      <c r="I43" s="28">
        <v>373179153.54000002</v>
      </c>
      <c r="J43" s="28">
        <v>382965656.73000002</v>
      </c>
      <c r="K43" s="28">
        <v>366618555.08999997</v>
      </c>
      <c r="L43" s="28">
        <v>332197312.47000003</v>
      </c>
      <c r="M43" s="28">
        <v>300659351.04000002</v>
      </c>
      <c r="N43" s="28">
        <v>295302541.07999998</v>
      </c>
      <c r="O43" s="28">
        <v>324461106.97000003</v>
      </c>
      <c r="P43" s="4">
        <f t="shared" si="12"/>
        <v>334997770.92458332</v>
      </c>
      <c r="Q43" s="4">
        <f t="shared" si="13"/>
        <v>336438620.39916664</v>
      </c>
      <c r="R43" s="8">
        <f t="shared" si="14"/>
        <v>4.3010718268561288E-3</v>
      </c>
      <c r="T43" s="4">
        <f>+P43</f>
        <v>334997770.92458332</v>
      </c>
      <c r="X43" s="5"/>
      <c r="Y43" s="5"/>
      <c r="Z43" s="5"/>
      <c r="AA43" s="5"/>
      <c r="AB43" s="5"/>
    </row>
    <row r="44" spans="1:29" s="3" customFormat="1">
      <c r="A44" s="3">
        <f t="shared" si="0"/>
        <v>41</v>
      </c>
      <c r="B44" s="17" t="s">
        <v>126</v>
      </c>
      <c r="C44" s="48">
        <f>39483383.18-3483899</f>
        <v>35999484.18</v>
      </c>
      <c r="D44" s="28">
        <v>38678278.590000004</v>
      </c>
      <c r="E44" s="28">
        <v>43533189.090000004</v>
      </c>
      <c r="F44" s="48">
        <f>63115117.52-2556386</f>
        <v>60558731.520000003</v>
      </c>
      <c r="G44" s="28">
        <v>59834264.520000003</v>
      </c>
      <c r="H44" s="28">
        <v>59510733.740000002</v>
      </c>
      <c r="I44" s="28">
        <v>59610651.25</v>
      </c>
      <c r="J44" s="28">
        <v>57816712.829999998</v>
      </c>
      <c r="K44" s="28">
        <v>56960325.359999999</v>
      </c>
      <c r="L44" s="28">
        <v>55163959.200000003</v>
      </c>
      <c r="M44" s="28">
        <v>53547165.780000001</v>
      </c>
      <c r="N44" s="28">
        <v>52887909.799999997</v>
      </c>
      <c r="O44" s="28">
        <v>54757372.549999997</v>
      </c>
      <c r="P44" s="4">
        <f t="shared" si="12"/>
        <v>53623362.503749996</v>
      </c>
      <c r="Q44" s="4">
        <f t="shared" si="13"/>
        <v>54404941.185833327</v>
      </c>
      <c r="R44" s="8">
        <f t="shared" si="14"/>
        <v>1.4575338911816171E-2</v>
      </c>
      <c r="T44" s="4">
        <f>+P44</f>
        <v>53623362.503749996</v>
      </c>
      <c r="X44" s="5"/>
      <c r="Y44" s="5"/>
      <c r="Z44" s="5"/>
      <c r="AA44" s="5"/>
      <c r="AB44" s="5"/>
    </row>
    <row r="45" spans="1:29" s="3" customFormat="1">
      <c r="A45" s="3">
        <f t="shared" si="0"/>
        <v>42</v>
      </c>
      <c r="B45" s="17" t="s">
        <v>125</v>
      </c>
      <c r="C45" s="28">
        <v>9269355.3399999999</v>
      </c>
      <c r="D45" s="28">
        <v>9340212.6699999999</v>
      </c>
      <c r="E45" s="28">
        <v>9219447.1099999994</v>
      </c>
      <c r="F45" s="28">
        <v>8929812.8599999994</v>
      </c>
      <c r="G45" s="28">
        <v>8402801.7699999996</v>
      </c>
      <c r="H45" s="28">
        <v>8066505.6600000001</v>
      </c>
      <c r="I45" s="28">
        <v>8722761.8100000005</v>
      </c>
      <c r="J45" s="28">
        <v>9207854.2699999996</v>
      </c>
      <c r="K45" s="28">
        <v>9560464.5099999998</v>
      </c>
      <c r="L45" s="28">
        <v>9959862.7599999998</v>
      </c>
      <c r="M45" s="28">
        <v>10489957.59</v>
      </c>
      <c r="N45" s="28">
        <v>10584998.57</v>
      </c>
      <c r="O45" s="28">
        <v>10828868.67</v>
      </c>
      <c r="P45" s="4">
        <f>-(C45+2*SUM(D45:N45)+O45)/24</f>
        <v>-9377815.965416668</v>
      </c>
      <c r="Q45" s="4">
        <f t="shared" si="13"/>
        <v>9442795.6875000019</v>
      </c>
      <c r="R45" s="8">
        <f t="shared" si="14"/>
        <v>-2.006929089067536</v>
      </c>
      <c r="T45" s="4">
        <f>+P45</f>
        <v>-9377815.965416668</v>
      </c>
      <c r="X45" s="5"/>
      <c r="Y45" s="5"/>
      <c r="Z45" s="5"/>
      <c r="AA45" s="5"/>
      <c r="AB45" s="5"/>
    </row>
    <row r="46" spans="1:29" s="3" customFormat="1">
      <c r="A46" s="3">
        <f t="shared" si="0"/>
        <v>43</v>
      </c>
      <c r="B46" s="17" t="s">
        <v>124</v>
      </c>
      <c r="C46" s="48">
        <f>0+3269474</f>
        <v>3269474</v>
      </c>
      <c r="D46" s="28"/>
      <c r="E46" s="28"/>
      <c r="F46" s="48">
        <f>0+1559623</f>
        <v>1559623</v>
      </c>
      <c r="G46" s="28"/>
      <c r="H46" s="28"/>
      <c r="I46" s="28">
        <v>13897304.76</v>
      </c>
      <c r="J46" s="28">
        <v>8777683.6400000006</v>
      </c>
      <c r="K46" s="28">
        <v>3370651.61</v>
      </c>
      <c r="L46" s="28">
        <v>1410.04</v>
      </c>
      <c r="M46" s="28">
        <v>425.72</v>
      </c>
      <c r="N46" s="28">
        <v>5401546.8099999996</v>
      </c>
      <c r="O46" s="28">
        <v>7096790.3200000003</v>
      </c>
      <c r="P46" s="4">
        <f t="shared" ref="P46:P66" si="15">(C46+2*SUM(D46:N46)+O46)/24</f>
        <v>3182648.1449999996</v>
      </c>
      <c r="Q46" s="4">
        <f t="shared" si="13"/>
        <v>5013179.4874999989</v>
      </c>
      <c r="R46" s="8">
        <f t="shared" si="14"/>
        <v>0.57515982260740905</v>
      </c>
      <c r="T46" s="4"/>
      <c r="V46" s="4">
        <f>+P46</f>
        <v>3182648.1449999996</v>
      </c>
      <c r="X46" s="5"/>
      <c r="Y46" s="5"/>
      <c r="Z46" s="5">
        <f>+V46</f>
        <v>3182648.1449999996</v>
      </c>
      <c r="AA46" s="5"/>
      <c r="AB46" s="5"/>
    </row>
    <row r="47" spans="1:29" s="3" customFormat="1">
      <c r="A47" s="3">
        <f t="shared" si="0"/>
        <v>44</v>
      </c>
      <c r="B47" s="17" t="s">
        <v>123</v>
      </c>
      <c r="C47" s="48">
        <f>17448003.59-3832658</f>
        <v>13615345.59</v>
      </c>
      <c r="D47" s="28">
        <v>18200640.449999999</v>
      </c>
      <c r="E47" s="28">
        <v>16869698.420000002</v>
      </c>
      <c r="F47" s="48">
        <f>26028906.65-3769561</f>
        <v>22259345.649999999</v>
      </c>
      <c r="G47" s="28">
        <v>26182537.25</v>
      </c>
      <c r="H47" s="28">
        <v>26142421.030000001</v>
      </c>
      <c r="I47" s="28">
        <v>7455751.9299999997</v>
      </c>
      <c r="J47" s="28">
        <v>11377449.02</v>
      </c>
      <c r="K47" s="28">
        <v>7568543.0800000001</v>
      </c>
      <c r="L47" s="28">
        <v>8458155.25</v>
      </c>
      <c r="M47" s="28">
        <v>8513686.5600000005</v>
      </c>
      <c r="N47" s="28">
        <v>8864716.2400000002</v>
      </c>
      <c r="O47" s="28">
        <v>8963216.2400000002</v>
      </c>
      <c r="P47" s="4">
        <f t="shared" si="15"/>
        <v>14431852.149583334</v>
      </c>
      <c r="Q47" s="4">
        <f t="shared" si="13"/>
        <v>14238013.42666667</v>
      </c>
      <c r="R47" s="8">
        <f t="shared" si="14"/>
        <v>-1.3431312967148168E-2</v>
      </c>
      <c r="T47" s="4">
        <f t="shared" ref="T47:T69" si="16">+P47</f>
        <v>14431852.149583334</v>
      </c>
      <c r="X47" s="5"/>
      <c r="Y47" s="5"/>
      <c r="Z47" s="5"/>
      <c r="AA47" s="5"/>
      <c r="AB47" s="5" t="s">
        <v>122</v>
      </c>
    </row>
    <row r="48" spans="1:29" s="3" customFormat="1">
      <c r="A48" s="3">
        <f t="shared" si="0"/>
        <v>45</v>
      </c>
      <c r="B48" s="17" t="s">
        <v>121</v>
      </c>
      <c r="C48" s="28">
        <v>223055023.03</v>
      </c>
      <c r="D48" s="28">
        <v>219515039.46000001</v>
      </c>
      <c r="E48" s="28">
        <v>221001653.46000001</v>
      </c>
      <c r="F48" s="28">
        <v>215461362.71000001</v>
      </c>
      <c r="G48" s="28">
        <v>217573738.69</v>
      </c>
      <c r="H48" s="28">
        <v>223404802.63</v>
      </c>
      <c r="I48" s="28">
        <v>236891213.87</v>
      </c>
      <c r="J48" s="28">
        <v>237788285.52000001</v>
      </c>
      <c r="K48" s="28">
        <v>248769937.15000001</v>
      </c>
      <c r="L48" s="28">
        <v>256520580.78</v>
      </c>
      <c r="M48" s="28">
        <v>262822496.34</v>
      </c>
      <c r="N48" s="28">
        <v>268040220.93000001</v>
      </c>
      <c r="O48" s="28">
        <v>269876271.56</v>
      </c>
      <c r="P48" s="4">
        <f t="shared" si="15"/>
        <v>237854581.5695833</v>
      </c>
      <c r="Q48" s="4">
        <f t="shared" si="13"/>
        <v>239805466.92499995</v>
      </c>
      <c r="R48" s="8">
        <f t="shared" si="14"/>
        <v>8.2020087338361414E-3</v>
      </c>
      <c r="T48" s="4">
        <f t="shared" si="16"/>
        <v>237854581.5695833</v>
      </c>
      <c r="V48" s="4"/>
      <c r="X48" s="5"/>
      <c r="Y48" s="5"/>
      <c r="Z48" s="5"/>
      <c r="AA48" s="5"/>
      <c r="AB48" s="5">
        <v>3524551</v>
      </c>
      <c r="AC48" s="5">
        <v>145354311</v>
      </c>
    </row>
    <row r="49" spans="1:29" s="3" customFormat="1">
      <c r="A49" s="3">
        <f t="shared" si="0"/>
        <v>46</v>
      </c>
      <c r="B49" s="17" t="s">
        <v>120</v>
      </c>
      <c r="C49" s="28"/>
      <c r="D49" s="28"/>
      <c r="E49" s="28"/>
      <c r="F49" s="28"/>
      <c r="G49" s="28"/>
      <c r="H49" s="28"/>
      <c r="I49" s="28"/>
      <c r="J49" s="28"/>
      <c r="K49" s="28"/>
      <c r="L49" s="28"/>
      <c r="M49" s="28"/>
      <c r="N49" s="28"/>
      <c r="O49" s="28"/>
      <c r="P49" s="4">
        <f t="shared" si="15"/>
        <v>0</v>
      </c>
      <c r="Q49" s="4" t="e">
        <f t="shared" si="13"/>
        <v>#DIV/0!</v>
      </c>
      <c r="R49" s="8"/>
      <c r="T49" s="4">
        <f t="shared" si="16"/>
        <v>0</v>
      </c>
      <c r="X49" s="5"/>
      <c r="Y49" s="5"/>
      <c r="Z49" s="5"/>
      <c r="AA49" s="5"/>
      <c r="AB49" s="5"/>
      <c r="AC49" s="5"/>
    </row>
    <row r="50" spans="1:29" s="3" customFormat="1">
      <c r="A50" s="3">
        <f t="shared" si="0"/>
        <v>47</v>
      </c>
      <c r="B50" s="17" t="s">
        <v>119</v>
      </c>
      <c r="C50" s="28"/>
      <c r="D50" s="28"/>
      <c r="E50" s="28"/>
      <c r="F50" s="28"/>
      <c r="G50" s="28"/>
      <c r="H50" s="28"/>
      <c r="I50" s="28"/>
      <c r="J50" s="28"/>
      <c r="K50" s="28"/>
      <c r="L50" s="28"/>
      <c r="M50" s="28"/>
      <c r="N50" s="28"/>
      <c r="O50" s="28"/>
      <c r="P50" s="4">
        <f t="shared" si="15"/>
        <v>0</v>
      </c>
      <c r="Q50" s="4" t="e">
        <f t="shared" si="13"/>
        <v>#DIV/0!</v>
      </c>
      <c r="R50" s="8"/>
      <c r="T50" s="4">
        <f t="shared" si="16"/>
        <v>0</v>
      </c>
      <c r="X50" s="5"/>
      <c r="Y50" s="5"/>
      <c r="Z50" s="5"/>
      <c r="AA50" s="5"/>
      <c r="AB50" s="5"/>
      <c r="AC50" s="5"/>
    </row>
    <row r="51" spans="1:29" s="3" customFormat="1">
      <c r="A51" s="3">
        <f t="shared" si="0"/>
        <v>48</v>
      </c>
      <c r="B51" s="17" t="s">
        <v>118</v>
      </c>
      <c r="C51" s="28">
        <v>191270513.40000001</v>
      </c>
      <c r="D51" s="28">
        <v>192533609.30000001</v>
      </c>
      <c r="E51" s="28">
        <v>193256203.62</v>
      </c>
      <c r="F51" s="28">
        <v>193195039.69</v>
      </c>
      <c r="G51" s="28">
        <v>193160297.68000001</v>
      </c>
      <c r="H51" s="28">
        <v>195887109.08000001</v>
      </c>
      <c r="I51" s="28">
        <v>196564767.27000001</v>
      </c>
      <c r="J51" s="28">
        <v>198165374.91999999</v>
      </c>
      <c r="K51" s="28">
        <v>198786081.30000001</v>
      </c>
      <c r="L51" s="28">
        <v>199643776.99000001</v>
      </c>
      <c r="M51" s="28">
        <v>198950803.88999999</v>
      </c>
      <c r="N51" s="28">
        <v>200138191.53</v>
      </c>
      <c r="O51" s="28">
        <v>200645004.03</v>
      </c>
      <c r="P51" s="4">
        <f t="shared" si="15"/>
        <v>196353251.16541669</v>
      </c>
      <c r="Q51" s="4">
        <f t="shared" si="13"/>
        <v>196743854.94166672</v>
      </c>
      <c r="R51" s="8">
        <f>+Q51/P51-1</f>
        <v>1.9892911063692509E-3</v>
      </c>
      <c r="T51" s="4">
        <f t="shared" si="16"/>
        <v>196353251.16541669</v>
      </c>
      <c r="V51" s="4"/>
      <c r="X51" s="5"/>
      <c r="Y51" s="5"/>
      <c r="Z51" s="5"/>
      <c r="AA51" s="5"/>
      <c r="AB51" s="5">
        <v>7775703</v>
      </c>
      <c r="AC51" s="5">
        <v>169563114</v>
      </c>
    </row>
    <row r="52" spans="1:29" s="3" customFormat="1">
      <c r="A52" s="3">
        <f t="shared" si="0"/>
        <v>49</v>
      </c>
      <c r="B52" s="17" t="s">
        <v>117</v>
      </c>
      <c r="C52" s="28"/>
      <c r="D52" s="28"/>
      <c r="E52" s="28"/>
      <c r="F52" s="28"/>
      <c r="G52" s="28"/>
      <c r="H52" s="28"/>
      <c r="I52" s="28"/>
      <c r="J52" s="28"/>
      <c r="K52" s="28"/>
      <c r="L52" s="28"/>
      <c r="M52" s="28"/>
      <c r="N52" s="28"/>
      <c r="O52" s="28"/>
      <c r="P52" s="4">
        <f t="shared" si="15"/>
        <v>0</v>
      </c>
      <c r="Q52" s="4" t="e">
        <f t="shared" si="13"/>
        <v>#DIV/0!</v>
      </c>
      <c r="R52" s="8"/>
      <c r="T52" s="4">
        <f t="shared" si="16"/>
        <v>0</v>
      </c>
      <c r="X52" s="5"/>
      <c r="Y52" s="5"/>
      <c r="Z52" s="5"/>
      <c r="AA52" s="5"/>
      <c r="AB52" s="5"/>
    </row>
    <row r="53" spans="1:29" s="3" customFormat="1">
      <c r="A53" s="3">
        <f t="shared" si="0"/>
        <v>50</v>
      </c>
      <c r="B53" s="17" t="s">
        <v>116</v>
      </c>
      <c r="C53" s="28"/>
      <c r="D53" s="28"/>
      <c r="E53" s="28"/>
      <c r="F53" s="28"/>
      <c r="G53" s="28"/>
      <c r="H53" s="28"/>
      <c r="I53" s="28"/>
      <c r="J53" s="28"/>
      <c r="K53" s="28"/>
      <c r="L53" s="28"/>
      <c r="M53" s="28"/>
      <c r="N53" s="28"/>
      <c r="O53" s="28"/>
      <c r="P53" s="4">
        <f t="shared" si="15"/>
        <v>0</v>
      </c>
      <c r="Q53" s="4" t="e">
        <f t="shared" si="13"/>
        <v>#DIV/0!</v>
      </c>
      <c r="R53" s="8"/>
      <c r="T53" s="4">
        <f t="shared" si="16"/>
        <v>0</v>
      </c>
      <c r="X53" s="5"/>
      <c r="Y53" s="5"/>
      <c r="Z53" s="5"/>
      <c r="AA53" s="5"/>
      <c r="AB53" s="5"/>
    </row>
    <row r="54" spans="1:29" s="3" customFormat="1">
      <c r="A54" s="3">
        <f t="shared" si="0"/>
        <v>51</v>
      </c>
      <c r="B54" s="17" t="s">
        <v>115</v>
      </c>
      <c r="C54" s="28"/>
      <c r="D54" s="28"/>
      <c r="E54" s="28"/>
      <c r="F54" s="28"/>
      <c r="G54" s="28"/>
      <c r="H54" s="28"/>
      <c r="I54" s="28"/>
      <c r="J54" s="28"/>
      <c r="K54" s="28"/>
      <c r="L54" s="28"/>
      <c r="M54" s="28"/>
      <c r="N54" s="28"/>
      <c r="O54" s="28"/>
      <c r="P54" s="4">
        <f t="shared" si="15"/>
        <v>0</v>
      </c>
      <c r="Q54" s="4" t="e">
        <f t="shared" si="13"/>
        <v>#DIV/0!</v>
      </c>
      <c r="R54" s="8"/>
      <c r="T54" s="4">
        <f t="shared" si="16"/>
        <v>0</v>
      </c>
      <c r="X54" s="5"/>
      <c r="Y54" s="5"/>
      <c r="Z54" s="5"/>
      <c r="AA54" s="5"/>
      <c r="AB54" s="5"/>
    </row>
    <row r="55" spans="1:29" s="3" customFormat="1">
      <c r="A55" s="3">
        <f t="shared" si="0"/>
        <v>52</v>
      </c>
      <c r="B55" s="17" t="s">
        <v>114</v>
      </c>
      <c r="C55" s="28"/>
      <c r="D55" s="28"/>
      <c r="E55" s="28"/>
      <c r="F55" s="28"/>
      <c r="G55" s="28"/>
      <c r="H55" s="28"/>
      <c r="I55" s="28"/>
      <c r="J55" s="28"/>
      <c r="K55" s="28"/>
      <c r="L55" s="28"/>
      <c r="M55" s="28"/>
      <c r="N55" s="28"/>
      <c r="O55" s="28"/>
      <c r="P55" s="4">
        <f t="shared" si="15"/>
        <v>0</v>
      </c>
      <c r="Q55" s="4" t="e">
        <f t="shared" si="13"/>
        <v>#DIV/0!</v>
      </c>
      <c r="R55" s="8"/>
      <c r="T55" s="4">
        <f t="shared" si="16"/>
        <v>0</v>
      </c>
      <c r="X55" s="5"/>
      <c r="Y55" s="5"/>
      <c r="Z55" s="5"/>
      <c r="AA55" s="5"/>
      <c r="AB55" s="5"/>
    </row>
    <row r="56" spans="1:29" s="3" customFormat="1">
      <c r="A56" s="3">
        <f t="shared" si="0"/>
        <v>53</v>
      </c>
      <c r="B56" s="17" t="s">
        <v>113</v>
      </c>
      <c r="C56" s="28"/>
      <c r="D56" s="28"/>
      <c r="E56" s="28"/>
      <c r="F56" s="28"/>
      <c r="G56" s="28"/>
      <c r="H56" s="28"/>
      <c r="I56" s="28"/>
      <c r="J56" s="28"/>
      <c r="K56" s="28"/>
      <c r="L56" s="28"/>
      <c r="M56" s="28"/>
      <c r="N56" s="28"/>
      <c r="O56" s="28"/>
      <c r="P56" s="4">
        <f t="shared" si="15"/>
        <v>0</v>
      </c>
      <c r="Q56" s="4" t="e">
        <f t="shared" si="13"/>
        <v>#DIV/0!</v>
      </c>
      <c r="R56" s="8"/>
      <c r="T56" s="4">
        <f t="shared" si="16"/>
        <v>0</v>
      </c>
      <c r="X56" s="5"/>
      <c r="Y56" s="5"/>
      <c r="Z56" s="5"/>
      <c r="AA56" s="5"/>
      <c r="AB56" s="5"/>
    </row>
    <row r="57" spans="1:29" s="3" customFormat="1">
      <c r="A57" s="3">
        <f t="shared" si="0"/>
        <v>54</v>
      </c>
      <c r="B57" s="17" t="s">
        <v>112</v>
      </c>
      <c r="C57" s="28"/>
      <c r="D57" s="28"/>
      <c r="E57" s="28"/>
      <c r="F57" s="28"/>
      <c r="G57" s="28"/>
      <c r="H57" s="28"/>
      <c r="I57" s="28"/>
      <c r="J57" s="28"/>
      <c r="K57" s="28"/>
      <c r="L57" s="28"/>
      <c r="M57" s="28"/>
      <c r="N57" s="28"/>
      <c r="O57" s="28"/>
      <c r="P57" s="4">
        <f t="shared" si="15"/>
        <v>0</v>
      </c>
      <c r="Q57" s="4" t="e">
        <f t="shared" si="13"/>
        <v>#DIV/0!</v>
      </c>
      <c r="R57" s="8"/>
      <c r="T57" s="4">
        <f t="shared" si="16"/>
        <v>0</v>
      </c>
      <c r="X57" s="5"/>
      <c r="Y57" s="5"/>
      <c r="Z57" s="5"/>
      <c r="AA57" s="5"/>
      <c r="AB57" s="5"/>
    </row>
    <row r="58" spans="1:29" s="3" customFormat="1">
      <c r="A58" s="3">
        <f t="shared" si="0"/>
        <v>55</v>
      </c>
      <c r="B58" s="17" t="s">
        <v>111</v>
      </c>
      <c r="C58" s="28"/>
      <c r="D58" s="28"/>
      <c r="E58" s="28"/>
      <c r="F58" s="28"/>
      <c r="G58" s="28"/>
      <c r="H58" s="28"/>
      <c r="I58" s="28"/>
      <c r="J58" s="28"/>
      <c r="K58" s="28"/>
      <c r="L58" s="28"/>
      <c r="M58" s="28"/>
      <c r="N58" s="28"/>
      <c r="O58" s="28"/>
      <c r="P58" s="4">
        <f t="shared" si="15"/>
        <v>0</v>
      </c>
      <c r="Q58" s="4" t="e">
        <f t="shared" si="13"/>
        <v>#DIV/0!</v>
      </c>
      <c r="R58" s="8"/>
      <c r="T58" s="4">
        <f t="shared" si="16"/>
        <v>0</v>
      </c>
      <c r="X58" s="5"/>
      <c r="Y58" s="5"/>
      <c r="Z58" s="5"/>
      <c r="AA58" s="5"/>
      <c r="AB58" s="5"/>
    </row>
    <row r="59" spans="1:29" s="3" customFormat="1">
      <c r="A59" s="3">
        <f t="shared" si="0"/>
        <v>56</v>
      </c>
      <c r="B59" s="17" t="s">
        <v>110</v>
      </c>
      <c r="C59" s="28"/>
      <c r="D59" s="28"/>
      <c r="E59" s="28"/>
      <c r="F59" s="28"/>
      <c r="G59" s="28"/>
      <c r="H59" s="28"/>
      <c r="I59" s="28"/>
      <c r="J59" s="28"/>
      <c r="K59" s="28"/>
      <c r="L59" s="28"/>
      <c r="M59" s="28"/>
      <c r="N59" s="28"/>
      <c r="O59" s="28"/>
      <c r="P59" s="4">
        <f t="shared" si="15"/>
        <v>0</v>
      </c>
      <c r="Q59" s="4" t="e">
        <f t="shared" si="13"/>
        <v>#DIV/0!</v>
      </c>
      <c r="R59" s="8"/>
      <c r="T59" s="4">
        <f t="shared" si="16"/>
        <v>0</v>
      </c>
      <c r="X59" s="5"/>
      <c r="Y59" s="5"/>
      <c r="Z59" s="5"/>
      <c r="AA59" s="5"/>
      <c r="AB59" s="5"/>
    </row>
    <row r="60" spans="1:29" s="3" customFormat="1">
      <c r="A60" s="3">
        <f t="shared" si="0"/>
        <v>57</v>
      </c>
      <c r="B60" s="17" t="s">
        <v>109</v>
      </c>
      <c r="C60" s="48">
        <f>87921903.63-249129</f>
        <v>87672774.629999995</v>
      </c>
      <c r="D60" s="28">
        <v>59298455.159999996</v>
      </c>
      <c r="E60" s="28">
        <v>34609797.119999997</v>
      </c>
      <c r="F60" s="48">
        <f>39397352.91-162805</f>
        <v>39234547.909999996</v>
      </c>
      <c r="G60" s="28">
        <v>30305514.98</v>
      </c>
      <c r="H60" s="28">
        <v>42623205.560000002</v>
      </c>
      <c r="I60" s="28">
        <v>113503387.98999999</v>
      </c>
      <c r="J60" s="28">
        <v>84230593.150000006</v>
      </c>
      <c r="K60" s="28">
        <v>63891087.710000001</v>
      </c>
      <c r="L60" s="28">
        <v>125176629.81</v>
      </c>
      <c r="M60" s="28">
        <v>33824015.210000001</v>
      </c>
      <c r="N60" s="28">
        <v>28959637.969999999</v>
      </c>
      <c r="O60" s="28">
        <v>27465999.329999998</v>
      </c>
      <c r="P60" s="4">
        <f t="shared" si="15"/>
        <v>59435521.629166663</v>
      </c>
      <c r="Q60" s="4">
        <f t="shared" si="13"/>
        <v>56926905.991666675</v>
      </c>
      <c r="R60" s="8">
        <f>+Q60/P60-1</f>
        <v>-4.2207346191926787E-2</v>
      </c>
      <c r="T60" s="4">
        <f t="shared" si="16"/>
        <v>59435521.629166663</v>
      </c>
      <c r="X60" s="5"/>
      <c r="Y60" s="5"/>
      <c r="Z60" s="5"/>
      <c r="AA60" s="5"/>
      <c r="AB60" s="5"/>
    </row>
    <row r="61" spans="1:29" s="3" customFormat="1">
      <c r="A61" s="3">
        <f t="shared" si="0"/>
        <v>58</v>
      </c>
      <c r="B61" s="17" t="s">
        <v>108</v>
      </c>
      <c r="C61" s="28"/>
      <c r="D61" s="28"/>
      <c r="E61" s="28"/>
      <c r="F61" s="28"/>
      <c r="G61" s="28"/>
      <c r="H61" s="28"/>
      <c r="I61" s="28"/>
      <c r="J61" s="28"/>
      <c r="K61" s="28"/>
      <c r="L61" s="28"/>
      <c r="M61" s="28"/>
      <c r="N61" s="28"/>
      <c r="O61" s="28"/>
      <c r="P61" s="4">
        <f t="shared" si="15"/>
        <v>0</v>
      </c>
      <c r="Q61" s="4" t="e">
        <f t="shared" si="13"/>
        <v>#DIV/0!</v>
      </c>
      <c r="R61" s="8"/>
      <c r="T61" s="4">
        <f t="shared" si="16"/>
        <v>0</v>
      </c>
      <c r="X61" s="5"/>
      <c r="Y61" s="5"/>
      <c r="Z61" s="5"/>
      <c r="AA61" s="5"/>
      <c r="AB61" s="5"/>
    </row>
    <row r="62" spans="1:29" s="3" customFormat="1">
      <c r="A62" s="3">
        <f t="shared" si="0"/>
        <v>59</v>
      </c>
      <c r="B62" s="17" t="s">
        <v>107</v>
      </c>
      <c r="C62" s="28">
        <v>12559.41</v>
      </c>
      <c r="D62" s="28">
        <v>14321.84</v>
      </c>
      <c r="E62" s="28">
        <v>24953.23</v>
      </c>
      <c r="F62" s="28">
        <v>24421.53</v>
      </c>
      <c r="G62" s="28">
        <v>26169.599999999999</v>
      </c>
      <c r="H62" s="28">
        <v>27787.09</v>
      </c>
      <c r="I62" s="28">
        <v>26886.799999999999</v>
      </c>
      <c r="J62" s="28">
        <v>16660.55</v>
      </c>
      <c r="K62" s="28">
        <v>18496</v>
      </c>
      <c r="L62" s="28">
        <v>19132.57</v>
      </c>
      <c r="M62" s="28">
        <v>-173483.88</v>
      </c>
      <c r="N62" s="28">
        <v>-164301.82999999999</v>
      </c>
      <c r="O62" s="28">
        <v>12909.74</v>
      </c>
      <c r="P62" s="4">
        <f t="shared" si="15"/>
        <v>-10518.493750000001</v>
      </c>
      <c r="Q62" s="4">
        <f t="shared" si="13"/>
        <v>-10503.896666666666</v>
      </c>
      <c r="R62" s="8">
        <f t="shared" ref="R62:R68" si="17">+Q62/P62-1</f>
        <v>-1.3877541481008837E-3</v>
      </c>
      <c r="T62" s="4">
        <f t="shared" si="16"/>
        <v>-10518.493750000001</v>
      </c>
      <c r="X62" s="5"/>
      <c r="Y62" s="5"/>
      <c r="Z62" s="5"/>
      <c r="AA62" s="5"/>
      <c r="AB62" s="5"/>
    </row>
    <row r="63" spans="1:29" s="3" customFormat="1">
      <c r="A63" s="3">
        <f t="shared" si="0"/>
        <v>60</v>
      </c>
      <c r="B63" s="17" t="s">
        <v>106</v>
      </c>
      <c r="C63" s="28">
        <v>1722621.89</v>
      </c>
      <c r="D63" s="28">
        <v>6060244.2599999998</v>
      </c>
      <c r="E63" s="28">
        <v>5235372.54</v>
      </c>
      <c r="F63" s="28">
        <v>1937962.18</v>
      </c>
      <c r="G63" s="28">
        <v>4163049.42</v>
      </c>
      <c r="H63" s="28">
        <v>2526726.4500000002</v>
      </c>
      <c r="I63" s="28">
        <v>2237540.79</v>
      </c>
      <c r="J63" s="28">
        <v>2428841</v>
      </c>
      <c r="K63" s="28">
        <v>2273451.9</v>
      </c>
      <c r="L63" s="28">
        <v>1981371.63</v>
      </c>
      <c r="M63" s="28">
        <v>2574624.5</v>
      </c>
      <c r="N63" s="28">
        <v>2487207.39</v>
      </c>
      <c r="O63" s="28">
        <v>1794821.98</v>
      </c>
      <c r="P63" s="4">
        <f t="shared" si="15"/>
        <v>2972092.8329166663</v>
      </c>
      <c r="Q63" s="4">
        <f t="shared" si="13"/>
        <v>2975101.1699999995</v>
      </c>
      <c r="R63" s="8">
        <f t="shared" si="17"/>
        <v>1.0121948581198748E-3</v>
      </c>
      <c r="T63" s="4">
        <f t="shared" si="16"/>
        <v>2972092.8329166663</v>
      </c>
      <c r="X63" s="5"/>
      <c r="Y63" s="5"/>
      <c r="Z63" s="5"/>
      <c r="AA63" s="5"/>
      <c r="AB63" s="5"/>
    </row>
    <row r="64" spans="1:29" s="3" customFormat="1">
      <c r="A64" s="3">
        <f t="shared" si="0"/>
        <v>61</v>
      </c>
      <c r="B64" s="17" t="s">
        <v>105</v>
      </c>
      <c r="C64" s="28">
        <v>214855971.06</v>
      </c>
      <c r="D64" s="28">
        <v>244604417.74000001</v>
      </c>
      <c r="E64" s="28">
        <v>251369995.72999999</v>
      </c>
      <c r="F64" s="28">
        <v>223160800</v>
      </c>
      <c r="G64" s="28">
        <v>233798100</v>
      </c>
      <c r="H64" s="28">
        <v>235272000</v>
      </c>
      <c r="I64" s="28">
        <v>236917500</v>
      </c>
      <c r="J64" s="28">
        <v>220973400</v>
      </c>
      <c r="K64" s="28">
        <v>211113100</v>
      </c>
      <c r="L64" s="28">
        <v>209913700</v>
      </c>
      <c r="M64" s="28">
        <v>202715100</v>
      </c>
      <c r="N64" s="28">
        <v>230254600</v>
      </c>
      <c r="O64" s="28">
        <v>258866700</v>
      </c>
      <c r="P64" s="4">
        <f t="shared" si="15"/>
        <v>228079504.08333337</v>
      </c>
      <c r="Q64" s="4">
        <f t="shared" si="13"/>
        <v>229913284.45583335</v>
      </c>
      <c r="R64" s="8">
        <f t="shared" si="17"/>
        <v>8.0400927732198202E-3</v>
      </c>
      <c r="T64" s="4">
        <f t="shared" si="16"/>
        <v>228079504.08333337</v>
      </c>
      <c r="X64" s="5"/>
      <c r="Y64" s="5"/>
      <c r="Z64" s="5"/>
      <c r="AA64" s="5"/>
      <c r="AB64" s="5"/>
    </row>
    <row r="65" spans="1:28" s="3" customFormat="1">
      <c r="A65" s="3">
        <f t="shared" si="0"/>
        <v>62</v>
      </c>
      <c r="B65" s="17" t="s">
        <v>104</v>
      </c>
      <c r="C65" s="28"/>
      <c r="D65" s="28"/>
      <c r="E65" s="28"/>
      <c r="F65" s="28"/>
      <c r="G65" s="28"/>
      <c r="H65" s="28"/>
      <c r="I65" s="28">
        <v>2574464</v>
      </c>
      <c r="J65" s="28">
        <v>2757414</v>
      </c>
      <c r="K65" s="28">
        <v>2558291</v>
      </c>
      <c r="L65" s="28">
        <v>2334726</v>
      </c>
      <c r="M65" s="28">
        <v>1977025</v>
      </c>
      <c r="N65" s="28">
        <v>1935890</v>
      </c>
      <c r="O65" s="28">
        <v>1743859</v>
      </c>
      <c r="P65" s="4">
        <f t="shared" si="15"/>
        <v>1250811.625</v>
      </c>
      <c r="Q65" s="4">
        <f t="shared" si="13"/>
        <v>2268809.8571428573</v>
      </c>
      <c r="R65" s="8">
        <f t="shared" si="17"/>
        <v>0.81387013983249257</v>
      </c>
      <c r="T65" s="4">
        <f t="shared" si="16"/>
        <v>1250811.625</v>
      </c>
      <c r="X65" s="5"/>
      <c r="Y65" s="5"/>
      <c r="Z65" s="5"/>
      <c r="AA65" s="5"/>
      <c r="AB65" s="5"/>
    </row>
    <row r="66" spans="1:28" s="3" customFormat="1">
      <c r="A66" s="3">
        <f t="shared" si="0"/>
        <v>63</v>
      </c>
      <c r="B66" s="17" t="s">
        <v>103</v>
      </c>
      <c r="C66" s="28">
        <v>52111171.880000003</v>
      </c>
      <c r="D66" s="28">
        <v>45411149.880000003</v>
      </c>
      <c r="E66" s="28">
        <v>37750575.880000003</v>
      </c>
      <c r="F66" s="28">
        <v>38177416</v>
      </c>
      <c r="G66" s="28">
        <v>35737478</v>
      </c>
      <c r="H66" s="28">
        <v>27422573</v>
      </c>
      <c r="I66" s="28">
        <v>15812193</v>
      </c>
      <c r="J66" s="28">
        <v>18436824</v>
      </c>
      <c r="K66" s="28">
        <v>21259908.309999999</v>
      </c>
      <c r="L66" s="28">
        <v>19653080.600000001</v>
      </c>
      <c r="M66" s="28">
        <v>18819517.260000002</v>
      </c>
      <c r="N66" s="28">
        <v>13113864.380000001</v>
      </c>
      <c r="O66" s="28">
        <v>12486971.060000001</v>
      </c>
      <c r="P66" s="4">
        <f t="shared" si="15"/>
        <v>26991137.64833333</v>
      </c>
      <c r="Q66" s="4">
        <f t="shared" si="13"/>
        <v>25340129.280833334</v>
      </c>
      <c r="R66" s="8">
        <f t="shared" si="17"/>
        <v>-6.1168535724982487E-2</v>
      </c>
      <c r="T66" s="4">
        <f t="shared" si="16"/>
        <v>26991137.64833333</v>
      </c>
      <c r="U66" s="39"/>
      <c r="W66" s="4"/>
      <c r="X66" s="5"/>
      <c r="Y66" s="5"/>
      <c r="Z66" s="5"/>
      <c r="AA66" s="5"/>
      <c r="AB66" s="5"/>
    </row>
    <row r="67" spans="1:28" s="3" customFormat="1">
      <c r="A67" s="3">
        <f t="shared" si="0"/>
        <v>64</v>
      </c>
      <c r="B67" s="17" t="s">
        <v>102</v>
      </c>
      <c r="C67" s="28">
        <v>5904320.1699999999</v>
      </c>
      <c r="D67" s="28">
        <v>5347478.17</v>
      </c>
      <c r="E67" s="28">
        <v>5702291.1699999999</v>
      </c>
      <c r="F67" s="28">
        <v>6297562</v>
      </c>
      <c r="G67" s="28">
        <v>6123786</v>
      </c>
      <c r="H67" s="28">
        <v>5637366</v>
      </c>
      <c r="I67" s="28">
        <v>4472312</v>
      </c>
      <c r="J67" s="28">
        <v>3800307</v>
      </c>
      <c r="K67" s="28">
        <v>2747187.72</v>
      </c>
      <c r="L67" s="28">
        <v>1068525.1100000001</v>
      </c>
      <c r="M67" s="28">
        <v>1057610.7</v>
      </c>
      <c r="N67" s="28">
        <v>953643.83</v>
      </c>
      <c r="O67" s="28">
        <v>843218.75</v>
      </c>
      <c r="P67" s="4">
        <f>-(C67+2*SUM(D67:N67)+O67)/24</f>
        <v>-3881819.93</v>
      </c>
      <c r="Q67" s="4">
        <f t="shared" si="13"/>
        <v>3670940.7041666671</v>
      </c>
      <c r="R67" s="8">
        <f t="shared" si="17"/>
        <v>-1.9456751653512858</v>
      </c>
      <c r="T67" s="4">
        <f t="shared" si="16"/>
        <v>-3881819.93</v>
      </c>
      <c r="W67" s="4"/>
      <c r="X67" s="5"/>
      <c r="Y67" s="5"/>
      <c r="Z67" s="5"/>
      <c r="AA67" s="5"/>
      <c r="AB67" s="5"/>
    </row>
    <row r="68" spans="1:28" s="3" customFormat="1">
      <c r="A68" s="3">
        <f t="shared" si="0"/>
        <v>65</v>
      </c>
      <c r="B68" s="17" t="s">
        <v>101</v>
      </c>
      <c r="C68" s="28"/>
      <c r="D68" s="28"/>
      <c r="E68" s="28"/>
      <c r="F68" s="28"/>
      <c r="G68" s="28"/>
      <c r="H68" s="28"/>
      <c r="I68" s="28"/>
      <c r="J68" s="28"/>
      <c r="K68" s="28"/>
      <c r="L68" s="28"/>
      <c r="M68" s="28"/>
      <c r="N68" s="28"/>
      <c r="O68" s="28"/>
      <c r="P68" s="4">
        <f>(C68+2*SUM(D68:N68)+O68)/24</f>
        <v>0</v>
      </c>
      <c r="Q68" s="4" t="e">
        <f t="shared" si="13"/>
        <v>#DIV/0!</v>
      </c>
      <c r="R68" s="8" t="e">
        <f t="shared" si="17"/>
        <v>#DIV/0!</v>
      </c>
      <c r="T68" s="4">
        <f t="shared" si="16"/>
        <v>0</v>
      </c>
      <c r="W68" s="4"/>
      <c r="X68" s="5"/>
      <c r="Y68" s="5"/>
      <c r="Z68" s="5"/>
      <c r="AA68" s="5"/>
      <c r="AB68" s="5"/>
    </row>
    <row r="69" spans="1:28" s="3" customFormat="1">
      <c r="A69" s="3">
        <f t="shared" ref="A69:A132" si="18">+A68+1</f>
        <v>66</v>
      </c>
      <c r="B69" s="17" t="s">
        <v>100</v>
      </c>
      <c r="C69" s="28"/>
      <c r="D69" s="28"/>
      <c r="E69" s="28"/>
      <c r="F69" s="28"/>
      <c r="G69" s="28"/>
      <c r="H69" s="28"/>
      <c r="I69" s="28"/>
      <c r="J69" s="28"/>
      <c r="K69" s="28"/>
      <c r="L69" s="28"/>
      <c r="M69" s="28"/>
      <c r="N69" s="28"/>
      <c r="O69" s="28"/>
      <c r="P69" s="4">
        <f>(C69+2*SUM(D69:N69)+O69)/24</f>
        <v>0</v>
      </c>
      <c r="Q69" s="4" t="e">
        <f t="shared" si="13"/>
        <v>#DIV/0!</v>
      </c>
      <c r="R69" s="8"/>
      <c r="T69" s="4">
        <f t="shared" si="16"/>
        <v>0</v>
      </c>
      <c r="X69" s="5"/>
      <c r="Y69" s="5"/>
      <c r="Z69" s="5"/>
      <c r="AA69" s="5"/>
      <c r="AB69" s="5"/>
    </row>
    <row r="70" spans="1:28" s="3" customFormat="1">
      <c r="A70" s="3">
        <f t="shared" si="18"/>
        <v>67</v>
      </c>
      <c r="B70" s="17" t="s">
        <v>99</v>
      </c>
      <c r="C70" s="28">
        <f t="shared" ref="C70:O70" si="19">SUM(C38:C44,C46:C55,C57:C66,C68)-SUM(C45,C56,C67,C69)</f>
        <v>1242476570.05</v>
      </c>
      <c r="D70" s="28">
        <f t="shared" si="19"/>
        <v>1220546947.4400001</v>
      </c>
      <c r="E70" s="28">
        <f t="shared" si="19"/>
        <v>1194712772.5500002</v>
      </c>
      <c r="F70" s="28">
        <f t="shared" si="19"/>
        <v>1264120897.23</v>
      </c>
      <c r="G70" s="28">
        <f t="shared" si="19"/>
        <v>1225027234.8199999</v>
      </c>
      <c r="H70" s="28">
        <f t="shared" si="19"/>
        <v>1150502474.8900001</v>
      </c>
      <c r="I70" s="28">
        <f t="shared" si="19"/>
        <v>1268581646.0999999</v>
      </c>
      <c r="J70" s="28">
        <f t="shared" si="19"/>
        <v>1228770459.9699998</v>
      </c>
      <c r="K70" s="28">
        <f t="shared" si="19"/>
        <v>1181106794.2199998</v>
      </c>
      <c r="L70" s="28">
        <f t="shared" si="19"/>
        <v>1222089702.6800001</v>
      </c>
      <c r="M70" s="28">
        <f t="shared" si="19"/>
        <v>1103753135.28</v>
      </c>
      <c r="N70" s="28">
        <f t="shared" si="19"/>
        <v>1114147361.79</v>
      </c>
      <c r="O70" s="28">
        <f t="shared" si="19"/>
        <v>1240006124.6799998</v>
      </c>
      <c r="P70" s="29">
        <f>SUBTOTAL(9,P38:P69)</f>
        <v>1201216731.1945834</v>
      </c>
      <c r="Q70" s="4">
        <f t="shared" si="13"/>
        <v>1201113795.9708335</v>
      </c>
      <c r="R70" s="8">
        <f>+Q70/P70-1</f>
        <v>-8.5692465877973412E-5</v>
      </c>
      <c r="T70" s="29">
        <f>SUBTOTAL(9,T38:T69)</f>
        <v>1158571269.9754167</v>
      </c>
      <c r="V70" s="29">
        <f>SUBTOTAL(9,V38:V69)</f>
        <v>42645461.219166666</v>
      </c>
      <c r="X70" s="29">
        <f>SUBTOTAL(9,X38:X69)</f>
        <v>0</v>
      </c>
      <c r="Y70" s="29">
        <f>SUBTOTAL(9,Y38:Y69)</f>
        <v>0</v>
      </c>
      <c r="Z70" s="29">
        <f>SUBTOTAL(9,Z38:Z69)</f>
        <v>42645461.219166666</v>
      </c>
      <c r="AA70" s="5"/>
      <c r="AB70" s="5"/>
    </row>
    <row r="71" spans="1:28" s="3" customFormat="1">
      <c r="A71" s="3">
        <f t="shared" si="18"/>
        <v>68</v>
      </c>
      <c r="B71" s="17"/>
      <c r="C71" s="32"/>
      <c r="D71" s="32"/>
      <c r="E71" s="32"/>
      <c r="F71" s="32"/>
      <c r="G71" s="32"/>
      <c r="H71" s="32"/>
      <c r="I71" s="32"/>
      <c r="J71" s="32"/>
      <c r="K71" s="32"/>
      <c r="L71" s="32"/>
      <c r="M71" s="32"/>
      <c r="N71" s="32"/>
      <c r="O71" s="32"/>
      <c r="P71" s="27"/>
      <c r="Q71" s="4"/>
      <c r="R71" s="8"/>
      <c r="T71" s="27"/>
      <c r="V71" s="27"/>
      <c r="X71" s="27"/>
      <c r="Y71" s="27"/>
      <c r="Z71" s="27"/>
      <c r="AA71" s="5"/>
      <c r="AB71" s="5"/>
    </row>
    <row r="72" spans="1:28" s="3" customFormat="1">
      <c r="A72" s="3">
        <f t="shared" si="18"/>
        <v>69</v>
      </c>
      <c r="B72" s="17" t="s">
        <v>98</v>
      </c>
      <c r="C72" s="30"/>
      <c r="D72" s="30"/>
      <c r="E72" s="30"/>
      <c r="F72" s="30"/>
      <c r="G72" s="30"/>
      <c r="H72" s="30"/>
      <c r="I72" s="30"/>
      <c r="J72" s="30"/>
      <c r="K72" s="30"/>
      <c r="L72" s="30"/>
      <c r="M72" s="30"/>
      <c r="N72" s="30"/>
      <c r="O72" s="30"/>
      <c r="P72" s="4"/>
      <c r="Q72" s="4"/>
      <c r="R72" s="8"/>
      <c r="X72" s="5"/>
      <c r="Y72" s="5"/>
      <c r="Z72" s="5"/>
      <c r="AA72" s="5"/>
      <c r="AB72" s="5"/>
    </row>
    <row r="73" spans="1:28" s="3" customFormat="1">
      <c r="A73" s="3">
        <f t="shared" si="18"/>
        <v>70</v>
      </c>
      <c r="B73" s="17" t="s">
        <v>97</v>
      </c>
      <c r="C73" s="28">
        <v>34637123.829999998</v>
      </c>
      <c r="D73" s="28">
        <v>34541541.789999999</v>
      </c>
      <c r="E73" s="28">
        <v>34415758.329999998</v>
      </c>
      <c r="F73" s="28">
        <v>34181877.619999997</v>
      </c>
      <c r="G73" s="28">
        <v>33935949.840000004</v>
      </c>
      <c r="H73" s="28">
        <v>33690021.890000001</v>
      </c>
      <c r="I73" s="28">
        <v>33449340.809999999</v>
      </c>
      <c r="J73" s="28">
        <v>37726980.609999999</v>
      </c>
      <c r="K73" s="28">
        <v>37717993.310000002</v>
      </c>
      <c r="L73" s="28">
        <v>36290380.920000002</v>
      </c>
      <c r="M73" s="28">
        <v>36286705.590000004</v>
      </c>
      <c r="N73" s="28">
        <v>36391742.439999998</v>
      </c>
      <c r="O73" s="28">
        <v>36154416.020000003</v>
      </c>
      <c r="P73" s="4">
        <f t="shared" ref="P73:P87" si="20">(C73+2*SUM(D73:N73)+O73)/24</f>
        <v>35335338.589583337</v>
      </c>
      <c r="Q73" s="4">
        <f t="shared" ref="Q73:Q88" si="21">AVERAGE(D73:O73)</f>
        <v>35398559.097500004</v>
      </c>
      <c r="R73" s="8">
        <f>+Q73/P73-1</f>
        <v>1.7891581187594596E-3</v>
      </c>
      <c r="V73" s="4"/>
      <c r="W73" s="4">
        <f>-P73</f>
        <v>-35335338.589583337</v>
      </c>
      <c r="X73" s="5"/>
      <c r="Y73" s="5"/>
      <c r="Z73" s="5"/>
      <c r="AA73" s="5"/>
      <c r="AB73" s="5"/>
    </row>
    <row r="74" spans="1:28" s="3" customFormat="1">
      <c r="A74" s="3">
        <f t="shared" si="18"/>
        <v>71</v>
      </c>
      <c r="B74" s="17" t="s">
        <v>96</v>
      </c>
      <c r="C74" s="28"/>
      <c r="D74" s="28"/>
      <c r="E74" s="28"/>
      <c r="F74" s="28"/>
      <c r="G74" s="28"/>
      <c r="H74" s="28"/>
      <c r="I74" s="28"/>
      <c r="J74" s="28"/>
      <c r="K74" s="28"/>
      <c r="L74" s="28"/>
      <c r="M74" s="28"/>
      <c r="N74" s="28"/>
      <c r="O74" s="28"/>
      <c r="P74" s="4">
        <f t="shared" si="20"/>
        <v>0</v>
      </c>
      <c r="Q74" s="4" t="e">
        <f t="shared" si="21"/>
        <v>#DIV/0!</v>
      </c>
      <c r="R74" s="8"/>
      <c r="V74" s="4">
        <f t="shared" ref="V74:V84" si="22">+P74</f>
        <v>0</v>
      </c>
      <c r="X74" s="5"/>
      <c r="Y74" s="5"/>
      <c r="Z74" s="5"/>
      <c r="AA74" s="5"/>
      <c r="AB74" s="5"/>
    </row>
    <row r="75" spans="1:28" s="3" customFormat="1">
      <c r="A75" s="3">
        <f t="shared" si="18"/>
        <v>72</v>
      </c>
      <c r="B75" s="17" t="s">
        <v>95</v>
      </c>
      <c r="C75" s="28"/>
      <c r="D75" s="28"/>
      <c r="E75" s="28"/>
      <c r="F75" s="28"/>
      <c r="G75" s="28"/>
      <c r="H75" s="28"/>
      <c r="I75" s="28"/>
      <c r="J75" s="28"/>
      <c r="K75" s="28"/>
      <c r="L75" s="28"/>
      <c r="M75" s="28"/>
      <c r="N75" s="28"/>
      <c r="O75" s="28"/>
      <c r="P75" s="4">
        <f t="shared" si="20"/>
        <v>0</v>
      </c>
      <c r="Q75" s="4" t="e">
        <f t="shared" si="21"/>
        <v>#DIV/0!</v>
      </c>
      <c r="R75" s="8" t="e">
        <f>+Q75/P75-1</f>
        <v>#DIV/0!</v>
      </c>
      <c r="V75" s="4">
        <f t="shared" si="22"/>
        <v>0</v>
      </c>
      <c r="X75" s="5">
        <f>+[4]Report!$K$2626</f>
        <v>0</v>
      </c>
      <c r="Y75" s="5">
        <f>+[4]Report!$J$2626</f>
        <v>0</v>
      </c>
      <c r="Z75" s="5">
        <f>+P75-X75-Y75</f>
        <v>0</v>
      </c>
      <c r="AA75" s="5">
        <f>+Z75+X75+Y75</f>
        <v>0</v>
      </c>
      <c r="AB75" s="5"/>
    </row>
    <row r="76" spans="1:28" s="3" customFormat="1">
      <c r="A76" s="3">
        <f t="shared" si="18"/>
        <v>73</v>
      </c>
      <c r="B76" s="17" t="s">
        <v>94</v>
      </c>
      <c r="C76" s="28">
        <v>1734854643.03</v>
      </c>
      <c r="D76" s="28">
        <v>1792493711.3599999</v>
      </c>
      <c r="E76" s="28">
        <v>1761310118.45</v>
      </c>
      <c r="F76" s="28">
        <v>1750711757.6600001</v>
      </c>
      <c r="G76" s="28">
        <v>1722826104.52</v>
      </c>
      <c r="H76" s="28">
        <v>1736666394.3800001</v>
      </c>
      <c r="I76" s="28">
        <v>1874535670.9200001</v>
      </c>
      <c r="J76" s="28">
        <v>1894207267.27</v>
      </c>
      <c r="K76" s="28">
        <v>1867152369.53</v>
      </c>
      <c r="L76" s="28">
        <v>1896130240.8599999</v>
      </c>
      <c r="M76" s="28">
        <v>1877281334.51</v>
      </c>
      <c r="N76" s="28">
        <v>1846018075.21</v>
      </c>
      <c r="O76" s="28">
        <v>1819877305.8199999</v>
      </c>
      <c r="P76" s="4">
        <f t="shared" si="20"/>
        <v>1816391584.9245832</v>
      </c>
      <c r="Q76" s="4">
        <f t="shared" si="21"/>
        <v>1819934195.8741665</v>
      </c>
      <c r="R76" s="8">
        <f>+Q76/P76-1</f>
        <v>1.9503563983591654E-3</v>
      </c>
      <c r="V76" s="4">
        <f t="shared" si="22"/>
        <v>1816391584.9245832</v>
      </c>
      <c r="X76" s="5" t="e">
        <f>+[4]Report!$K$2463+[4]Report!$K$2567+#REF!</f>
        <v>#REF!</v>
      </c>
      <c r="Y76" s="5">
        <f>+[4]Report!$J$2463+[4]Report!$J$2567</f>
        <v>168336505.04307589</v>
      </c>
      <c r="Z76" s="5" t="e">
        <f>+P76-X76-Y76</f>
        <v>#REF!</v>
      </c>
      <c r="AA76" s="5" t="e">
        <f>+Z76+X76+Y76</f>
        <v>#REF!</v>
      </c>
      <c r="AB76" s="5"/>
    </row>
    <row r="77" spans="1:28" s="3" customFormat="1">
      <c r="A77" s="3">
        <f t="shared" si="18"/>
        <v>74</v>
      </c>
      <c r="B77" s="17" t="s">
        <v>93</v>
      </c>
      <c r="C77" s="28">
        <v>3037151.89</v>
      </c>
      <c r="D77" s="28">
        <v>2983030.97</v>
      </c>
      <c r="E77" s="28">
        <v>3349423.32</v>
      </c>
      <c r="F77" s="28">
        <v>3024702.33</v>
      </c>
      <c r="G77" s="28">
        <v>3019844.81</v>
      </c>
      <c r="H77" s="28">
        <v>3056444.79</v>
      </c>
      <c r="I77" s="28">
        <v>3115356.43</v>
      </c>
      <c r="J77" s="28">
        <v>3156779.52</v>
      </c>
      <c r="K77" s="28">
        <v>3240548.66</v>
      </c>
      <c r="L77" s="28">
        <v>3431846.32</v>
      </c>
      <c r="M77" s="28">
        <v>4068428.84</v>
      </c>
      <c r="N77" s="28">
        <v>4074045.74</v>
      </c>
      <c r="O77" s="28">
        <v>4987809.3099999996</v>
      </c>
      <c r="P77" s="4">
        <f t="shared" si="20"/>
        <v>3377744.3608333338</v>
      </c>
      <c r="Q77" s="4">
        <f t="shared" si="21"/>
        <v>3459021.7533333339</v>
      </c>
      <c r="R77" s="8">
        <f>+Q77/P77-1</f>
        <v>2.4062623993234222E-2</v>
      </c>
      <c r="V77" s="4">
        <f t="shared" si="22"/>
        <v>3377744.3608333338</v>
      </c>
      <c r="X77" s="5">
        <v>0</v>
      </c>
      <c r="Y77" s="5">
        <v>0</v>
      </c>
      <c r="Z77" s="5">
        <f>+V77</f>
        <v>3377744.3608333338</v>
      </c>
      <c r="AA77" s="5">
        <f>+Z77+X77+Y77</f>
        <v>3377744.3608333338</v>
      </c>
      <c r="AB77" s="5"/>
    </row>
    <row r="78" spans="1:28" s="3" customFormat="1">
      <c r="A78" s="3">
        <f t="shared" si="18"/>
        <v>75</v>
      </c>
      <c r="B78" s="17" t="s">
        <v>92</v>
      </c>
      <c r="C78" s="28"/>
      <c r="D78" s="28"/>
      <c r="E78" s="28"/>
      <c r="F78" s="28"/>
      <c r="G78" s="28"/>
      <c r="H78" s="28"/>
      <c r="I78" s="28"/>
      <c r="J78" s="28"/>
      <c r="K78" s="28"/>
      <c r="L78" s="28"/>
      <c r="M78" s="28"/>
      <c r="N78" s="28"/>
      <c r="O78" s="28"/>
      <c r="P78" s="4">
        <f t="shared" si="20"/>
        <v>0</v>
      </c>
      <c r="Q78" s="4" t="e">
        <f t="shared" si="21"/>
        <v>#DIV/0!</v>
      </c>
      <c r="R78" s="8"/>
      <c r="V78" s="4">
        <f t="shared" si="22"/>
        <v>0</v>
      </c>
      <c r="X78" s="5"/>
      <c r="Y78" s="5"/>
      <c r="Z78" s="5"/>
      <c r="AA78" s="5"/>
      <c r="AB78" s="5"/>
    </row>
    <row r="79" spans="1:28" s="3" customFormat="1">
      <c r="A79" s="3">
        <f t="shared" si="18"/>
        <v>76</v>
      </c>
      <c r="B79" s="17" t="s">
        <v>91</v>
      </c>
      <c r="C79" s="28"/>
      <c r="D79" s="28"/>
      <c r="E79" s="28"/>
      <c r="F79" s="28"/>
      <c r="G79" s="28"/>
      <c r="H79" s="28"/>
      <c r="I79" s="28"/>
      <c r="J79" s="28"/>
      <c r="K79" s="28"/>
      <c r="L79" s="28"/>
      <c r="M79" s="28"/>
      <c r="N79" s="28"/>
      <c r="O79" s="28"/>
      <c r="P79" s="4">
        <f t="shared" si="20"/>
        <v>0</v>
      </c>
      <c r="Q79" s="4" t="e">
        <f t="shared" si="21"/>
        <v>#DIV/0!</v>
      </c>
      <c r="R79" s="8"/>
      <c r="V79" s="4">
        <f t="shared" si="22"/>
        <v>0</v>
      </c>
      <c r="X79" s="5"/>
      <c r="Y79" s="5"/>
      <c r="Z79" s="5"/>
      <c r="AA79" s="5"/>
      <c r="AB79" s="5"/>
    </row>
    <row r="80" spans="1:28" s="3" customFormat="1">
      <c r="A80" s="3">
        <f t="shared" si="18"/>
        <v>77</v>
      </c>
      <c r="B80" s="17" t="s">
        <v>90</v>
      </c>
      <c r="C80" s="28">
        <v>-214512.86</v>
      </c>
      <c r="D80" s="28">
        <v>128507.14</v>
      </c>
      <c r="E80" s="28">
        <v>-167498.88</v>
      </c>
      <c r="F80" s="28">
        <v>-167077.38</v>
      </c>
      <c r="G80" s="28">
        <v>-163096.39000000001</v>
      </c>
      <c r="H80" s="28">
        <v>340274.45</v>
      </c>
      <c r="I80" s="28"/>
      <c r="J80" s="28">
        <v>-48232.54</v>
      </c>
      <c r="K80" s="28">
        <v>-95146.81</v>
      </c>
      <c r="L80" s="28">
        <v>-173339.33</v>
      </c>
      <c r="M80" s="28">
        <v>-183723.69</v>
      </c>
      <c r="N80" s="28">
        <v>-176411.57</v>
      </c>
      <c r="O80" s="28">
        <v>-115896.56</v>
      </c>
      <c r="P80" s="4">
        <f t="shared" si="20"/>
        <v>-72579.142500000002</v>
      </c>
      <c r="Q80" s="4">
        <f t="shared" si="21"/>
        <v>-74694.687272727271</v>
      </c>
      <c r="R80" s="8"/>
      <c r="V80" s="4">
        <f t="shared" si="22"/>
        <v>-72579.142500000002</v>
      </c>
      <c r="X80" s="5"/>
      <c r="Y80" s="5"/>
      <c r="Z80" s="5">
        <f>+V80</f>
        <v>-72579.142500000002</v>
      </c>
      <c r="AA80" s="5">
        <f>+Z80+X80+Y80</f>
        <v>-72579.142500000002</v>
      </c>
      <c r="AB80" s="5"/>
    </row>
    <row r="81" spans="1:28" s="3" customFormat="1">
      <c r="A81" s="3">
        <f t="shared" si="18"/>
        <v>78</v>
      </c>
      <c r="B81" s="17" t="s">
        <v>89</v>
      </c>
      <c r="C81" s="28">
        <v>89719.83</v>
      </c>
      <c r="D81" s="28">
        <v>90509.05</v>
      </c>
      <c r="E81" s="28">
        <v>101892.9</v>
      </c>
      <c r="F81" s="28">
        <v>110494.66</v>
      </c>
      <c r="G81" s="28">
        <v>81932.39</v>
      </c>
      <c r="H81" s="28">
        <v>52246.99</v>
      </c>
      <c r="I81" s="28">
        <v>66905.259999999995</v>
      </c>
      <c r="J81" s="28">
        <v>81157.94</v>
      </c>
      <c r="K81" s="28">
        <v>45669.84</v>
      </c>
      <c r="L81" s="28">
        <v>40431.64</v>
      </c>
      <c r="M81" s="28">
        <v>37356.480000000003</v>
      </c>
      <c r="N81" s="28">
        <v>18822.490000000002</v>
      </c>
      <c r="O81" s="28">
        <v>56151.65</v>
      </c>
      <c r="P81" s="4">
        <f t="shared" si="20"/>
        <v>66696.281666666662</v>
      </c>
      <c r="Q81" s="4">
        <f t="shared" si="21"/>
        <v>65297.607499999991</v>
      </c>
      <c r="R81" s="8">
        <f>+Q81/P81-1</f>
        <v>-2.0970796747814768E-2</v>
      </c>
      <c r="V81" s="4">
        <f t="shared" si="22"/>
        <v>66696.281666666662</v>
      </c>
      <c r="X81" s="5">
        <v>0</v>
      </c>
      <c r="Y81" s="5">
        <v>0</v>
      </c>
      <c r="Z81" s="5">
        <f>+V81</f>
        <v>66696.281666666662</v>
      </c>
      <c r="AA81" s="5">
        <f>+Z81+X81+Y81</f>
        <v>66696.281666666662</v>
      </c>
      <c r="AB81" s="5"/>
    </row>
    <row r="82" spans="1:28" s="3" customFormat="1">
      <c r="A82" s="3">
        <f t="shared" si="18"/>
        <v>79</v>
      </c>
      <c r="B82" s="17" t="s">
        <v>88</v>
      </c>
      <c r="C82" s="48">
        <f>77886299.32-70296</f>
        <v>77816003.319999993</v>
      </c>
      <c r="D82" s="28">
        <v>78489308.799999997</v>
      </c>
      <c r="E82" s="28">
        <v>79723472.359999999</v>
      </c>
      <c r="F82" s="48">
        <f>86094472.84-58984</f>
        <v>86035488.840000004</v>
      </c>
      <c r="G82" s="28">
        <v>86509758.319999993</v>
      </c>
      <c r="H82" s="28">
        <v>85626652.230000004</v>
      </c>
      <c r="I82" s="28">
        <v>88864233.069999993</v>
      </c>
      <c r="J82" s="28">
        <v>90143100.909999996</v>
      </c>
      <c r="K82" s="28">
        <v>91035900.159999996</v>
      </c>
      <c r="L82" s="28">
        <v>92309599.370000005</v>
      </c>
      <c r="M82" s="28">
        <v>92462258.879999995</v>
      </c>
      <c r="N82" s="28">
        <v>92403595.709999993</v>
      </c>
      <c r="O82" s="28">
        <v>95646917.120000005</v>
      </c>
      <c r="P82" s="4">
        <f t="shared" si="20"/>
        <v>87527902.405833319</v>
      </c>
      <c r="Q82" s="4">
        <f t="shared" si="21"/>
        <v>88270857.147499993</v>
      </c>
      <c r="R82" s="8">
        <f>+Q82/P82-1</f>
        <v>8.4882045752894264E-3</v>
      </c>
      <c r="V82" s="4">
        <f t="shared" si="22"/>
        <v>87527902.405833319</v>
      </c>
      <c r="X82" s="5">
        <f>+[4]Report!$K$2582</f>
        <v>4213626.3067053072</v>
      </c>
      <c r="Y82" s="5">
        <f>+[4]Report!$J$2582</f>
        <v>81548519.994961098</v>
      </c>
      <c r="Z82" s="5">
        <f>+P82-X82-Y82</f>
        <v>1765756.1041669101</v>
      </c>
      <c r="AA82" s="5">
        <f>+Z82+X82+Y82</f>
        <v>87527902.405833319</v>
      </c>
      <c r="AB82" s="5"/>
    </row>
    <row r="83" spans="1:28" s="3" customFormat="1">
      <c r="A83" s="3">
        <f t="shared" si="18"/>
        <v>80</v>
      </c>
      <c r="B83" s="17" t="s">
        <v>87</v>
      </c>
      <c r="C83" s="28"/>
      <c r="D83" s="28"/>
      <c r="E83" s="28"/>
      <c r="F83" s="28"/>
      <c r="G83" s="28"/>
      <c r="H83" s="28"/>
      <c r="I83" s="28"/>
      <c r="J83" s="28"/>
      <c r="K83" s="28"/>
      <c r="L83" s="28"/>
      <c r="M83" s="28"/>
      <c r="N83" s="28"/>
      <c r="O83" s="28"/>
      <c r="P83" s="4">
        <f t="shared" si="20"/>
        <v>0</v>
      </c>
      <c r="Q83" s="4" t="e">
        <f t="shared" si="21"/>
        <v>#DIV/0!</v>
      </c>
      <c r="R83" s="8"/>
      <c r="V83" s="4">
        <f t="shared" si="22"/>
        <v>0</v>
      </c>
      <c r="X83" s="5"/>
      <c r="Y83" s="5"/>
      <c r="Z83" s="5"/>
      <c r="AA83" s="5"/>
      <c r="AB83" s="5"/>
    </row>
    <row r="84" spans="1:28" s="3" customFormat="1">
      <c r="A84" s="3">
        <f t="shared" si="18"/>
        <v>81</v>
      </c>
      <c r="B84" s="17" t="s">
        <v>86</v>
      </c>
      <c r="C84" s="28"/>
      <c r="D84" s="28"/>
      <c r="E84" s="28"/>
      <c r="F84" s="28"/>
      <c r="G84" s="28"/>
      <c r="H84" s="28"/>
      <c r="I84" s="28"/>
      <c r="J84" s="28"/>
      <c r="K84" s="28"/>
      <c r="L84" s="28"/>
      <c r="M84" s="28"/>
      <c r="N84" s="28"/>
      <c r="O84" s="28"/>
      <c r="P84" s="4">
        <f t="shared" si="20"/>
        <v>0</v>
      </c>
      <c r="Q84" s="4" t="e">
        <f t="shared" si="21"/>
        <v>#DIV/0!</v>
      </c>
      <c r="R84" s="8"/>
      <c r="V84" s="4">
        <f t="shared" si="22"/>
        <v>0</v>
      </c>
      <c r="X84" s="5"/>
      <c r="Y84" s="5"/>
      <c r="Z84" s="5"/>
      <c r="AA84" s="5"/>
      <c r="AB84" s="5"/>
    </row>
    <row r="85" spans="1:28" s="3" customFormat="1">
      <c r="A85" s="3">
        <f t="shared" si="18"/>
        <v>82</v>
      </c>
      <c r="B85" s="17" t="s">
        <v>85</v>
      </c>
      <c r="C85" s="28">
        <v>10559054.24</v>
      </c>
      <c r="D85" s="28">
        <v>10411105.83</v>
      </c>
      <c r="E85" s="28">
        <v>10263157.529999999</v>
      </c>
      <c r="F85" s="28">
        <v>10115209.119999999</v>
      </c>
      <c r="G85" s="28">
        <v>9967260.8300000001</v>
      </c>
      <c r="H85" s="28">
        <v>9819312.4100000001</v>
      </c>
      <c r="I85" s="28">
        <v>9676901.3300000001</v>
      </c>
      <c r="J85" s="28">
        <v>9534490.1099999994</v>
      </c>
      <c r="K85" s="28">
        <v>9392079.0500000007</v>
      </c>
      <c r="L85" s="28">
        <v>10869558.51</v>
      </c>
      <c r="M85" s="28">
        <v>10715001.050000001</v>
      </c>
      <c r="N85" s="28">
        <v>10558848.43</v>
      </c>
      <c r="O85" s="28">
        <v>10402695.970000001</v>
      </c>
      <c r="P85" s="4">
        <f t="shared" si="20"/>
        <v>10150316.608749999</v>
      </c>
      <c r="Q85" s="4">
        <f t="shared" si="21"/>
        <v>10143801.680833332</v>
      </c>
      <c r="R85" s="8">
        <f>+Q85/P85-1</f>
        <v>-6.4184479832385399E-4</v>
      </c>
      <c r="V85" s="4"/>
      <c r="W85" s="4">
        <f>-P85</f>
        <v>-10150316.608749999</v>
      </c>
      <c r="X85" s="5"/>
      <c r="Y85" s="5"/>
      <c r="Z85" s="5"/>
      <c r="AA85" s="5"/>
      <c r="AB85" s="5"/>
    </row>
    <row r="86" spans="1:28" s="3" customFormat="1">
      <c r="A86" s="3">
        <f t="shared" si="18"/>
        <v>83</v>
      </c>
      <c r="B86" s="17" t="s">
        <v>84</v>
      </c>
      <c r="C86" s="28">
        <v>563674504.14999998</v>
      </c>
      <c r="D86" s="28">
        <v>563674504.14999998</v>
      </c>
      <c r="E86" s="28">
        <v>563674504.14999998</v>
      </c>
      <c r="F86" s="28">
        <v>570961967.14999998</v>
      </c>
      <c r="G86" s="28">
        <v>570977554.14999998</v>
      </c>
      <c r="H86" s="28">
        <v>570977554.14999998</v>
      </c>
      <c r="I86" s="28">
        <v>639645755</v>
      </c>
      <c r="J86" s="28">
        <v>639645755</v>
      </c>
      <c r="K86" s="28">
        <v>639645755</v>
      </c>
      <c r="L86" s="28">
        <v>641098330</v>
      </c>
      <c r="M86" s="28">
        <v>641098330</v>
      </c>
      <c r="N86" s="28">
        <v>641098330</v>
      </c>
      <c r="O86" s="28">
        <v>623424543</v>
      </c>
      <c r="P86" s="21">
        <f t="shared" si="20"/>
        <v>606337321.86041665</v>
      </c>
      <c r="Q86" s="4">
        <f t="shared" si="21"/>
        <v>608826906.8125</v>
      </c>
      <c r="R86" s="8">
        <f>+Q86/P86-1</f>
        <v>4.1059404762429086E-3</v>
      </c>
      <c r="V86" s="4">
        <f>+P86</f>
        <v>606337321.86041665</v>
      </c>
      <c r="X86" s="5">
        <f>+[4]Report!$K$2704</f>
        <v>7023759.1323354822</v>
      </c>
      <c r="Y86" s="5">
        <f>+[4]Report!$J$2704</f>
        <v>145585178.76974773</v>
      </c>
      <c r="Z86" s="5">
        <f>+P86-X86-Y86</f>
        <v>453728383.95833349</v>
      </c>
      <c r="AA86" s="5">
        <f>+Z86+X86+Y86</f>
        <v>606337321.86041665</v>
      </c>
      <c r="AB86" s="5"/>
    </row>
    <row r="87" spans="1:28" s="3" customFormat="1">
      <c r="A87" s="3">
        <f t="shared" si="18"/>
        <v>84</v>
      </c>
      <c r="B87" s="17" t="s">
        <v>83</v>
      </c>
      <c r="C87" s="28"/>
      <c r="D87" s="28"/>
      <c r="E87" s="28"/>
      <c r="F87" s="28"/>
      <c r="G87" s="28"/>
      <c r="H87" s="28"/>
      <c r="I87" s="28"/>
      <c r="J87" s="28"/>
      <c r="K87" s="28"/>
      <c r="L87" s="28"/>
      <c r="M87" s="28"/>
      <c r="N87" s="28"/>
      <c r="O87" s="28"/>
      <c r="P87" s="4">
        <f t="shared" si="20"/>
        <v>0</v>
      </c>
      <c r="Q87" s="4" t="e">
        <f t="shared" si="21"/>
        <v>#DIV/0!</v>
      </c>
      <c r="R87" s="8"/>
      <c r="V87" s="4">
        <f>+P87</f>
        <v>0</v>
      </c>
      <c r="X87" s="5"/>
      <c r="Y87" s="5"/>
      <c r="Z87" s="5"/>
      <c r="AA87" s="5"/>
      <c r="AB87" s="5"/>
    </row>
    <row r="88" spans="1:28" s="3" customFormat="1">
      <c r="A88" s="3">
        <f t="shared" si="18"/>
        <v>85</v>
      </c>
      <c r="B88" s="17" t="s">
        <v>82</v>
      </c>
      <c r="C88" s="28">
        <f t="shared" ref="C88:O88" si="23">SUM(C73:C87)</f>
        <v>2424453687.4299998</v>
      </c>
      <c r="D88" s="28">
        <f t="shared" si="23"/>
        <v>2482812219.0899997</v>
      </c>
      <c r="E88" s="28">
        <f t="shared" si="23"/>
        <v>2452670828.1599998</v>
      </c>
      <c r="F88" s="28">
        <f t="shared" si="23"/>
        <v>2454974419.9999995</v>
      </c>
      <c r="G88" s="28">
        <f t="shared" si="23"/>
        <v>2427155308.4699998</v>
      </c>
      <c r="H88" s="28">
        <f t="shared" si="23"/>
        <v>2440228901.2900004</v>
      </c>
      <c r="I88" s="28">
        <f t="shared" si="23"/>
        <v>2649354162.8199997</v>
      </c>
      <c r="J88" s="28">
        <f t="shared" si="23"/>
        <v>2674447298.8199997</v>
      </c>
      <c r="K88" s="28">
        <f t="shared" si="23"/>
        <v>2648135168.7399998</v>
      </c>
      <c r="L88" s="28">
        <f t="shared" si="23"/>
        <v>2679997048.29</v>
      </c>
      <c r="M88" s="28">
        <f t="shared" si="23"/>
        <v>2661765691.6599998</v>
      </c>
      <c r="N88" s="28">
        <f t="shared" si="23"/>
        <v>2630387048.4500003</v>
      </c>
      <c r="O88" s="28">
        <f t="shared" si="23"/>
        <v>2590433942.3299999</v>
      </c>
      <c r="P88" s="29">
        <f>SUBTOTAL(9,P73:P87)</f>
        <v>2559114325.8891668</v>
      </c>
      <c r="Q88" s="4">
        <f t="shared" si="21"/>
        <v>2566030169.8433337</v>
      </c>
      <c r="R88" s="8">
        <f>+Q88/P88-1</f>
        <v>2.7024364969563397E-3</v>
      </c>
      <c r="T88" s="29">
        <f>SUBTOTAL(9,T73:T87)</f>
        <v>0</v>
      </c>
      <c r="V88" s="29">
        <f t="shared" ref="V88:AA88" si="24">SUBTOTAL(9,V73:V87)</f>
        <v>2513628670.6908331</v>
      </c>
      <c r="W88" s="29">
        <f t="shared" si="24"/>
        <v>-45485655.198333338</v>
      </c>
      <c r="X88" s="29" t="e">
        <f t="shared" si="24"/>
        <v>#REF!</v>
      </c>
      <c r="Y88" s="29">
        <f t="shared" si="24"/>
        <v>395470203.80778474</v>
      </c>
      <c r="Z88" s="29" t="e">
        <f t="shared" si="24"/>
        <v>#REF!</v>
      </c>
      <c r="AA88" s="29" t="e">
        <f t="shared" si="24"/>
        <v>#REF!</v>
      </c>
      <c r="AB88" s="5"/>
    </row>
    <row r="89" spans="1:28" s="3" customFormat="1">
      <c r="A89" s="3">
        <f t="shared" si="18"/>
        <v>86</v>
      </c>
      <c r="B89" s="17"/>
      <c r="C89" s="28"/>
      <c r="D89" s="28"/>
      <c r="E89" s="28"/>
      <c r="F89" s="28"/>
      <c r="G89" s="28"/>
      <c r="H89" s="28"/>
      <c r="I89" s="28"/>
      <c r="J89" s="28"/>
      <c r="K89" s="28"/>
      <c r="L89" s="28"/>
      <c r="M89" s="28"/>
      <c r="N89" s="28"/>
      <c r="O89" s="28"/>
      <c r="P89" s="27"/>
      <c r="Q89" s="4"/>
      <c r="R89" s="8"/>
      <c r="T89" s="38"/>
      <c r="V89" s="38"/>
      <c r="W89" s="38"/>
      <c r="X89" s="38"/>
      <c r="Y89" s="38"/>
      <c r="Z89" s="38"/>
      <c r="AA89" s="27"/>
      <c r="AB89" s="5"/>
    </row>
    <row r="90" spans="1:28" s="3" customFormat="1">
      <c r="A90" s="3">
        <f t="shared" si="18"/>
        <v>87</v>
      </c>
      <c r="B90" s="18" t="s">
        <v>81</v>
      </c>
      <c r="C90" s="26">
        <f t="shared" ref="C90:O90" si="25">SUM(C88,C70,C35,C18,)</f>
        <v>19953307084.610001</v>
      </c>
      <c r="D90" s="26">
        <f t="shared" si="25"/>
        <v>20089297245.970001</v>
      </c>
      <c r="E90" s="26">
        <f t="shared" si="25"/>
        <v>20108942520.93</v>
      </c>
      <c r="F90" s="26">
        <f t="shared" si="25"/>
        <v>20235602915.330002</v>
      </c>
      <c r="G90" s="26">
        <f t="shared" si="25"/>
        <v>20277073053.540001</v>
      </c>
      <c r="H90" s="26">
        <f t="shared" si="25"/>
        <v>20323662057.610001</v>
      </c>
      <c r="I90" s="26">
        <f t="shared" si="25"/>
        <v>20818161762.669994</v>
      </c>
      <c r="J90" s="26">
        <f t="shared" si="25"/>
        <v>20859021609.669998</v>
      </c>
      <c r="K90" s="26">
        <f t="shared" si="25"/>
        <v>20854899034.559998</v>
      </c>
      <c r="L90" s="26">
        <f t="shared" si="25"/>
        <v>21005250463.389996</v>
      </c>
      <c r="M90" s="26">
        <f t="shared" si="25"/>
        <v>20965882945.720001</v>
      </c>
      <c r="N90" s="26">
        <f t="shared" si="25"/>
        <v>21008000084.280003</v>
      </c>
      <c r="O90" s="26">
        <f t="shared" si="25"/>
        <v>21141063731.310001</v>
      </c>
      <c r="P90" s="25">
        <f>(C90+2*SUM(D90:N90)+O90)/24</f>
        <v>20591081591.802498</v>
      </c>
      <c r="Q90" s="25">
        <f>AVERAGE(D90:O90)</f>
        <v>20640571452.081665</v>
      </c>
      <c r="R90" s="9">
        <f>+Q90/P90-1</f>
        <v>2.4034609381018424E-3</v>
      </c>
      <c r="S90" s="20"/>
      <c r="T90" s="37">
        <f>SUBTOTAL(9,T4:T88)</f>
        <v>1201736070.928472</v>
      </c>
      <c r="U90" s="20"/>
      <c r="V90" s="37">
        <f>SUBTOTAL(9,V4:V88)</f>
        <v>19343859865.67569</v>
      </c>
      <c r="W90" s="37">
        <f>SUBTOTAL(9,W4:W88)</f>
        <v>-45485655.198333338</v>
      </c>
      <c r="X90" s="36" t="e">
        <f>SUBTOTAL(9,X4:X88)</f>
        <v>#REF!</v>
      </c>
      <c r="Y90" s="36">
        <f>SUBTOTAL(9,Y4:Y88)</f>
        <v>14739267647.406822</v>
      </c>
      <c r="Z90" s="36" t="e">
        <f>SUBTOTAL(9,Z4:Z88)</f>
        <v>#REF!</v>
      </c>
      <c r="AA90" s="5" t="e">
        <f>+Z90+Y90+X90</f>
        <v>#REF!</v>
      </c>
      <c r="AB90" s="5"/>
    </row>
    <row r="91" spans="1:28" s="3" customFormat="1">
      <c r="A91" s="3">
        <f t="shared" si="18"/>
        <v>88</v>
      </c>
      <c r="B91" s="35" t="s">
        <v>80</v>
      </c>
      <c r="C91" s="16">
        <f>C90-C166</f>
        <v>0</v>
      </c>
      <c r="D91" s="16">
        <f t="shared" ref="D91:O91" si="26">D90-D166</f>
        <v>0</v>
      </c>
      <c r="E91" s="16">
        <f t="shared" si="26"/>
        <v>0</v>
      </c>
      <c r="F91" s="16">
        <f t="shared" si="26"/>
        <v>0</v>
      </c>
      <c r="G91" s="16">
        <f t="shared" si="26"/>
        <v>0</v>
      </c>
      <c r="H91" s="16">
        <f t="shared" si="26"/>
        <v>0</v>
      </c>
      <c r="I91" s="16">
        <f t="shared" si="26"/>
        <v>0</v>
      </c>
      <c r="J91" s="16">
        <f t="shared" si="26"/>
        <v>0</v>
      </c>
      <c r="K91" s="16">
        <f t="shared" si="26"/>
        <v>0</v>
      </c>
      <c r="L91" s="16">
        <f t="shared" si="26"/>
        <v>0</v>
      </c>
      <c r="M91" s="16">
        <f t="shared" si="26"/>
        <v>0</v>
      </c>
      <c r="N91" s="16">
        <f t="shared" si="26"/>
        <v>0</v>
      </c>
      <c r="O91" s="16">
        <f t="shared" si="26"/>
        <v>0</v>
      </c>
      <c r="P91" s="11">
        <f>+T90+V90-W90</f>
        <v>20591081591.802494</v>
      </c>
      <c r="Q91" s="25"/>
      <c r="R91" s="9"/>
      <c r="S91" s="20"/>
      <c r="T91" s="20"/>
      <c r="U91" s="20"/>
      <c r="V91" s="21"/>
      <c r="W91" s="20"/>
      <c r="X91" s="6"/>
      <c r="Y91" s="6"/>
      <c r="Z91" s="6"/>
      <c r="AA91" s="5"/>
      <c r="AB91" s="5"/>
    </row>
    <row r="92" spans="1:28" s="3" customFormat="1">
      <c r="A92" s="3">
        <f t="shared" si="18"/>
        <v>89</v>
      </c>
      <c r="B92" s="18"/>
      <c r="C92" s="16"/>
      <c r="D92" s="16"/>
      <c r="E92" s="16"/>
      <c r="F92" s="16"/>
      <c r="G92" s="16"/>
      <c r="H92" s="16"/>
      <c r="I92" s="16"/>
      <c r="J92" s="16"/>
      <c r="K92" s="16"/>
      <c r="L92" s="16"/>
      <c r="M92" s="16"/>
      <c r="N92" s="16"/>
      <c r="O92" s="16"/>
      <c r="P92" s="34"/>
      <c r="Q92" s="34"/>
      <c r="R92" s="8"/>
      <c r="T92" s="4"/>
      <c r="V92" s="4"/>
      <c r="X92" s="5"/>
      <c r="Y92" s="5"/>
      <c r="Z92" s="5"/>
      <c r="AA92" s="5"/>
      <c r="AB92" s="5"/>
    </row>
    <row r="93" spans="1:28" s="3" customFormat="1">
      <c r="A93" s="3">
        <f t="shared" si="18"/>
        <v>90</v>
      </c>
      <c r="B93" s="18"/>
      <c r="C93" s="16"/>
      <c r="D93" s="16"/>
      <c r="E93" s="16"/>
      <c r="F93" s="16"/>
      <c r="G93" s="16"/>
      <c r="H93" s="16"/>
      <c r="I93" s="16"/>
      <c r="J93" s="16"/>
      <c r="K93" s="16"/>
      <c r="L93" s="16"/>
      <c r="M93" s="16"/>
      <c r="N93" s="16"/>
      <c r="O93" s="16"/>
      <c r="P93" s="34"/>
      <c r="Q93" s="34"/>
      <c r="R93" s="8"/>
      <c r="T93" s="4"/>
      <c r="V93" s="4"/>
      <c r="X93" s="5"/>
      <c r="Y93" s="5"/>
      <c r="Z93" s="5"/>
      <c r="AA93" s="5"/>
      <c r="AB93" s="5"/>
    </row>
    <row r="94" spans="1:28" s="3" customFormat="1">
      <c r="A94" s="3">
        <f t="shared" si="18"/>
        <v>91</v>
      </c>
      <c r="B94" s="17" t="s">
        <v>79</v>
      </c>
      <c r="C94" s="30"/>
      <c r="D94" s="30"/>
      <c r="E94" s="30"/>
      <c r="F94" s="30"/>
      <c r="G94" s="30"/>
      <c r="H94" s="30"/>
      <c r="I94" s="30"/>
      <c r="J94" s="30"/>
      <c r="K94" s="30"/>
      <c r="L94" s="30"/>
      <c r="M94" s="30"/>
      <c r="N94" s="30"/>
      <c r="O94" s="30"/>
      <c r="P94" s="4"/>
      <c r="Q94" s="4"/>
      <c r="R94" s="8"/>
      <c r="X94" s="5"/>
      <c r="Y94" s="5"/>
      <c r="Z94" s="5"/>
      <c r="AA94" s="5"/>
      <c r="AB94" s="5"/>
    </row>
    <row r="95" spans="1:28" s="3" customFormat="1">
      <c r="A95" s="3">
        <f t="shared" si="18"/>
        <v>92</v>
      </c>
      <c r="B95" s="17" t="s">
        <v>78</v>
      </c>
      <c r="C95" s="28">
        <v>3417945896.2399998</v>
      </c>
      <c r="D95" s="28">
        <v>3417945896.2399998</v>
      </c>
      <c r="E95" s="28">
        <v>3417945896.2399998</v>
      </c>
      <c r="F95" s="28">
        <v>3417945896.2399998</v>
      </c>
      <c r="G95" s="28">
        <v>3417945896.2399998</v>
      </c>
      <c r="H95" s="28">
        <v>3417945896.2399998</v>
      </c>
      <c r="I95" s="28">
        <v>3417945896.2399998</v>
      </c>
      <c r="J95" s="28">
        <v>3417945896.2399998</v>
      </c>
      <c r="K95" s="28">
        <v>3417945896.2399998</v>
      </c>
      <c r="L95" s="28">
        <v>3417945896.2399998</v>
      </c>
      <c r="M95" s="28">
        <v>3417945896.2399998</v>
      </c>
      <c r="N95" s="28">
        <v>3417945896.2399998</v>
      </c>
      <c r="O95" s="28">
        <v>3417945896.2399998</v>
      </c>
      <c r="P95" s="4">
        <f t="shared" ref="P95:P101" si="27">(C95+2*SUM(D95:N95)+O95)/24</f>
        <v>3417945896.2399998</v>
      </c>
      <c r="Q95" s="4">
        <f t="shared" ref="Q95:Q111" si="28">AVERAGE(D95:O95)</f>
        <v>3417945896.2399993</v>
      </c>
      <c r="R95" s="8">
        <f>+Q95/P95-1</f>
        <v>0</v>
      </c>
      <c r="W95" s="4">
        <f t="shared" ref="W95:W110" si="29">+P95</f>
        <v>3417945896.2399998</v>
      </c>
      <c r="X95" s="5"/>
      <c r="Y95" s="5"/>
      <c r="Z95" s="5"/>
      <c r="AA95" s="5"/>
      <c r="AB95" s="5"/>
    </row>
    <row r="96" spans="1:28" s="3" customFormat="1">
      <c r="A96" s="3">
        <f t="shared" si="18"/>
        <v>93</v>
      </c>
      <c r="B96" s="17" t="s">
        <v>77</v>
      </c>
      <c r="C96" s="28">
        <v>40733100</v>
      </c>
      <c r="D96" s="28">
        <v>40733100</v>
      </c>
      <c r="E96" s="28">
        <v>40733100</v>
      </c>
      <c r="F96" s="28">
        <v>40733100</v>
      </c>
      <c r="G96" s="28">
        <v>40733100</v>
      </c>
      <c r="H96" s="28">
        <v>40733100</v>
      </c>
      <c r="I96" s="28">
        <v>40733100</v>
      </c>
      <c r="J96" s="28">
        <v>40733100</v>
      </c>
      <c r="K96" s="28">
        <v>40733100</v>
      </c>
      <c r="L96" s="28">
        <v>40733100</v>
      </c>
      <c r="M96" s="28">
        <v>40733100</v>
      </c>
      <c r="N96" s="28">
        <v>40733100</v>
      </c>
      <c r="O96" s="28">
        <v>40733100</v>
      </c>
      <c r="P96" s="4">
        <f t="shared" si="27"/>
        <v>40733100</v>
      </c>
      <c r="Q96" s="4">
        <f t="shared" si="28"/>
        <v>40733100</v>
      </c>
      <c r="R96" s="8">
        <f>+Q96/P96-1</f>
        <v>0</v>
      </c>
      <c r="W96" s="4">
        <f t="shared" si="29"/>
        <v>40733100</v>
      </c>
      <c r="X96" s="5"/>
      <c r="Y96" s="5"/>
      <c r="Z96" s="5"/>
      <c r="AA96" s="5"/>
      <c r="AB96" s="5"/>
    </row>
    <row r="97" spans="1:28" s="3" customFormat="1">
      <c r="A97" s="3">
        <f t="shared" si="18"/>
        <v>94</v>
      </c>
      <c r="B97" s="17" t="s">
        <v>76</v>
      </c>
      <c r="C97" s="28">
        <v>0</v>
      </c>
      <c r="D97" s="28">
        <v>0</v>
      </c>
      <c r="E97" s="28">
        <v>0</v>
      </c>
      <c r="F97" s="28">
        <v>0</v>
      </c>
      <c r="G97" s="28">
        <v>0</v>
      </c>
      <c r="H97" s="28">
        <v>0</v>
      </c>
      <c r="I97" s="28">
        <v>0</v>
      </c>
      <c r="J97" s="28">
        <v>0</v>
      </c>
      <c r="K97" s="28">
        <v>0</v>
      </c>
      <c r="L97" s="28">
        <v>0</v>
      </c>
      <c r="M97" s="28">
        <v>0</v>
      </c>
      <c r="N97" s="28">
        <v>0</v>
      </c>
      <c r="O97" s="28">
        <v>0</v>
      </c>
      <c r="P97" s="4">
        <f t="shared" si="27"/>
        <v>0</v>
      </c>
      <c r="Q97" s="4">
        <f t="shared" si="28"/>
        <v>0</v>
      </c>
      <c r="R97" s="8"/>
      <c r="W97" s="4">
        <f t="shared" si="29"/>
        <v>0</v>
      </c>
      <c r="X97" s="5"/>
      <c r="Y97" s="5"/>
      <c r="Z97" s="5"/>
      <c r="AA97" s="5"/>
      <c r="AB97" s="5"/>
    </row>
    <row r="98" spans="1:28" s="3" customFormat="1">
      <c r="A98" s="3">
        <f t="shared" si="18"/>
        <v>95</v>
      </c>
      <c r="B98" s="17" t="s">
        <v>75</v>
      </c>
      <c r="C98" s="28">
        <v>0</v>
      </c>
      <c r="D98" s="28">
        <v>0</v>
      </c>
      <c r="E98" s="28">
        <v>0</v>
      </c>
      <c r="F98" s="28">
        <v>0</v>
      </c>
      <c r="G98" s="28">
        <v>0</v>
      </c>
      <c r="H98" s="28">
        <v>0</v>
      </c>
      <c r="I98" s="28">
        <v>0</v>
      </c>
      <c r="J98" s="28">
        <v>0</v>
      </c>
      <c r="K98" s="28">
        <v>0</v>
      </c>
      <c r="L98" s="28">
        <v>0</v>
      </c>
      <c r="M98" s="28">
        <v>0</v>
      </c>
      <c r="N98" s="28">
        <v>0</v>
      </c>
      <c r="O98" s="28">
        <v>0</v>
      </c>
      <c r="P98" s="4">
        <f t="shared" si="27"/>
        <v>0</v>
      </c>
      <c r="Q98" s="4">
        <f t="shared" si="28"/>
        <v>0</v>
      </c>
      <c r="R98" s="8"/>
      <c r="W98" s="4">
        <f t="shared" si="29"/>
        <v>0</v>
      </c>
      <c r="X98" s="5"/>
      <c r="Y98" s="5"/>
      <c r="Z98" s="5"/>
      <c r="AA98" s="5"/>
      <c r="AB98" s="5"/>
    </row>
    <row r="99" spans="1:28" s="3" customFormat="1">
      <c r="A99" s="3">
        <f t="shared" si="18"/>
        <v>96</v>
      </c>
      <c r="B99" s="17" t="s">
        <v>74</v>
      </c>
      <c r="C99" s="28">
        <v>0</v>
      </c>
      <c r="D99" s="28">
        <v>0</v>
      </c>
      <c r="E99" s="28">
        <v>0</v>
      </c>
      <c r="F99" s="28">
        <v>0</v>
      </c>
      <c r="G99" s="28">
        <v>0</v>
      </c>
      <c r="H99" s="28">
        <v>0</v>
      </c>
      <c r="I99" s="28">
        <v>0</v>
      </c>
      <c r="J99" s="28">
        <v>0</v>
      </c>
      <c r="K99" s="28">
        <v>0</v>
      </c>
      <c r="L99" s="28">
        <v>0</v>
      </c>
      <c r="M99" s="28">
        <v>0</v>
      </c>
      <c r="N99" s="28">
        <v>0</v>
      </c>
      <c r="O99" s="28">
        <v>0</v>
      </c>
      <c r="P99" s="4">
        <f t="shared" si="27"/>
        <v>0</v>
      </c>
      <c r="Q99" s="4">
        <f t="shared" si="28"/>
        <v>0</v>
      </c>
      <c r="R99" s="8"/>
      <c r="W99" s="4">
        <f t="shared" si="29"/>
        <v>0</v>
      </c>
      <c r="X99" s="5"/>
      <c r="Y99" s="5"/>
      <c r="Z99" s="5"/>
      <c r="AA99" s="5"/>
      <c r="AB99" s="5"/>
    </row>
    <row r="100" spans="1:28" s="3" customFormat="1">
      <c r="A100" s="3">
        <f t="shared" si="18"/>
        <v>97</v>
      </c>
      <c r="B100" s="17" t="s">
        <v>73</v>
      </c>
      <c r="C100" s="28">
        <v>1102229981.23</v>
      </c>
      <c r="D100" s="28">
        <v>1102229981.23</v>
      </c>
      <c r="E100" s="28">
        <v>1102229981.23</v>
      </c>
      <c r="F100" s="28">
        <v>1102229981.23</v>
      </c>
      <c r="G100" s="28">
        <v>1102229981.23</v>
      </c>
      <c r="H100" s="28">
        <v>1102229981.23</v>
      </c>
      <c r="I100" s="28">
        <v>1102229981.23</v>
      </c>
      <c r="J100" s="28">
        <v>1102229981.23</v>
      </c>
      <c r="K100" s="28">
        <v>1102229981.23</v>
      </c>
      <c r="L100" s="28">
        <v>1102229981.23</v>
      </c>
      <c r="M100" s="28">
        <v>1102229981.23</v>
      </c>
      <c r="N100" s="28">
        <v>1102229981.23</v>
      </c>
      <c r="O100" s="28">
        <v>1102229981.23</v>
      </c>
      <c r="P100" s="4">
        <f t="shared" si="27"/>
        <v>1102229981.2299998</v>
      </c>
      <c r="Q100" s="4">
        <f t="shared" si="28"/>
        <v>1102229981.2299998</v>
      </c>
      <c r="R100" s="8">
        <f>+Q100/P100-1</f>
        <v>0</v>
      </c>
      <c r="W100" s="4">
        <f t="shared" si="29"/>
        <v>1102229981.2299998</v>
      </c>
      <c r="X100" s="5"/>
      <c r="Y100" s="5"/>
      <c r="Z100" s="5"/>
      <c r="AA100" s="5"/>
      <c r="AB100" s="5"/>
    </row>
    <row r="101" spans="1:28" s="3" customFormat="1">
      <c r="A101" s="3">
        <f t="shared" si="18"/>
        <v>98</v>
      </c>
      <c r="B101" s="17" t="s">
        <v>72</v>
      </c>
      <c r="C101" s="28">
        <v>0</v>
      </c>
      <c r="D101" s="28">
        <v>0</v>
      </c>
      <c r="E101" s="28">
        <v>0</v>
      </c>
      <c r="F101" s="28">
        <v>0</v>
      </c>
      <c r="G101" s="28">
        <v>0</v>
      </c>
      <c r="H101" s="28">
        <v>0</v>
      </c>
      <c r="I101" s="28">
        <v>0</v>
      </c>
      <c r="J101" s="28">
        <v>0</v>
      </c>
      <c r="K101" s="28">
        <v>0</v>
      </c>
      <c r="L101" s="28">
        <v>0</v>
      </c>
      <c r="M101" s="28">
        <v>0</v>
      </c>
      <c r="N101" s="28">
        <v>0</v>
      </c>
      <c r="O101" s="28">
        <v>0</v>
      </c>
      <c r="P101" s="4">
        <f t="shared" si="27"/>
        <v>0</v>
      </c>
      <c r="Q101" s="4">
        <f t="shared" si="28"/>
        <v>0</v>
      </c>
      <c r="R101" s="8"/>
      <c r="W101" s="4">
        <f t="shared" si="29"/>
        <v>0</v>
      </c>
      <c r="X101" s="5"/>
      <c r="Y101" s="5"/>
      <c r="Z101" s="5"/>
      <c r="AA101" s="5"/>
      <c r="AB101" s="5"/>
    </row>
    <row r="102" spans="1:28" s="3" customFormat="1">
      <c r="A102" s="3">
        <f t="shared" si="18"/>
        <v>99</v>
      </c>
      <c r="B102" s="17" t="s">
        <v>71</v>
      </c>
      <c r="C102" s="28">
        <v>0</v>
      </c>
      <c r="D102" s="28">
        <v>0</v>
      </c>
      <c r="E102" s="28">
        <v>0</v>
      </c>
      <c r="F102" s="28">
        <v>0</v>
      </c>
      <c r="G102" s="28">
        <v>0</v>
      </c>
      <c r="H102" s="28">
        <v>0</v>
      </c>
      <c r="I102" s="28">
        <v>0</v>
      </c>
      <c r="J102" s="28">
        <v>0</v>
      </c>
      <c r="K102" s="28">
        <v>0</v>
      </c>
      <c r="L102" s="28">
        <v>0</v>
      </c>
      <c r="M102" s="28">
        <v>0</v>
      </c>
      <c r="N102" s="28">
        <v>0</v>
      </c>
      <c r="O102" s="28">
        <v>0</v>
      </c>
      <c r="P102" s="4">
        <f>-(C102+2*SUM(D102:N102)+O102)/24</f>
        <v>0</v>
      </c>
      <c r="Q102" s="4">
        <f t="shared" si="28"/>
        <v>0</v>
      </c>
      <c r="R102" s="8"/>
      <c r="W102" s="4">
        <f t="shared" si="29"/>
        <v>0</v>
      </c>
      <c r="X102" s="5"/>
      <c r="Y102" s="5"/>
      <c r="Z102" s="5"/>
      <c r="AA102" s="5"/>
      <c r="AB102" s="5"/>
    </row>
    <row r="103" spans="1:28" s="3" customFormat="1">
      <c r="A103" s="3">
        <f t="shared" si="18"/>
        <v>100</v>
      </c>
      <c r="B103" s="17" t="s">
        <v>70</v>
      </c>
      <c r="C103" s="28">
        <v>41284559.600000001</v>
      </c>
      <c r="D103" s="28">
        <v>41284559.600000001</v>
      </c>
      <c r="E103" s="28">
        <v>41284559.600000001</v>
      </c>
      <c r="F103" s="28">
        <v>41284559.600000001</v>
      </c>
      <c r="G103" s="28">
        <v>41284559.600000001</v>
      </c>
      <c r="H103" s="28">
        <v>41284559.600000001</v>
      </c>
      <c r="I103" s="28">
        <v>41284559.600000001</v>
      </c>
      <c r="J103" s="28">
        <v>41284559.600000001</v>
      </c>
      <c r="K103" s="28">
        <v>41284559.600000001</v>
      </c>
      <c r="L103" s="28">
        <v>41284559.600000001</v>
      </c>
      <c r="M103" s="28">
        <v>41284559.600000001</v>
      </c>
      <c r="N103" s="28">
        <v>41284559.600000001</v>
      </c>
      <c r="O103" s="28">
        <v>41284559.600000001</v>
      </c>
      <c r="P103" s="4">
        <f>-(C103+2*SUM(D103:N103)+O103)/24</f>
        <v>-41284559.600000009</v>
      </c>
      <c r="Q103" s="4">
        <f t="shared" si="28"/>
        <v>41284559.600000009</v>
      </c>
      <c r="R103" s="8">
        <f>+Q103/P103-1</f>
        <v>-2</v>
      </c>
      <c r="W103" s="4">
        <f t="shared" si="29"/>
        <v>-41284559.600000009</v>
      </c>
      <c r="X103" s="5"/>
      <c r="Y103" s="5"/>
      <c r="Z103" s="5"/>
      <c r="AA103" s="5"/>
      <c r="AB103" s="5"/>
    </row>
    <row r="104" spans="1:28" s="3" customFormat="1">
      <c r="A104" s="3">
        <f t="shared" si="18"/>
        <v>101</v>
      </c>
      <c r="B104" s="17" t="s">
        <v>69</v>
      </c>
      <c r="C104" s="28"/>
      <c r="D104" s="28"/>
      <c r="E104" s="28"/>
      <c r="F104" s="28"/>
      <c r="G104" s="28"/>
      <c r="H104" s="28"/>
      <c r="I104" s="28"/>
      <c r="J104" s="28"/>
      <c r="K104" s="28"/>
      <c r="L104" s="28"/>
      <c r="M104" s="28"/>
      <c r="N104" s="28"/>
      <c r="O104" s="28"/>
      <c r="P104" s="4">
        <f>(C104+2*SUM(D104:N104)+O104)/24</f>
        <v>0</v>
      </c>
      <c r="Q104" s="4" t="e">
        <f t="shared" si="28"/>
        <v>#DIV/0!</v>
      </c>
      <c r="R104" s="8"/>
      <c r="W104" s="4">
        <f t="shared" si="29"/>
        <v>0</v>
      </c>
      <c r="X104" s="5"/>
      <c r="Y104" s="5"/>
      <c r="Z104" s="5"/>
      <c r="AA104" s="5"/>
      <c r="AB104" s="5"/>
    </row>
    <row r="105" spans="1:28" s="3" customFormat="1">
      <c r="A105" s="3">
        <f t="shared" si="18"/>
        <v>102</v>
      </c>
      <c r="B105" s="17" t="s">
        <v>68</v>
      </c>
      <c r="C105" s="28"/>
      <c r="D105" s="28"/>
      <c r="E105" s="28"/>
      <c r="F105" s="28"/>
      <c r="G105" s="28"/>
      <c r="H105" s="28"/>
      <c r="I105" s="28"/>
      <c r="J105" s="28"/>
      <c r="K105" s="28"/>
      <c r="L105" s="28"/>
      <c r="M105" s="28"/>
      <c r="N105" s="28"/>
      <c r="O105" s="28"/>
      <c r="P105" s="4">
        <f>(C105+2*SUM(D105:N105)+O105)/24</f>
        <v>0</v>
      </c>
      <c r="Q105" s="4" t="e">
        <f t="shared" si="28"/>
        <v>#DIV/0!</v>
      </c>
      <c r="R105" s="8"/>
      <c r="W105" s="4">
        <f t="shared" si="29"/>
        <v>0</v>
      </c>
      <c r="X105" s="5"/>
      <c r="Y105" s="5"/>
      <c r="Z105" s="5"/>
      <c r="AA105" s="5"/>
      <c r="AB105" s="5"/>
    </row>
    <row r="106" spans="1:28" s="3" customFormat="1">
      <c r="A106" s="3">
        <f t="shared" si="18"/>
        <v>103</v>
      </c>
      <c r="B106" s="17" t="s">
        <v>67</v>
      </c>
      <c r="C106" s="28"/>
      <c r="D106" s="28"/>
      <c r="E106" s="28"/>
      <c r="F106" s="28"/>
      <c r="G106" s="28"/>
      <c r="H106" s="28"/>
      <c r="I106" s="28"/>
      <c r="J106" s="28"/>
      <c r="K106" s="28"/>
      <c r="L106" s="28"/>
      <c r="M106" s="28"/>
      <c r="N106" s="28"/>
      <c r="O106" s="28"/>
      <c r="P106" s="4">
        <f>(C106+2*SUM(D106:N106)+O106)/24</f>
        <v>0</v>
      </c>
      <c r="Q106" s="4" t="e">
        <f t="shared" si="28"/>
        <v>#DIV/0!</v>
      </c>
      <c r="R106" s="8"/>
      <c r="W106" s="4">
        <f t="shared" si="29"/>
        <v>0</v>
      </c>
      <c r="X106" s="5"/>
      <c r="Y106" s="5"/>
      <c r="Z106" s="5"/>
      <c r="AA106" s="5"/>
      <c r="AB106" s="5"/>
    </row>
    <row r="107" spans="1:28" s="3" customFormat="1">
      <c r="A107" s="3">
        <f t="shared" si="18"/>
        <v>104</v>
      </c>
      <c r="B107" s="17" t="s">
        <v>66</v>
      </c>
      <c r="C107" s="48">
        <f>2497602627.69-131513944</f>
        <v>2366088683.6900001</v>
      </c>
      <c r="D107" s="28">
        <v>2575340250.46</v>
      </c>
      <c r="E107" s="28">
        <v>2625629894.2999997</v>
      </c>
      <c r="F107" s="48">
        <f>2666460213.71-136886360</f>
        <v>2529573853.71</v>
      </c>
      <c r="G107" s="28">
        <v>2710116247.7000003</v>
      </c>
      <c r="H107" s="28">
        <v>2751351275.6899996</v>
      </c>
      <c r="I107" s="28">
        <v>2649231265.7000003</v>
      </c>
      <c r="J107" s="28">
        <v>2655174175.4799995</v>
      </c>
      <c r="K107" s="28">
        <v>2697122608.4599996</v>
      </c>
      <c r="L107" s="28">
        <v>2742817321.8299999</v>
      </c>
      <c r="M107" s="28">
        <v>2773194013.0699997</v>
      </c>
      <c r="N107" s="28">
        <v>2823317007.4200001</v>
      </c>
      <c r="O107" s="28">
        <v>2874133189.3899999</v>
      </c>
      <c r="P107" s="4">
        <f>(C107+2*SUM(D107:N107)+O107)/24</f>
        <v>2679414904.1966667</v>
      </c>
      <c r="Q107" s="4">
        <f t="shared" si="28"/>
        <v>2700583425.2674999</v>
      </c>
      <c r="R107" s="8">
        <f>+Q107/P107-1</f>
        <v>7.9004267079643142E-3</v>
      </c>
      <c r="W107" s="4">
        <f t="shared" si="29"/>
        <v>2679414904.1966667</v>
      </c>
      <c r="X107" s="5"/>
      <c r="Y107" s="5"/>
      <c r="Z107" s="5"/>
      <c r="AA107" s="5"/>
      <c r="AB107" s="5"/>
    </row>
    <row r="108" spans="1:28" s="3" customFormat="1">
      <c r="A108" s="3">
        <f t="shared" si="18"/>
        <v>105</v>
      </c>
      <c r="B108" s="17" t="s">
        <v>65</v>
      </c>
      <c r="C108" s="48">
        <f>6021120.21+131513944</f>
        <v>137535064.21000001</v>
      </c>
      <c r="D108" s="28">
        <v>5972439.04</v>
      </c>
      <c r="E108" s="28">
        <v>5926727.96</v>
      </c>
      <c r="F108" s="48">
        <f>5863788.39+136886360</f>
        <v>142750148.38999999</v>
      </c>
      <c r="G108" s="28">
        <v>5815453.7800000003</v>
      </c>
      <c r="H108" s="28">
        <v>5768388.1299999999</v>
      </c>
      <c r="I108" s="28">
        <v>151915641.18000001</v>
      </c>
      <c r="J108" s="28">
        <v>153120440.46000001</v>
      </c>
      <c r="K108" s="28">
        <v>156357865.37</v>
      </c>
      <c r="L108" s="28">
        <v>158352609.31</v>
      </c>
      <c r="M108" s="28">
        <v>157830848.56</v>
      </c>
      <c r="N108" s="28">
        <v>157173071.19999999</v>
      </c>
      <c r="O108" s="28">
        <v>156873370.63999999</v>
      </c>
      <c r="P108" s="4">
        <f>(C108+2*SUM(D108:N108)+O108)/24</f>
        <v>104015654.23375</v>
      </c>
      <c r="Q108" s="4">
        <f t="shared" si="28"/>
        <v>104821417.00166667</v>
      </c>
      <c r="R108" s="8">
        <f>+Q108/P108-1</f>
        <v>7.7465528996809585E-3</v>
      </c>
      <c r="W108" s="4">
        <f t="shared" si="29"/>
        <v>104015654.23375</v>
      </c>
      <c r="X108" s="5"/>
      <c r="Y108" s="5"/>
      <c r="Z108" s="5"/>
      <c r="AA108" s="5"/>
      <c r="AB108" s="5"/>
    </row>
    <row r="109" spans="1:28" s="3" customFormat="1">
      <c r="A109" s="3">
        <f t="shared" si="18"/>
        <v>106</v>
      </c>
      <c r="B109" s="17" t="s">
        <v>64</v>
      </c>
      <c r="C109" s="28">
        <v>0</v>
      </c>
      <c r="D109" s="28">
        <v>0</v>
      </c>
      <c r="E109" s="28">
        <v>0</v>
      </c>
      <c r="F109" s="28">
        <v>0</v>
      </c>
      <c r="G109" s="28">
        <v>0</v>
      </c>
      <c r="H109" s="28">
        <v>0</v>
      </c>
      <c r="I109" s="28">
        <v>0</v>
      </c>
      <c r="J109" s="28">
        <v>0</v>
      </c>
      <c r="K109" s="28">
        <v>0</v>
      </c>
      <c r="L109" s="28">
        <v>0</v>
      </c>
      <c r="M109" s="28">
        <v>0</v>
      </c>
      <c r="N109" s="28">
        <v>0</v>
      </c>
      <c r="O109" s="28">
        <v>0</v>
      </c>
      <c r="P109" s="4">
        <f>-(C109+2*SUM(D109:N109)+O109)/24</f>
        <v>0</v>
      </c>
      <c r="Q109" s="4">
        <f t="shared" si="28"/>
        <v>0</v>
      </c>
      <c r="R109" s="8"/>
      <c r="W109" s="4">
        <f t="shared" si="29"/>
        <v>0</v>
      </c>
      <c r="X109" s="5"/>
      <c r="Y109" s="5"/>
      <c r="Z109" s="5"/>
      <c r="AA109" s="5"/>
      <c r="AB109" s="5"/>
    </row>
    <row r="110" spans="1:28" s="3" customFormat="1">
      <c r="A110" s="3">
        <f t="shared" si="18"/>
        <v>107</v>
      </c>
      <c r="B110" s="17" t="s">
        <v>63</v>
      </c>
      <c r="C110" s="28">
        <v>-6854242.9800000004</v>
      </c>
      <c r="D110" s="28">
        <v>-6825326.3099999996</v>
      </c>
      <c r="E110" s="28">
        <v>-6796410.6399999997</v>
      </c>
      <c r="F110" s="28">
        <v>-6800415.9699999997</v>
      </c>
      <c r="G110" s="28">
        <v>-6771499.2999999998</v>
      </c>
      <c r="H110" s="28">
        <v>-6742582.6299999999</v>
      </c>
      <c r="I110" s="28">
        <v>-9055432</v>
      </c>
      <c r="J110" s="28">
        <v>-9012848.6600000001</v>
      </c>
      <c r="K110" s="28">
        <v>-8970265.3200000003</v>
      </c>
      <c r="L110" s="28">
        <v>-8976163.9800000004</v>
      </c>
      <c r="M110" s="28">
        <v>-8933580.6400000006</v>
      </c>
      <c r="N110" s="28">
        <v>-8890997.3000000007</v>
      </c>
      <c r="O110" s="28">
        <v>-8896896.9600000009</v>
      </c>
      <c r="P110" s="4">
        <f>(C110+2*SUM(D110:N110)+O110)/24</f>
        <v>-7970924.3933333335</v>
      </c>
      <c r="Q110" s="4">
        <f t="shared" si="28"/>
        <v>-8056034.975833334</v>
      </c>
      <c r="R110" s="8">
        <f>+Q110/P110-1</f>
        <v>1.0677630134239502E-2</v>
      </c>
      <c r="T110" s="4"/>
      <c r="W110" s="4">
        <f t="shared" si="29"/>
        <v>-7970924.3933333335</v>
      </c>
      <c r="X110" s="5"/>
      <c r="Y110" s="5"/>
      <c r="Z110" s="5"/>
      <c r="AA110" s="5"/>
      <c r="AB110" s="5"/>
    </row>
    <row r="111" spans="1:28" s="3" customFormat="1">
      <c r="A111" s="3">
        <f t="shared" si="18"/>
        <v>108</v>
      </c>
      <c r="B111" s="17" t="s">
        <v>62</v>
      </c>
      <c r="C111" s="28">
        <f>SUM(C95:C101,C107:C108,C110)-SUM(C102,C103,C109)</f>
        <v>7016393922.79</v>
      </c>
      <c r="D111" s="28">
        <f t="shared" ref="D111:O111" si="30">SUM(D95:D101,D107:D108,D110)-SUM(D102,D103,D109)</f>
        <v>7094111781.0599985</v>
      </c>
      <c r="E111" s="28">
        <f t="shared" si="30"/>
        <v>7144384629.4899979</v>
      </c>
      <c r="F111" s="28">
        <f t="shared" si="30"/>
        <v>7185148003.999999</v>
      </c>
      <c r="G111" s="28">
        <f t="shared" si="30"/>
        <v>7228784620.0499992</v>
      </c>
      <c r="H111" s="28">
        <f t="shared" si="30"/>
        <v>7270001499.0599985</v>
      </c>
      <c r="I111" s="28">
        <f t="shared" si="30"/>
        <v>7311715892.75</v>
      </c>
      <c r="J111" s="28">
        <f t="shared" si="30"/>
        <v>7318906185.1499987</v>
      </c>
      <c r="K111" s="28">
        <f t="shared" si="30"/>
        <v>7364134626.3799982</v>
      </c>
      <c r="L111" s="28">
        <f t="shared" si="30"/>
        <v>7411818185.0299997</v>
      </c>
      <c r="M111" s="28">
        <f t="shared" si="30"/>
        <v>7441715698.8599987</v>
      </c>
      <c r="N111" s="28">
        <f t="shared" si="30"/>
        <v>7491223499.1899986</v>
      </c>
      <c r="O111" s="28">
        <f t="shared" si="30"/>
        <v>7541734080.9399986</v>
      </c>
      <c r="P111" s="29">
        <f>SUBTOTAL(9,P95:P110)</f>
        <v>7295084051.9070826</v>
      </c>
      <c r="Q111" s="4">
        <f t="shared" si="28"/>
        <v>7316973225.1633329</v>
      </c>
      <c r="R111" s="8">
        <f>+Q111/P111-1</f>
        <v>3.0005374990200728E-3</v>
      </c>
      <c r="T111" s="29">
        <f>SUBTOTAL(9,T95:T110)</f>
        <v>0</v>
      </c>
      <c r="W111" s="29">
        <f>SUBTOTAL(9,W95:W110)</f>
        <v>7295084051.9070826</v>
      </c>
      <c r="X111" s="5"/>
      <c r="Y111" s="5"/>
      <c r="Z111" s="5"/>
      <c r="AA111" s="5"/>
      <c r="AB111" s="5"/>
    </row>
    <row r="112" spans="1:28" s="3" customFormat="1">
      <c r="A112" s="3">
        <f t="shared" si="18"/>
        <v>109</v>
      </c>
      <c r="B112" s="17"/>
      <c r="C112" s="32"/>
      <c r="D112" s="32"/>
      <c r="E112" s="32"/>
      <c r="F112" s="32"/>
      <c r="G112" s="32"/>
      <c r="H112" s="32"/>
      <c r="I112" s="32"/>
      <c r="J112" s="32"/>
      <c r="K112" s="32"/>
      <c r="L112" s="32"/>
      <c r="M112" s="32"/>
      <c r="N112" s="32"/>
      <c r="O112" s="32"/>
      <c r="P112" s="27"/>
      <c r="Q112" s="4"/>
      <c r="R112" s="8"/>
      <c r="W112" s="27"/>
      <c r="X112" s="5"/>
      <c r="Y112" s="5"/>
      <c r="Z112" s="5"/>
      <c r="AA112" s="5"/>
      <c r="AB112" s="5"/>
    </row>
    <row r="113" spans="1:28" s="3" customFormat="1">
      <c r="A113" s="3">
        <f t="shared" si="18"/>
        <v>110</v>
      </c>
      <c r="B113" s="17" t="s">
        <v>61</v>
      </c>
      <c r="C113" s="30"/>
      <c r="D113" s="30"/>
      <c r="E113" s="30"/>
      <c r="F113" s="30"/>
      <c r="G113" s="30"/>
      <c r="H113" s="30"/>
      <c r="I113" s="30"/>
      <c r="J113" s="30"/>
      <c r="K113" s="30"/>
      <c r="L113" s="30"/>
      <c r="M113" s="30"/>
      <c r="N113" s="30"/>
      <c r="O113" s="30"/>
      <c r="P113" s="4"/>
      <c r="Q113" s="4"/>
      <c r="R113" s="8"/>
      <c r="X113" s="5"/>
      <c r="Y113" s="5"/>
      <c r="Z113" s="5"/>
      <c r="AA113" s="5"/>
      <c r="AB113" s="5"/>
    </row>
    <row r="114" spans="1:28" s="3" customFormat="1">
      <c r="A114" s="3">
        <f t="shared" si="18"/>
        <v>111</v>
      </c>
      <c r="B114" s="17" t="s">
        <v>60</v>
      </c>
      <c r="C114" s="28">
        <v>6757741000</v>
      </c>
      <c r="D114" s="28">
        <v>6757741000</v>
      </c>
      <c r="E114" s="28">
        <v>6749741000</v>
      </c>
      <c r="F114" s="28">
        <v>6684741000</v>
      </c>
      <c r="G114" s="28">
        <v>6674055000</v>
      </c>
      <c r="H114" s="28">
        <v>6174055000</v>
      </c>
      <c r="I114" s="28">
        <v>6171055000</v>
      </c>
      <c r="J114" s="28">
        <v>6818055000</v>
      </c>
      <c r="K114" s="28">
        <v>6815055000</v>
      </c>
      <c r="L114" s="28">
        <v>6831180000</v>
      </c>
      <c r="M114" s="28">
        <v>6831180000</v>
      </c>
      <c r="N114" s="28">
        <v>6831180000</v>
      </c>
      <c r="O114" s="28">
        <v>6831180000</v>
      </c>
      <c r="P114" s="4">
        <f>(C114+2*SUM(D114:N114)+O114)/24</f>
        <v>6677708208.333333</v>
      </c>
      <c r="Q114" s="4">
        <f t="shared" ref="Q114:Q120" si="31">AVERAGE(D114:O114)</f>
        <v>6680768166.666667</v>
      </c>
      <c r="R114" s="8">
        <f>+Q114/P114-1</f>
        <v>4.5823480719264786E-4</v>
      </c>
      <c r="W114" s="4">
        <f t="shared" ref="W114:W119" si="32">+P114</f>
        <v>6677708208.333333</v>
      </c>
      <c r="X114" s="5"/>
      <c r="Y114" s="5"/>
      <c r="Z114" s="5"/>
      <c r="AA114" s="5"/>
      <c r="AB114" s="5"/>
    </row>
    <row r="115" spans="1:28" s="3" customFormat="1">
      <c r="A115" s="3">
        <f t="shared" si="18"/>
        <v>112</v>
      </c>
      <c r="B115" s="17" t="s">
        <v>59</v>
      </c>
      <c r="C115" s="28">
        <v>0</v>
      </c>
      <c r="D115" s="28">
        <v>0</v>
      </c>
      <c r="E115" s="28">
        <v>0</v>
      </c>
      <c r="F115" s="28">
        <v>0</v>
      </c>
      <c r="G115" s="28">
        <v>0</v>
      </c>
      <c r="H115" s="28">
        <v>0</v>
      </c>
      <c r="I115" s="28">
        <v>0</v>
      </c>
      <c r="J115" s="28">
        <v>0</v>
      </c>
      <c r="K115" s="28">
        <v>0</v>
      </c>
      <c r="L115" s="28">
        <v>0</v>
      </c>
      <c r="M115" s="28">
        <v>0</v>
      </c>
      <c r="N115" s="28">
        <v>0</v>
      </c>
      <c r="O115" s="28">
        <v>0</v>
      </c>
      <c r="P115" s="4">
        <f>(C115+2*SUM(D115:N115)+O115)/24</f>
        <v>0</v>
      </c>
      <c r="Q115" s="4">
        <f t="shared" si="31"/>
        <v>0</v>
      </c>
      <c r="R115" s="8"/>
      <c r="W115" s="4">
        <f t="shared" si="32"/>
        <v>0</v>
      </c>
      <c r="X115" s="5"/>
      <c r="Y115" s="5"/>
      <c r="Z115" s="5"/>
      <c r="AA115" s="5"/>
      <c r="AB115" s="5"/>
    </row>
    <row r="116" spans="1:28" s="3" customFormat="1">
      <c r="A116" s="3">
        <f t="shared" si="18"/>
        <v>113</v>
      </c>
      <c r="B116" s="17" t="s">
        <v>58</v>
      </c>
      <c r="C116" s="28">
        <v>0</v>
      </c>
      <c r="D116" s="28">
        <v>0</v>
      </c>
      <c r="E116" s="28">
        <v>0</v>
      </c>
      <c r="F116" s="28">
        <v>0</v>
      </c>
      <c r="G116" s="28">
        <v>0</v>
      </c>
      <c r="H116" s="28">
        <v>0</v>
      </c>
      <c r="I116" s="28">
        <v>0</v>
      </c>
      <c r="J116" s="28">
        <v>0</v>
      </c>
      <c r="K116" s="28">
        <v>0</v>
      </c>
      <c r="L116" s="28">
        <v>0</v>
      </c>
      <c r="M116" s="28">
        <v>0</v>
      </c>
      <c r="N116" s="28">
        <v>0</v>
      </c>
      <c r="O116" s="28">
        <v>0</v>
      </c>
      <c r="P116" s="4">
        <f>(C116+2*SUM(D116:N116)+O116)/24</f>
        <v>0</v>
      </c>
      <c r="Q116" s="4">
        <f t="shared" si="31"/>
        <v>0</v>
      </c>
      <c r="R116" s="8"/>
      <c r="W116" s="4">
        <f t="shared" si="32"/>
        <v>0</v>
      </c>
      <c r="X116" s="5"/>
      <c r="Y116" s="5"/>
      <c r="Z116" s="5"/>
      <c r="AA116" s="5"/>
      <c r="AB116" s="5"/>
    </row>
    <row r="117" spans="1:28" s="3" customFormat="1">
      <c r="A117" s="3">
        <f t="shared" si="18"/>
        <v>114</v>
      </c>
      <c r="B117" s="17" t="s">
        <v>57</v>
      </c>
      <c r="C117" s="28">
        <v>0</v>
      </c>
      <c r="D117" s="28">
        <v>0</v>
      </c>
      <c r="E117" s="28">
        <v>0</v>
      </c>
      <c r="F117" s="28">
        <v>0</v>
      </c>
      <c r="G117" s="28">
        <v>0</v>
      </c>
      <c r="H117" s="28">
        <v>0</v>
      </c>
      <c r="I117" s="28">
        <v>0</v>
      </c>
      <c r="J117" s="28">
        <v>0</v>
      </c>
      <c r="K117" s="28">
        <v>0</v>
      </c>
      <c r="L117" s="28">
        <v>0</v>
      </c>
      <c r="M117" s="28">
        <v>0</v>
      </c>
      <c r="N117" s="28">
        <v>0</v>
      </c>
      <c r="O117" s="28">
        <v>0</v>
      </c>
      <c r="P117" s="4">
        <f>(C117+2*SUM(D117:N117)+O117)/24</f>
        <v>0</v>
      </c>
      <c r="Q117" s="4">
        <f t="shared" si="31"/>
        <v>0</v>
      </c>
      <c r="R117" s="8"/>
      <c r="W117" s="4">
        <f t="shared" si="32"/>
        <v>0</v>
      </c>
      <c r="X117" s="5"/>
      <c r="Y117" s="5"/>
      <c r="Z117" s="5"/>
      <c r="AA117" s="5"/>
      <c r="AB117" s="5"/>
    </row>
    <row r="118" spans="1:28" s="3" customFormat="1">
      <c r="A118" s="3">
        <f t="shared" si="18"/>
        <v>115</v>
      </c>
      <c r="B118" s="17" t="s">
        <v>56</v>
      </c>
      <c r="C118" s="28">
        <v>31485.58</v>
      </c>
      <c r="D118" s="28">
        <v>31259.07</v>
      </c>
      <c r="E118" s="28">
        <v>31032.55</v>
      </c>
      <c r="F118" s="28">
        <v>30806.04</v>
      </c>
      <c r="G118" s="28">
        <v>30579.52</v>
      </c>
      <c r="H118" s="28">
        <v>30353.01</v>
      </c>
      <c r="I118" s="28">
        <v>30126.49</v>
      </c>
      <c r="J118" s="28">
        <v>29899.98</v>
      </c>
      <c r="K118" s="28">
        <v>29673.46</v>
      </c>
      <c r="L118" s="28">
        <v>110446.95</v>
      </c>
      <c r="M118" s="28">
        <v>109528.12</v>
      </c>
      <c r="N118" s="28">
        <v>108609.3</v>
      </c>
      <c r="O118" s="28">
        <v>107690.47</v>
      </c>
      <c r="P118" s="4">
        <f>(C118+2*SUM(D118:N118)+O118)/24</f>
        <v>53491.876250000001</v>
      </c>
      <c r="Q118" s="4">
        <f t="shared" si="31"/>
        <v>56667.079999999994</v>
      </c>
      <c r="R118" s="8">
        <f>+Q118/P118-1</f>
        <v>5.9358616159963073E-2</v>
      </c>
      <c r="W118" s="4">
        <f t="shared" si="32"/>
        <v>53491.876250000001</v>
      </c>
      <c r="X118" s="5"/>
      <c r="Y118" s="5"/>
      <c r="Z118" s="5"/>
      <c r="AA118" s="5"/>
      <c r="AB118" s="5"/>
    </row>
    <row r="119" spans="1:28" s="3" customFormat="1">
      <c r="A119" s="3">
        <f t="shared" si="18"/>
        <v>116</v>
      </c>
      <c r="B119" s="17" t="s">
        <v>55</v>
      </c>
      <c r="C119" s="28">
        <v>14596709.640000001</v>
      </c>
      <c r="D119" s="28">
        <v>14504488.890000001</v>
      </c>
      <c r="E119" s="28">
        <v>14412268.15</v>
      </c>
      <c r="F119" s="28">
        <v>14320047.4</v>
      </c>
      <c r="G119" s="28">
        <v>14227826.66</v>
      </c>
      <c r="H119" s="28">
        <v>14150064.25</v>
      </c>
      <c r="I119" s="28">
        <v>14072301.85</v>
      </c>
      <c r="J119" s="28">
        <v>15284231.09</v>
      </c>
      <c r="K119" s="28">
        <v>15201160.35</v>
      </c>
      <c r="L119" s="28">
        <v>14802705.6</v>
      </c>
      <c r="M119" s="28">
        <v>14721746.73</v>
      </c>
      <c r="N119" s="28">
        <v>14640787.869999999</v>
      </c>
      <c r="O119" s="28">
        <v>14559829</v>
      </c>
      <c r="P119" s="4">
        <f>-(C119+2*SUM(D119:N119)+O119)/24</f>
        <v>-14576324.846666664</v>
      </c>
      <c r="Q119" s="4">
        <f t="shared" si="31"/>
        <v>14574788.153333331</v>
      </c>
      <c r="R119" s="8">
        <f>+Q119/P119-1</f>
        <v>-1.9998945760780238</v>
      </c>
      <c r="W119" s="4">
        <f t="shared" si="32"/>
        <v>-14576324.846666664</v>
      </c>
      <c r="X119" s="5"/>
      <c r="Y119" s="5"/>
      <c r="Z119" s="5"/>
      <c r="AA119" s="5"/>
      <c r="AB119" s="5"/>
    </row>
    <row r="120" spans="1:28" s="3" customFormat="1">
      <c r="A120" s="3">
        <f t="shared" si="18"/>
        <v>117</v>
      </c>
      <c r="B120" s="17" t="s">
        <v>54</v>
      </c>
      <c r="C120" s="28">
        <f t="shared" ref="C120:O120" si="33">SUM(C114,C116:C118)-SUM(C115,C119)</f>
        <v>6743175775.9399996</v>
      </c>
      <c r="D120" s="28">
        <f t="shared" si="33"/>
        <v>6743267770.1799994</v>
      </c>
      <c r="E120" s="28">
        <f t="shared" si="33"/>
        <v>6735359764.4000006</v>
      </c>
      <c r="F120" s="28">
        <f t="shared" si="33"/>
        <v>6670451758.6400003</v>
      </c>
      <c r="G120" s="28">
        <f t="shared" si="33"/>
        <v>6659857752.8600006</v>
      </c>
      <c r="H120" s="28">
        <f t="shared" si="33"/>
        <v>6159935288.7600002</v>
      </c>
      <c r="I120" s="28">
        <f t="shared" si="33"/>
        <v>6157012824.6399994</v>
      </c>
      <c r="J120" s="28">
        <f t="shared" si="33"/>
        <v>6802800668.8899994</v>
      </c>
      <c r="K120" s="28">
        <f t="shared" si="33"/>
        <v>6799883513.1099997</v>
      </c>
      <c r="L120" s="28">
        <f t="shared" si="33"/>
        <v>6816487741.3499994</v>
      </c>
      <c r="M120" s="28">
        <f t="shared" si="33"/>
        <v>6816567781.3900003</v>
      </c>
      <c r="N120" s="28">
        <f t="shared" si="33"/>
        <v>6816647821.4300003</v>
      </c>
      <c r="O120" s="28">
        <f t="shared" si="33"/>
        <v>6816727861.4700003</v>
      </c>
      <c r="P120" s="29">
        <f>SUBTOTAL(9,P114:P119)</f>
        <v>6663185375.3629169</v>
      </c>
      <c r="Q120" s="4">
        <f t="shared" si="31"/>
        <v>6666250045.5933332</v>
      </c>
      <c r="R120" s="8">
        <f>+Q120/P120-1</f>
        <v>4.5994071270305525E-4</v>
      </c>
      <c r="T120" s="29">
        <f>SUBTOTAL(9,T114:T119)</f>
        <v>0</v>
      </c>
      <c r="W120" s="29">
        <f>SUBTOTAL(9,W114:W119)</f>
        <v>6663185375.3629169</v>
      </c>
      <c r="X120" s="5"/>
      <c r="Y120" s="5"/>
      <c r="Z120" s="5"/>
      <c r="AA120" s="5"/>
      <c r="AB120" s="5"/>
    </row>
    <row r="121" spans="1:28" s="3" customFormat="1">
      <c r="A121" s="3">
        <f t="shared" si="18"/>
        <v>118</v>
      </c>
      <c r="B121" s="17"/>
      <c r="C121" s="32"/>
      <c r="D121" s="32"/>
      <c r="E121" s="32"/>
      <c r="F121" s="32"/>
      <c r="G121" s="32"/>
      <c r="H121" s="32"/>
      <c r="I121" s="32"/>
      <c r="J121" s="32"/>
      <c r="K121" s="32"/>
      <c r="L121" s="32"/>
      <c r="M121" s="32"/>
      <c r="N121" s="32"/>
      <c r="O121" s="32"/>
      <c r="P121" s="27"/>
      <c r="Q121" s="4"/>
      <c r="R121" s="8"/>
      <c r="W121" s="27"/>
      <c r="X121" s="5"/>
      <c r="Y121" s="5"/>
      <c r="Z121" s="5"/>
      <c r="AA121" s="5"/>
      <c r="AB121" s="5"/>
    </row>
    <row r="122" spans="1:28" s="3" customFormat="1">
      <c r="A122" s="3">
        <f t="shared" si="18"/>
        <v>119</v>
      </c>
      <c r="B122" s="17" t="s">
        <v>53</v>
      </c>
      <c r="C122" s="30"/>
      <c r="D122" s="30"/>
      <c r="E122" s="30"/>
      <c r="F122" s="30"/>
      <c r="G122" s="30"/>
      <c r="H122" s="30"/>
      <c r="I122" s="30"/>
      <c r="J122" s="30"/>
      <c r="K122" s="30"/>
      <c r="L122" s="30"/>
      <c r="M122" s="30"/>
      <c r="N122" s="30"/>
      <c r="O122" s="30"/>
      <c r="P122" s="4"/>
      <c r="Q122" s="4"/>
      <c r="R122" s="8"/>
      <c r="X122" s="5"/>
      <c r="Y122" s="5"/>
      <c r="Z122" s="5"/>
      <c r="AA122" s="5"/>
      <c r="AB122" s="5"/>
    </row>
    <row r="123" spans="1:28" s="3" customFormat="1">
      <c r="A123" s="3">
        <f t="shared" si="18"/>
        <v>120</v>
      </c>
      <c r="B123" s="17" t="s">
        <v>52</v>
      </c>
      <c r="C123" s="28">
        <v>55279101.810000002</v>
      </c>
      <c r="D123" s="28">
        <v>55224369.43</v>
      </c>
      <c r="E123" s="28">
        <v>55168825.109999999</v>
      </c>
      <c r="F123" s="28">
        <v>54941005.439999998</v>
      </c>
      <c r="G123" s="28">
        <v>54036338.119999997</v>
      </c>
      <c r="H123" s="28">
        <v>53970518.43</v>
      </c>
      <c r="I123" s="28">
        <v>53732331.350000001</v>
      </c>
      <c r="J123" s="28">
        <v>53663077.649999999</v>
      </c>
      <c r="K123" s="28">
        <v>53167526.93</v>
      </c>
      <c r="L123" s="28">
        <v>52495953.149999999</v>
      </c>
      <c r="M123" s="28">
        <v>52200262</v>
      </c>
      <c r="N123" s="28">
        <v>51761525.850000001</v>
      </c>
      <c r="O123" s="28">
        <v>51147667.280000001</v>
      </c>
      <c r="P123" s="4">
        <f t="shared" ref="P123:P131" si="34">(C123+2*SUM(D123:N123)+O123)/24</f>
        <v>53631259.833749987</v>
      </c>
      <c r="Q123" s="4">
        <f t="shared" ref="Q123:Q132" si="35">AVERAGE(D123:O123)</f>
        <v>53459116.728333324</v>
      </c>
      <c r="R123" s="8">
        <f>+Q123/P123-1</f>
        <v>-3.2097531542291113E-3</v>
      </c>
      <c r="V123" s="4"/>
      <c r="W123" s="4">
        <f>+P123</f>
        <v>53631259.833749987</v>
      </c>
      <c r="X123" s="5"/>
      <c r="Y123" s="5"/>
      <c r="Z123" s="5"/>
      <c r="AA123" s="5"/>
      <c r="AB123" s="5"/>
    </row>
    <row r="124" spans="1:28" s="3" customFormat="1">
      <c r="A124" s="3">
        <f t="shared" si="18"/>
        <v>121</v>
      </c>
      <c r="B124" s="17" t="s">
        <v>51</v>
      </c>
      <c r="C124" s="28">
        <v>0</v>
      </c>
      <c r="D124" s="28">
        <v>0</v>
      </c>
      <c r="E124" s="28">
        <v>0</v>
      </c>
      <c r="F124" s="28">
        <v>0</v>
      </c>
      <c r="G124" s="28">
        <v>0</v>
      </c>
      <c r="H124" s="28">
        <v>0</v>
      </c>
      <c r="I124" s="28">
        <v>0</v>
      </c>
      <c r="J124" s="28">
        <v>0</v>
      </c>
      <c r="K124" s="28">
        <v>0</v>
      </c>
      <c r="L124" s="28">
        <v>0</v>
      </c>
      <c r="M124" s="28">
        <v>0</v>
      </c>
      <c r="N124" s="28">
        <v>0</v>
      </c>
      <c r="O124" s="28">
        <v>0</v>
      </c>
      <c r="P124" s="4">
        <f t="shared" si="34"/>
        <v>0</v>
      </c>
      <c r="Q124" s="4">
        <f t="shared" si="35"/>
        <v>0</v>
      </c>
      <c r="R124" s="8"/>
      <c r="V124" s="4">
        <f>-P124</f>
        <v>0</v>
      </c>
      <c r="W124" s="4"/>
      <c r="X124" s="5"/>
      <c r="Y124" s="5"/>
      <c r="Z124" s="5"/>
      <c r="AA124" s="5"/>
      <c r="AB124" s="5"/>
    </row>
    <row r="125" spans="1:28" s="3" customFormat="1">
      <c r="A125" s="3">
        <f t="shared" si="18"/>
        <v>122</v>
      </c>
      <c r="B125" s="17" t="s">
        <v>50</v>
      </c>
      <c r="C125" s="28">
        <v>6485000</v>
      </c>
      <c r="D125" s="28">
        <v>7832000</v>
      </c>
      <c r="E125" s="28">
        <v>7790500</v>
      </c>
      <c r="F125" s="28">
        <v>7098500</v>
      </c>
      <c r="G125" s="28">
        <v>7137500</v>
      </c>
      <c r="H125" s="28">
        <v>6238000</v>
      </c>
      <c r="I125" s="28">
        <v>5468000</v>
      </c>
      <c r="J125" s="28">
        <v>4928000</v>
      </c>
      <c r="K125" s="28">
        <v>4787000</v>
      </c>
      <c r="L125" s="28">
        <v>6382000</v>
      </c>
      <c r="M125" s="28">
        <v>6311500</v>
      </c>
      <c r="N125" s="28">
        <v>6306500</v>
      </c>
      <c r="O125" s="28">
        <v>12639000</v>
      </c>
      <c r="P125" s="4">
        <f t="shared" si="34"/>
        <v>6653458.333333333</v>
      </c>
      <c r="Q125" s="4">
        <f t="shared" si="35"/>
        <v>6909875</v>
      </c>
      <c r="R125" s="8">
        <f>+Q125/P125-1</f>
        <v>3.8538855106680092E-2</v>
      </c>
      <c r="T125" s="4"/>
      <c r="U125" s="4"/>
      <c r="V125" s="4">
        <f>-P125</f>
        <v>-6653458.333333333</v>
      </c>
      <c r="W125" s="4"/>
      <c r="X125" s="5">
        <f>+[4]Report!$K$2644</f>
        <v>-455561.04037006554</v>
      </c>
      <c r="Y125" s="5">
        <f>+[4]Report!$J$2644</f>
        <v>-6197897.2929632645</v>
      </c>
      <c r="Z125" s="5">
        <f>-P125-X125-Y125</f>
        <v>0</v>
      </c>
      <c r="AA125" s="5">
        <f>+Z125+Y125+X125</f>
        <v>-6653458.3333333302</v>
      </c>
      <c r="AB125" s="5" t="s">
        <v>49</v>
      </c>
    </row>
    <row r="126" spans="1:28" s="3" customFormat="1">
      <c r="A126" s="3">
        <f t="shared" si="18"/>
        <v>123</v>
      </c>
      <c r="B126" s="17" t="s">
        <v>48</v>
      </c>
      <c r="C126" s="48">
        <f>440039605.66-8605654</f>
        <v>431433951.66000003</v>
      </c>
      <c r="D126" s="28">
        <v>432808214.32999998</v>
      </c>
      <c r="E126" s="28">
        <v>424350299.20999998</v>
      </c>
      <c r="F126" s="48">
        <f>417673627.48-8109069</f>
        <v>409564558.48000002</v>
      </c>
      <c r="G126" s="28">
        <v>418031960.61000001</v>
      </c>
      <c r="H126" s="28">
        <v>412947643.81999999</v>
      </c>
      <c r="I126" s="28">
        <v>580877622.84000003</v>
      </c>
      <c r="J126" s="28">
        <v>580774842.45000005</v>
      </c>
      <c r="K126" s="28">
        <v>575824860.84000003</v>
      </c>
      <c r="L126" s="28">
        <v>567777957.41999996</v>
      </c>
      <c r="M126" s="28">
        <v>561561403.12</v>
      </c>
      <c r="N126" s="28">
        <v>554743819.07000005</v>
      </c>
      <c r="O126" s="28">
        <v>545632591.19000006</v>
      </c>
      <c r="P126" s="4">
        <f t="shared" si="34"/>
        <v>500649704.46791667</v>
      </c>
      <c r="Q126" s="4">
        <f t="shared" si="35"/>
        <v>505407981.11499995</v>
      </c>
      <c r="R126" s="8">
        <f>+Q126/P126-1</f>
        <v>9.5042034472792025E-3</v>
      </c>
      <c r="U126" s="4"/>
      <c r="V126" s="4">
        <f>-P126</f>
        <v>-500649704.46791667</v>
      </c>
      <c r="W126" s="4"/>
      <c r="X126" s="5" t="e">
        <f>+[4]Report!$K$2645+[4]Report!$K$2646+#REF!</f>
        <v>#REF!</v>
      </c>
      <c r="Y126" s="5">
        <f>+[4]Report!$J$2645+[4]Report!$J$2646</f>
        <v>-3166410.6092036958</v>
      </c>
      <c r="Z126" s="5" t="e">
        <f>-P126-X126-Y126</f>
        <v>#REF!</v>
      </c>
      <c r="AA126" s="5" t="e">
        <f>+Z126+X126+Y126</f>
        <v>#REF!</v>
      </c>
      <c r="AB126" s="5"/>
    </row>
    <row r="127" spans="1:28" s="3" customFormat="1">
      <c r="A127" s="3">
        <f t="shared" si="18"/>
        <v>124</v>
      </c>
      <c r="B127" s="17" t="s">
        <v>47</v>
      </c>
      <c r="C127" s="28">
        <v>38008577.960000001</v>
      </c>
      <c r="D127" s="28">
        <v>38103419.869999997</v>
      </c>
      <c r="E127" s="28">
        <v>37971820.359999999</v>
      </c>
      <c r="F127" s="28">
        <v>37995795.159999996</v>
      </c>
      <c r="G127" s="28">
        <v>38130572.100000001</v>
      </c>
      <c r="H127" s="28">
        <v>38250278.979999997</v>
      </c>
      <c r="I127" s="28">
        <v>38369540.359999999</v>
      </c>
      <c r="J127" s="28">
        <v>37907645.170000002</v>
      </c>
      <c r="K127" s="28">
        <v>38123222.170000002</v>
      </c>
      <c r="L127" s="28">
        <v>38267720.960000001</v>
      </c>
      <c r="M127" s="28">
        <v>38246722.609999999</v>
      </c>
      <c r="N127" s="28">
        <v>38373196.240000002</v>
      </c>
      <c r="O127" s="28">
        <v>38258246.969999999</v>
      </c>
      <c r="P127" s="4">
        <f t="shared" si="34"/>
        <v>38156112.203750007</v>
      </c>
      <c r="Q127" s="4">
        <f t="shared" si="35"/>
        <v>38166515.079166673</v>
      </c>
      <c r="R127" s="8">
        <f>+Q127/P127-1</f>
        <v>2.7263981616143518E-4</v>
      </c>
      <c r="U127" s="4"/>
      <c r="V127" s="4">
        <f>-P127</f>
        <v>-38156112.203750007</v>
      </c>
      <c r="W127" s="4"/>
      <c r="X127" s="5">
        <f>+[4]Report!$K$2653+[4]Report!$K$2656</f>
        <v>-335802.44440276822</v>
      </c>
      <c r="Y127" s="5">
        <f>+[4]Report!$J$2653+[4]Report!$J$2656</f>
        <v>-1148309.5097638918</v>
      </c>
      <c r="Z127" s="5">
        <f>-P127-X127-Y127</f>
        <v>-36672000.249583349</v>
      </c>
      <c r="AA127" s="5">
        <f>+Z127+X127+Y127</f>
        <v>-38156112.203750007</v>
      </c>
      <c r="AB127" s="5"/>
    </row>
    <row r="128" spans="1:28" s="3" customFormat="1">
      <c r="A128" s="3">
        <f t="shared" si="18"/>
        <v>125</v>
      </c>
      <c r="B128" s="17" t="s">
        <v>46</v>
      </c>
      <c r="C128" s="28">
        <v>0</v>
      </c>
      <c r="D128" s="28">
        <v>0</v>
      </c>
      <c r="E128" s="28">
        <v>0</v>
      </c>
      <c r="F128" s="28">
        <v>0</v>
      </c>
      <c r="G128" s="28">
        <v>0</v>
      </c>
      <c r="H128" s="28">
        <v>0</v>
      </c>
      <c r="I128" s="28">
        <v>0</v>
      </c>
      <c r="J128" s="28">
        <v>295320.40000000002</v>
      </c>
      <c r="K128" s="28">
        <v>603043.47</v>
      </c>
      <c r="L128" s="28">
        <v>1034114.64</v>
      </c>
      <c r="M128" s="28">
        <v>1596285.26</v>
      </c>
      <c r="N128" s="28">
        <v>1514157.85</v>
      </c>
      <c r="O128" s="28">
        <v>2070370.49</v>
      </c>
      <c r="P128" s="4">
        <f t="shared" si="34"/>
        <v>506508.9054166667</v>
      </c>
      <c r="Q128" s="4">
        <f t="shared" si="35"/>
        <v>592774.34250000003</v>
      </c>
      <c r="R128" s="8"/>
      <c r="V128" s="4">
        <f>-P128</f>
        <v>-506508.9054166667</v>
      </c>
      <c r="W128" s="4"/>
      <c r="X128" s="5"/>
      <c r="Y128" s="5"/>
      <c r="Z128" s="5">
        <f>-P128-X128-Y128</f>
        <v>-506508.9054166667</v>
      </c>
      <c r="AA128" s="5">
        <f>+Z128+X128+Y128</f>
        <v>-506508.9054166667</v>
      </c>
      <c r="AB128" s="5"/>
    </row>
    <row r="129" spans="1:28" s="3" customFormat="1">
      <c r="A129" s="3">
        <f t="shared" si="18"/>
        <v>126</v>
      </c>
      <c r="B129" s="17" t="s">
        <v>45</v>
      </c>
      <c r="C129" s="28">
        <v>304885084.47000003</v>
      </c>
      <c r="D129" s="28">
        <v>305572526.47000003</v>
      </c>
      <c r="E129" s="28">
        <v>276732229.47000003</v>
      </c>
      <c r="F129" s="28">
        <v>265989975</v>
      </c>
      <c r="G129" s="28">
        <v>234844947</v>
      </c>
      <c r="H129" s="28">
        <v>231435370</v>
      </c>
      <c r="I129" s="28">
        <v>66449954</v>
      </c>
      <c r="J129" s="28">
        <v>66104295</v>
      </c>
      <c r="K129" s="28">
        <v>56996587.560000002</v>
      </c>
      <c r="L129" s="28">
        <v>97761532.900000006</v>
      </c>
      <c r="M129" s="28">
        <v>46504412.530000001</v>
      </c>
      <c r="N129" s="28">
        <v>53823002.57</v>
      </c>
      <c r="O129" s="28">
        <v>48165171.43</v>
      </c>
      <c r="P129" s="4">
        <f t="shared" si="34"/>
        <v>156561663.37083334</v>
      </c>
      <c r="Q129" s="4">
        <f t="shared" si="35"/>
        <v>145865000.32750002</v>
      </c>
      <c r="R129" s="8">
        <f>+Q129/P129-1</f>
        <v>-6.832236457527352E-2</v>
      </c>
      <c r="U129" s="4">
        <f>P129</f>
        <v>156561663.37083334</v>
      </c>
      <c r="W129" s="4"/>
      <c r="X129" s="5"/>
      <c r="Y129" s="5"/>
      <c r="Z129" s="5"/>
      <c r="AA129" s="5"/>
      <c r="AB129" s="5"/>
    </row>
    <row r="130" spans="1:28" s="3" customFormat="1">
      <c r="A130" s="3">
        <f t="shared" si="18"/>
        <v>127</v>
      </c>
      <c r="B130" s="17" t="s">
        <v>44</v>
      </c>
      <c r="C130" s="28">
        <v>0</v>
      </c>
      <c r="D130" s="28">
        <v>0</v>
      </c>
      <c r="E130" s="28">
        <v>0</v>
      </c>
      <c r="F130" s="28">
        <v>0</v>
      </c>
      <c r="G130" s="28">
        <v>0</v>
      </c>
      <c r="H130" s="28">
        <v>0</v>
      </c>
      <c r="I130" s="28">
        <v>0</v>
      </c>
      <c r="J130" s="28">
        <v>0</v>
      </c>
      <c r="K130" s="28">
        <v>0</v>
      </c>
      <c r="L130" s="28">
        <v>0</v>
      </c>
      <c r="M130" s="28">
        <v>0</v>
      </c>
      <c r="N130" s="28">
        <v>0</v>
      </c>
      <c r="O130" s="28">
        <v>0</v>
      </c>
      <c r="P130" s="4">
        <f t="shared" si="34"/>
        <v>0</v>
      </c>
      <c r="Q130" s="4">
        <f t="shared" si="35"/>
        <v>0</v>
      </c>
      <c r="R130" s="8"/>
      <c r="W130" s="4"/>
      <c r="X130" s="5"/>
      <c r="Y130" s="5"/>
      <c r="Z130" s="5"/>
      <c r="AA130" s="5"/>
      <c r="AB130" s="5"/>
    </row>
    <row r="131" spans="1:28" s="3" customFormat="1">
      <c r="A131" s="3">
        <f t="shared" si="18"/>
        <v>128</v>
      </c>
      <c r="B131" s="17" t="s">
        <v>43</v>
      </c>
      <c r="C131" s="28">
        <v>131612876.81</v>
      </c>
      <c r="D131" s="28">
        <v>131645398.25</v>
      </c>
      <c r="E131" s="28">
        <v>131645193.11</v>
      </c>
      <c r="F131" s="28">
        <v>125852740.73999999</v>
      </c>
      <c r="G131" s="28">
        <v>125832556.42</v>
      </c>
      <c r="H131" s="28">
        <v>125803113.87</v>
      </c>
      <c r="I131" s="28">
        <v>123312478.81999999</v>
      </c>
      <c r="J131" s="28">
        <v>123287773.90000001</v>
      </c>
      <c r="K131" s="28">
        <v>123278086.69</v>
      </c>
      <c r="L131" s="28">
        <v>133651626.56999999</v>
      </c>
      <c r="M131" s="28">
        <v>133616731.84</v>
      </c>
      <c r="N131" s="28">
        <v>133621788.91</v>
      </c>
      <c r="O131" s="28">
        <v>127837665</v>
      </c>
      <c r="P131" s="4">
        <f t="shared" si="34"/>
        <v>128439396.66874999</v>
      </c>
      <c r="Q131" s="4">
        <f t="shared" si="35"/>
        <v>128282096.17666666</v>
      </c>
      <c r="R131" s="8">
        <f>+Q131/P131-1</f>
        <v>-1.2247059404133509E-3</v>
      </c>
      <c r="V131" s="4">
        <f>-P131</f>
        <v>-128439396.66874999</v>
      </c>
      <c r="W131" s="4"/>
      <c r="X131" s="5">
        <f>+[4]Report!$K$2604+[4]Report!$K$2605+[4]Report!$K$2606</f>
        <v>0</v>
      </c>
      <c r="Y131" s="5">
        <f>+[4]Report!$J$2604+[4]Report!$J$2605+[4]Report!$J$2606</f>
        <v>-2849851.2324999939</v>
      </c>
      <c r="Z131" s="5">
        <f>-P131-X131-Y131</f>
        <v>-125589545.43625</v>
      </c>
      <c r="AA131" s="5">
        <f>+Z131+X131+Y131</f>
        <v>-128439396.66874999</v>
      </c>
      <c r="AB131" s="5"/>
    </row>
    <row r="132" spans="1:28" s="3" customFormat="1">
      <c r="A132" s="3">
        <f t="shared" si="18"/>
        <v>129</v>
      </c>
      <c r="B132" s="17" t="s">
        <v>42</v>
      </c>
      <c r="C132" s="28">
        <f t="shared" ref="C132:O132" si="36">SUM(C123:C131)</f>
        <v>967704592.71000004</v>
      </c>
      <c r="D132" s="28">
        <f t="shared" si="36"/>
        <v>971185928.35000002</v>
      </c>
      <c r="E132" s="28">
        <f t="shared" si="36"/>
        <v>933658867.26000011</v>
      </c>
      <c r="F132" s="28">
        <f t="shared" si="36"/>
        <v>901442574.82000005</v>
      </c>
      <c r="G132" s="28">
        <f t="shared" si="36"/>
        <v>878013874.25</v>
      </c>
      <c r="H132" s="28">
        <f t="shared" si="36"/>
        <v>868644925.10000002</v>
      </c>
      <c r="I132" s="28">
        <f t="shared" si="36"/>
        <v>868209927.37000012</v>
      </c>
      <c r="J132" s="28">
        <f t="shared" si="36"/>
        <v>866960954.56999993</v>
      </c>
      <c r="K132" s="28">
        <f t="shared" si="36"/>
        <v>852780327.66000009</v>
      </c>
      <c r="L132" s="28">
        <f t="shared" si="36"/>
        <v>897370905.63999987</v>
      </c>
      <c r="M132" s="28">
        <f t="shared" si="36"/>
        <v>840037317.36000001</v>
      </c>
      <c r="N132" s="28">
        <f t="shared" si="36"/>
        <v>840143990.49000013</v>
      </c>
      <c r="O132" s="28">
        <f t="shared" si="36"/>
        <v>825750712.36000001</v>
      </c>
      <c r="P132" s="29">
        <f>SUBTOTAL(9,P123:P131)</f>
        <v>884598103.78375006</v>
      </c>
      <c r="Q132" s="4">
        <f t="shared" si="35"/>
        <v>878683358.76916683</v>
      </c>
      <c r="R132" s="8">
        <f>+Q132/P132-1</f>
        <v>-6.6863641118872774E-3</v>
      </c>
      <c r="S132" s="1"/>
      <c r="T132" s="29">
        <f t="shared" ref="T132:Z132" si="37">SUBTOTAL(9,T123:T131)</f>
        <v>0</v>
      </c>
      <c r="U132" s="29">
        <f t="shared" si="37"/>
        <v>156561663.37083334</v>
      </c>
      <c r="V132" s="29">
        <f t="shared" si="37"/>
        <v>-674405180.57916665</v>
      </c>
      <c r="W132" s="29">
        <f t="shared" si="37"/>
        <v>53631259.833749987</v>
      </c>
      <c r="X132" s="29" t="e">
        <f t="shared" si="37"/>
        <v>#REF!</v>
      </c>
      <c r="Y132" s="29">
        <f t="shared" si="37"/>
        <v>-13362468.644430846</v>
      </c>
      <c r="Z132" s="29" t="e">
        <f t="shared" si="37"/>
        <v>#REF!</v>
      </c>
      <c r="AA132" s="5"/>
      <c r="AB132" s="5"/>
    </row>
    <row r="133" spans="1:28" s="3" customFormat="1">
      <c r="A133" s="3">
        <f t="shared" ref="A133:A179" si="38">+A132+1</f>
        <v>130</v>
      </c>
      <c r="B133" s="17"/>
      <c r="C133" s="32"/>
      <c r="D133" s="32"/>
      <c r="E133" s="32"/>
      <c r="F133" s="32"/>
      <c r="G133" s="32"/>
      <c r="H133" s="32"/>
      <c r="I133" s="32"/>
      <c r="J133" s="32"/>
      <c r="K133" s="32"/>
      <c r="L133" s="32"/>
      <c r="M133" s="32"/>
      <c r="N133" s="32"/>
      <c r="O133" s="32"/>
      <c r="P133" s="27"/>
      <c r="Q133" s="4"/>
      <c r="R133" s="8"/>
      <c r="S133" s="1"/>
      <c r="U133" s="27"/>
      <c r="V133" s="27"/>
      <c r="W133" s="27"/>
      <c r="X133" s="27"/>
      <c r="Y133" s="27"/>
      <c r="Z133" s="27"/>
      <c r="AA133" s="5"/>
      <c r="AB133" s="5"/>
    </row>
    <row r="134" spans="1:28" s="3" customFormat="1">
      <c r="A134" s="3">
        <f t="shared" si="38"/>
        <v>131</v>
      </c>
      <c r="B134" s="17" t="s">
        <v>41</v>
      </c>
      <c r="C134" s="30"/>
      <c r="D134" s="30"/>
      <c r="E134" s="30"/>
      <c r="F134" s="30"/>
      <c r="G134" s="30"/>
      <c r="H134" s="30"/>
      <c r="I134" s="30"/>
      <c r="J134" s="30"/>
      <c r="K134" s="30"/>
      <c r="L134" s="30"/>
      <c r="M134" s="30"/>
      <c r="N134" s="30"/>
      <c r="O134" s="30"/>
      <c r="P134" s="4"/>
      <c r="Q134" s="4"/>
      <c r="R134" s="8"/>
      <c r="X134" s="5"/>
      <c r="Y134" s="5"/>
      <c r="Z134" s="5"/>
      <c r="AA134" s="5"/>
      <c r="AB134" s="5"/>
    </row>
    <row r="135" spans="1:28" s="3" customFormat="1">
      <c r="A135" s="3">
        <f t="shared" si="38"/>
        <v>132</v>
      </c>
      <c r="B135" s="17" t="s">
        <v>40</v>
      </c>
      <c r="C135" s="28">
        <v>0</v>
      </c>
      <c r="D135" s="28">
        <v>0</v>
      </c>
      <c r="E135" s="28">
        <v>0</v>
      </c>
      <c r="F135" s="28">
        <v>0</v>
      </c>
      <c r="G135" s="28">
        <v>0</v>
      </c>
      <c r="H135" s="28">
        <v>490450000</v>
      </c>
      <c r="I135" s="28">
        <v>688527000</v>
      </c>
      <c r="J135" s="28">
        <v>127000000</v>
      </c>
      <c r="K135" s="28">
        <v>147000000</v>
      </c>
      <c r="L135" s="28">
        <v>0</v>
      </c>
      <c r="M135" s="28">
        <v>0</v>
      </c>
      <c r="N135" s="28">
        <v>0</v>
      </c>
      <c r="O135" s="28">
        <v>0</v>
      </c>
      <c r="P135" s="4">
        <f t="shared" ref="P135:P148" si="39">(C135+2*SUM(D135:N135)+O135)/24</f>
        <v>121081416.66666667</v>
      </c>
      <c r="Q135" s="4">
        <f t="shared" ref="Q135:Q152" si="40">AVERAGE(D135:O135)</f>
        <v>121081416.66666667</v>
      </c>
      <c r="R135" s="8">
        <f>+Q135/P135-1</f>
        <v>0</v>
      </c>
      <c r="U135" s="4"/>
      <c r="W135" s="4">
        <f>+P135</f>
        <v>121081416.66666667</v>
      </c>
      <c r="X135" s="5"/>
      <c r="Y135" s="5"/>
      <c r="Z135" s="5"/>
      <c r="AA135" s="5"/>
      <c r="AB135" s="5"/>
    </row>
    <row r="136" spans="1:28" s="3" customFormat="1">
      <c r="A136" s="3">
        <f t="shared" si="38"/>
        <v>133</v>
      </c>
      <c r="B136" s="17" t="s">
        <v>39</v>
      </c>
      <c r="C136" s="48">
        <f>516820593.08-34956156</f>
        <v>481864437.07999998</v>
      </c>
      <c r="D136" s="28">
        <v>500876986.23000002</v>
      </c>
      <c r="E136" s="28">
        <v>518593801.99000001</v>
      </c>
      <c r="F136" s="48">
        <f>507407718.77-14742985</f>
        <v>492664733.76999998</v>
      </c>
      <c r="G136" s="28">
        <v>541431841.24000001</v>
      </c>
      <c r="H136" s="28">
        <v>608528911.49000001</v>
      </c>
      <c r="I136" s="28">
        <v>536085456.56</v>
      </c>
      <c r="J136" s="28">
        <v>467119435.20999998</v>
      </c>
      <c r="K136" s="28">
        <v>455641723.52999997</v>
      </c>
      <c r="L136" s="28">
        <v>459333800.83999997</v>
      </c>
      <c r="M136" s="28">
        <v>485257067.61000001</v>
      </c>
      <c r="N136" s="28">
        <v>467790961.01999998</v>
      </c>
      <c r="O136" s="28">
        <v>496365317.94999999</v>
      </c>
      <c r="P136" s="4">
        <f t="shared" si="39"/>
        <v>501869966.41708332</v>
      </c>
      <c r="Q136" s="4">
        <f t="shared" si="40"/>
        <v>502474169.78666663</v>
      </c>
      <c r="R136" s="8">
        <f>+Q136/P136-1</f>
        <v>1.2039042182516724E-3</v>
      </c>
      <c r="U136" s="4">
        <f>P136</f>
        <v>501869966.41708332</v>
      </c>
      <c r="X136" s="5"/>
      <c r="Y136" s="5"/>
      <c r="Z136" s="5"/>
      <c r="AA136" s="5"/>
      <c r="AB136" s="5"/>
    </row>
    <row r="137" spans="1:28" s="3" customFormat="1">
      <c r="A137" s="3">
        <f t="shared" si="38"/>
        <v>134</v>
      </c>
      <c r="B137" s="17" t="s">
        <v>38</v>
      </c>
      <c r="C137" s="48">
        <f>0+474</f>
        <v>474</v>
      </c>
      <c r="D137" s="28">
        <v>0</v>
      </c>
      <c r="E137" s="28">
        <v>0</v>
      </c>
      <c r="F137" s="28">
        <v>0</v>
      </c>
      <c r="G137" s="28">
        <v>0</v>
      </c>
      <c r="H137" s="28">
        <v>0</v>
      </c>
      <c r="I137" s="28">
        <v>0</v>
      </c>
      <c r="J137" s="28">
        <v>0</v>
      </c>
      <c r="K137" s="28">
        <v>0</v>
      </c>
      <c r="L137" s="28">
        <v>2824601.92</v>
      </c>
      <c r="M137" s="28">
        <v>6230941.1299999999</v>
      </c>
      <c r="N137" s="28">
        <v>60.57</v>
      </c>
      <c r="O137" s="28">
        <v>0</v>
      </c>
      <c r="P137" s="4">
        <f t="shared" si="39"/>
        <v>754653.38500000013</v>
      </c>
      <c r="Q137" s="4">
        <f t="shared" si="40"/>
        <v>754633.63500000013</v>
      </c>
      <c r="R137" s="8"/>
      <c r="U137" s="4">
        <f>P137</f>
        <v>754653.38500000013</v>
      </c>
      <c r="X137" s="5"/>
      <c r="Y137" s="5"/>
      <c r="Z137" s="5"/>
      <c r="AA137" s="5"/>
      <c r="AB137" s="5"/>
    </row>
    <row r="138" spans="1:28" s="3" customFormat="1">
      <c r="A138" s="3">
        <f t="shared" si="38"/>
        <v>135</v>
      </c>
      <c r="B138" s="17" t="s">
        <v>37</v>
      </c>
      <c r="C138" s="48">
        <f>11642508.35+17665924</f>
        <v>29308432.350000001</v>
      </c>
      <c r="D138" s="28">
        <v>11550566.73</v>
      </c>
      <c r="E138" s="28">
        <v>14471844.85</v>
      </c>
      <c r="F138" s="48">
        <f>16068646.08+18179512</f>
        <v>34248158.079999998</v>
      </c>
      <c r="G138" s="28">
        <v>17124910.219999999</v>
      </c>
      <c r="H138" s="28">
        <v>28795237.469999999</v>
      </c>
      <c r="I138" s="28">
        <v>56292853.049999997</v>
      </c>
      <c r="J138" s="28">
        <v>43188298.380000003</v>
      </c>
      <c r="K138" s="28">
        <v>47694991.780000001</v>
      </c>
      <c r="L138" s="28">
        <v>43035774.039999999</v>
      </c>
      <c r="M138" s="28">
        <v>34011947.329999998</v>
      </c>
      <c r="N138" s="28">
        <v>41588128.890000001</v>
      </c>
      <c r="O138" s="28">
        <v>42418384.43</v>
      </c>
      <c r="P138" s="4">
        <f t="shared" si="39"/>
        <v>33988843.267499991</v>
      </c>
      <c r="Q138" s="4">
        <f t="shared" si="40"/>
        <v>34535091.270833328</v>
      </c>
      <c r="R138" s="8">
        <f>+Q138/P138-1</f>
        <v>1.607139139847269E-2</v>
      </c>
      <c r="U138" s="4">
        <f>P138</f>
        <v>33988843.267499991</v>
      </c>
      <c r="X138" s="5"/>
      <c r="Y138" s="5"/>
      <c r="Z138" s="5"/>
      <c r="AA138" s="5"/>
      <c r="AB138" s="5"/>
    </row>
    <row r="139" spans="1:28" s="3" customFormat="1">
      <c r="A139" s="3">
        <f t="shared" si="38"/>
        <v>136</v>
      </c>
      <c r="B139" s="17" t="s">
        <v>36</v>
      </c>
      <c r="C139" s="28">
        <v>39824509.030000001</v>
      </c>
      <c r="D139" s="28">
        <v>39582160.539999999</v>
      </c>
      <c r="E139" s="28">
        <v>33199883.780000001</v>
      </c>
      <c r="F139" s="28">
        <v>34065611.759999998</v>
      </c>
      <c r="G139" s="28">
        <v>34487124.149999999</v>
      </c>
      <c r="H139" s="28">
        <v>35532162.280000001</v>
      </c>
      <c r="I139" s="28">
        <v>36226196.130000003</v>
      </c>
      <c r="J139" s="28">
        <v>35766162.469999999</v>
      </c>
      <c r="K139" s="28">
        <v>40437477.060000002</v>
      </c>
      <c r="L139" s="28">
        <v>40369835.450000003</v>
      </c>
      <c r="M139" s="28">
        <v>40493663.700000003</v>
      </c>
      <c r="N139" s="28">
        <v>38801054.170000002</v>
      </c>
      <c r="O139" s="28">
        <v>38942057.060000002</v>
      </c>
      <c r="P139" s="4">
        <f t="shared" si="39"/>
        <v>37362051.21125</v>
      </c>
      <c r="Q139" s="4">
        <f t="shared" si="40"/>
        <v>37325282.379166663</v>
      </c>
      <c r="R139" s="8">
        <f>+Q139/P139-1</f>
        <v>-9.8412241542733536E-4</v>
      </c>
      <c r="U139" s="4"/>
      <c r="V139" s="4">
        <f>-P139</f>
        <v>-37362051.21125</v>
      </c>
      <c r="X139" s="5">
        <f>+[4]Report!$K$2641</f>
        <v>0</v>
      </c>
      <c r="Y139" s="5">
        <f>+V139-X139</f>
        <v>-37362051.21125</v>
      </c>
      <c r="Z139" s="5"/>
      <c r="AA139" s="5">
        <f>+Z139+X139+Y139</f>
        <v>-37362051.21125</v>
      </c>
      <c r="AB139" s="5"/>
    </row>
    <row r="140" spans="1:28" s="3" customFormat="1">
      <c r="A140" s="3">
        <f t="shared" si="38"/>
        <v>137</v>
      </c>
      <c r="B140" s="17" t="s">
        <v>35</v>
      </c>
      <c r="C140" s="48">
        <f>81617797.54-369471</f>
        <v>81248326.540000007</v>
      </c>
      <c r="D140" s="28">
        <v>91234409.650000006</v>
      </c>
      <c r="E140" s="28">
        <v>95401692.290000007</v>
      </c>
      <c r="F140" s="48">
        <f>105082128.32-203838</f>
        <v>104878290.31999999</v>
      </c>
      <c r="G140" s="28">
        <v>119120255.66</v>
      </c>
      <c r="H140" s="28">
        <v>70722676.450000003</v>
      </c>
      <c r="I140" s="28">
        <v>52714616.009999998</v>
      </c>
      <c r="J140" s="28">
        <v>63058908.640000001</v>
      </c>
      <c r="K140" s="28">
        <v>71691134.200000003</v>
      </c>
      <c r="L140" s="28">
        <v>82362258.150000006</v>
      </c>
      <c r="M140" s="28">
        <v>138745483.88999999</v>
      </c>
      <c r="N140" s="28">
        <v>153964516.59999999</v>
      </c>
      <c r="O140" s="28">
        <v>132284949.61</v>
      </c>
      <c r="P140" s="4">
        <f t="shared" si="39"/>
        <v>95888406.66125001</v>
      </c>
      <c r="Q140" s="4">
        <f t="shared" si="40"/>
        <v>98014932.622500002</v>
      </c>
      <c r="R140" s="8">
        <f>+Q140/P140-1</f>
        <v>2.2177091426312634E-2</v>
      </c>
      <c r="U140" s="4">
        <f t="shared" ref="U140:U146" si="41">P140</f>
        <v>95888406.66125001</v>
      </c>
      <c r="X140" s="5"/>
      <c r="Y140" s="5"/>
      <c r="Z140" s="5"/>
      <c r="AA140" s="5"/>
      <c r="AB140" s="5"/>
    </row>
    <row r="141" spans="1:28" s="3" customFormat="1">
      <c r="A141" s="3">
        <f t="shared" si="38"/>
        <v>138</v>
      </c>
      <c r="B141" s="17" t="s">
        <v>34</v>
      </c>
      <c r="C141" s="28">
        <v>119203634.2</v>
      </c>
      <c r="D141" s="28">
        <v>94126392.680000007</v>
      </c>
      <c r="E141" s="28">
        <v>103156320.31</v>
      </c>
      <c r="F141" s="28">
        <v>117321691.42</v>
      </c>
      <c r="G141" s="28">
        <v>104544853.05</v>
      </c>
      <c r="H141" s="28">
        <v>102756355.98999999</v>
      </c>
      <c r="I141" s="28">
        <v>110248092.42</v>
      </c>
      <c r="J141" s="28">
        <v>82811952.469999999</v>
      </c>
      <c r="K141" s="28">
        <v>91261280.459999993</v>
      </c>
      <c r="L141" s="28">
        <v>99700928.230000004</v>
      </c>
      <c r="M141" s="28">
        <v>85762718.159999996</v>
      </c>
      <c r="N141" s="28">
        <v>103195492.08</v>
      </c>
      <c r="O141" s="28">
        <v>118683899.73999999</v>
      </c>
      <c r="P141" s="4">
        <f t="shared" si="39"/>
        <v>101152487.01999998</v>
      </c>
      <c r="Q141" s="4">
        <f t="shared" si="40"/>
        <v>101130831.4175</v>
      </c>
      <c r="R141" s="8">
        <f>+Q141/P141-1</f>
        <v>-2.1408868074290766E-4</v>
      </c>
      <c r="U141" s="4">
        <f t="shared" si="41"/>
        <v>101152487.01999998</v>
      </c>
      <c r="X141" s="5"/>
      <c r="Y141" s="5"/>
      <c r="Z141" s="5"/>
      <c r="AA141" s="5"/>
      <c r="AB141" s="5"/>
    </row>
    <row r="142" spans="1:28" s="3" customFormat="1">
      <c r="A142" s="3">
        <f t="shared" si="38"/>
        <v>139</v>
      </c>
      <c r="B142" s="17" t="s">
        <v>33</v>
      </c>
      <c r="C142" s="28">
        <v>512461.71</v>
      </c>
      <c r="D142" s="28">
        <v>512461.71</v>
      </c>
      <c r="E142" s="28">
        <v>0</v>
      </c>
      <c r="F142" s="28">
        <v>512461.71</v>
      </c>
      <c r="G142" s="28">
        <v>512461.71</v>
      </c>
      <c r="H142" s="28">
        <v>0</v>
      </c>
      <c r="I142" s="28">
        <v>512461.71</v>
      </c>
      <c r="J142" s="28">
        <v>50512461.710000001</v>
      </c>
      <c r="K142" s="28">
        <v>0</v>
      </c>
      <c r="L142" s="28">
        <v>512461.71</v>
      </c>
      <c r="M142" s="28">
        <v>512461.71</v>
      </c>
      <c r="N142" s="28">
        <v>0</v>
      </c>
      <c r="O142" s="28">
        <v>512461.71</v>
      </c>
      <c r="P142" s="4">
        <f t="shared" si="39"/>
        <v>4508307.8066666666</v>
      </c>
      <c r="Q142" s="4">
        <f t="shared" si="40"/>
        <v>4508307.8066666676</v>
      </c>
      <c r="R142" s="8">
        <f>+Q142/P142-1</f>
        <v>0</v>
      </c>
      <c r="U142" s="4">
        <f t="shared" si="41"/>
        <v>4508307.8066666666</v>
      </c>
      <c r="X142" s="5"/>
      <c r="Y142" s="5"/>
      <c r="Z142" s="5"/>
      <c r="AA142" s="5"/>
      <c r="AB142" s="5"/>
    </row>
    <row r="143" spans="1:28" s="3" customFormat="1">
      <c r="A143" s="3">
        <f t="shared" si="38"/>
        <v>140</v>
      </c>
      <c r="B143" s="17" t="s">
        <v>32</v>
      </c>
      <c r="C143" s="28">
        <v>0</v>
      </c>
      <c r="D143" s="28">
        <v>0</v>
      </c>
      <c r="E143" s="28">
        <v>0</v>
      </c>
      <c r="F143" s="28">
        <v>0</v>
      </c>
      <c r="G143" s="28">
        <v>0</v>
      </c>
      <c r="H143" s="28">
        <v>0</v>
      </c>
      <c r="I143" s="28">
        <v>0</v>
      </c>
      <c r="J143" s="28">
        <v>0</v>
      </c>
      <c r="K143" s="28">
        <v>0</v>
      </c>
      <c r="L143" s="28">
        <v>0</v>
      </c>
      <c r="M143" s="28">
        <v>0</v>
      </c>
      <c r="N143" s="28">
        <v>0</v>
      </c>
      <c r="O143" s="28">
        <v>0</v>
      </c>
      <c r="P143" s="4">
        <f t="shared" si="39"/>
        <v>0</v>
      </c>
      <c r="Q143" s="4">
        <f t="shared" si="40"/>
        <v>0</v>
      </c>
      <c r="R143" s="8"/>
      <c r="U143" s="4">
        <f t="shared" si="41"/>
        <v>0</v>
      </c>
      <c r="X143" s="5"/>
      <c r="Y143" s="5"/>
      <c r="Z143" s="5"/>
      <c r="AA143" s="5"/>
      <c r="AB143" s="5"/>
    </row>
    <row r="144" spans="1:28" s="3" customFormat="1">
      <c r="A144" s="3">
        <f t="shared" si="38"/>
        <v>141</v>
      </c>
      <c r="B144" s="17" t="s">
        <v>31</v>
      </c>
      <c r="C144" s="28">
        <v>0</v>
      </c>
      <c r="D144" s="28">
        <v>0</v>
      </c>
      <c r="E144" s="28">
        <v>0</v>
      </c>
      <c r="F144" s="28">
        <v>0</v>
      </c>
      <c r="G144" s="28">
        <v>0</v>
      </c>
      <c r="H144" s="28">
        <v>0</v>
      </c>
      <c r="I144" s="28">
        <v>0</v>
      </c>
      <c r="J144" s="28">
        <v>0</v>
      </c>
      <c r="K144" s="28">
        <v>0</v>
      </c>
      <c r="L144" s="28">
        <v>0</v>
      </c>
      <c r="M144" s="28">
        <v>0</v>
      </c>
      <c r="N144" s="28">
        <v>0</v>
      </c>
      <c r="O144" s="28">
        <v>0</v>
      </c>
      <c r="P144" s="4">
        <f t="shared" si="39"/>
        <v>0</v>
      </c>
      <c r="Q144" s="4">
        <f t="shared" si="40"/>
        <v>0</v>
      </c>
      <c r="R144" s="8"/>
      <c r="U144" s="4">
        <f t="shared" si="41"/>
        <v>0</v>
      </c>
      <c r="X144" s="5"/>
      <c r="Y144" s="5"/>
      <c r="Z144" s="5"/>
      <c r="AA144" s="5"/>
      <c r="AB144" s="5"/>
    </row>
    <row r="145" spans="1:28" s="3" customFormat="1">
      <c r="A145" s="3">
        <f t="shared" si="38"/>
        <v>142</v>
      </c>
      <c r="B145" s="17" t="s">
        <v>30</v>
      </c>
      <c r="C145" s="48">
        <f>14719750.47-108245</f>
        <v>14611505.470000001</v>
      </c>
      <c r="D145" s="28">
        <v>21845441.690000001</v>
      </c>
      <c r="E145" s="28">
        <v>18420743.079999998</v>
      </c>
      <c r="F145" s="48">
        <f>19135579.83-110195</f>
        <v>19025384.829999998</v>
      </c>
      <c r="G145" s="28">
        <v>14610277.279999999</v>
      </c>
      <c r="H145" s="28">
        <v>14421153.4</v>
      </c>
      <c r="I145" s="28">
        <v>17536762.48</v>
      </c>
      <c r="J145" s="28">
        <v>16042329.640000001</v>
      </c>
      <c r="K145" s="28">
        <v>15050204.59</v>
      </c>
      <c r="L145" s="28">
        <v>15035674.880000001</v>
      </c>
      <c r="M145" s="28">
        <v>13871574.300000001</v>
      </c>
      <c r="N145" s="28">
        <v>14088392.65</v>
      </c>
      <c r="O145" s="28">
        <v>16723760.449999999</v>
      </c>
      <c r="P145" s="4">
        <f t="shared" si="39"/>
        <v>16301297.648333335</v>
      </c>
      <c r="Q145" s="4">
        <f t="shared" si="40"/>
        <v>16389308.272500001</v>
      </c>
      <c r="R145" s="8">
        <f t="shared" ref="R145:R150" si="42">+Q145/P145-1</f>
        <v>5.398994979744165E-3</v>
      </c>
      <c r="U145" s="4">
        <f t="shared" si="41"/>
        <v>16301297.648333335</v>
      </c>
      <c r="X145" s="5"/>
      <c r="Y145" s="5"/>
      <c r="Z145" s="5"/>
      <c r="AA145" s="5"/>
      <c r="AB145" s="5"/>
    </row>
    <row r="146" spans="1:28" s="3" customFormat="1">
      <c r="A146" s="3">
        <f t="shared" si="38"/>
        <v>143</v>
      </c>
      <c r="B146" s="17" t="s">
        <v>29</v>
      </c>
      <c r="C146" s="48">
        <f>67710908.53-2496995</f>
        <v>65213913.530000001</v>
      </c>
      <c r="D146" s="28">
        <v>67284894.849999994</v>
      </c>
      <c r="E146" s="28">
        <v>63488041.359999999</v>
      </c>
      <c r="F146" s="48">
        <f>58095716.95-2358707</f>
        <v>55737009.950000003</v>
      </c>
      <c r="G146" s="28">
        <v>54773437.490000002</v>
      </c>
      <c r="H146" s="28">
        <v>54403006.25</v>
      </c>
      <c r="I146" s="28">
        <v>78951245.810000002</v>
      </c>
      <c r="J146" s="28">
        <v>81538322.709999993</v>
      </c>
      <c r="K146" s="28">
        <v>69562469.989999995</v>
      </c>
      <c r="L146" s="28">
        <v>68741350.620000005</v>
      </c>
      <c r="M146" s="28">
        <v>68543556.959999993</v>
      </c>
      <c r="N146" s="28">
        <v>67958094.010000005</v>
      </c>
      <c r="O146" s="28">
        <v>67616791.670000002</v>
      </c>
      <c r="P146" s="4">
        <f t="shared" si="39"/>
        <v>66449731.883333333</v>
      </c>
      <c r="Q146" s="4">
        <f t="shared" si="40"/>
        <v>66549851.805833332</v>
      </c>
      <c r="R146" s="8">
        <f t="shared" si="42"/>
        <v>1.5067016775294206E-3</v>
      </c>
      <c r="U146" s="4">
        <f t="shared" si="41"/>
        <v>66449731.883333333</v>
      </c>
      <c r="X146" s="5"/>
      <c r="Y146" s="5"/>
      <c r="Z146" s="5"/>
      <c r="AA146" s="5"/>
      <c r="AB146" s="5"/>
    </row>
    <row r="147" spans="1:28" s="3" customFormat="1">
      <c r="A147" s="3">
        <f t="shared" si="38"/>
        <v>144</v>
      </c>
      <c r="B147" s="17" t="s">
        <v>28</v>
      </c>
      <c r="C147" s="28">
        <v>1286632.18</v>
      </c>
      <c r="D147" s="28">
        <v>1278648.73</v>
      </c>
      <c r="E147" s="28">
        <v>1270611.5</v>
      </c>
      <c r="F147" s="28">
        <v>1262520.1599999999</v>
      </c>
      <c r="G147" s="28">
        <v>2100248.34</v>
      </c>
      <c r="H147" s="28">
        <v>2128082.85</v>
      </c>
      <c r="I147" s="28">
        <v>2156200.56</v>
      </c>
      <c r="J147" s="28">
        <v>2184604.35</v>
      </c>
      <c r="K147" s="28">
        <v>2638642.0099999998</v>
      </c>
      <c r="L147" s="28">
        <v>3096577.72</v>
      </c>
      <c r="M147" s="28">
        <v>3347809.02</v>
      </c>
      <c r="N147" s="28">
        <v>3741380.42</v>
      </c>
      <c r="O147" s="28">
        <v>4131434.35</v>
      </c>
      <c r="P147" s="4">
        <f t="shared" si="39"/>
        <v>2326196.5770833329</v>
      </c>
      <c r="Q147" s="4">
        <f t="shared" si="40"/>
        <v>2444730.000833333</v>
      </c>
      <c r="R147" s="8">
        <f t="shared" si="42"/>
        <v>5.0955892944620107E-2</v>
      </c>
      <c r="U147" s="4"/>
      <c r="V147" s="4"/>
      <c r="W147" s="4">
        <f>+P147</f>
        <v>2326196.5770833329</v>
      </c>
      <c r="X147" s="5"/>
      <c r="Y147" s="5"/>
      <c r="Z147" s="5"/>
      <c r="AA147" s="5"/>
      <c r="AB147" s="5"/>
    </row>
    <row r="148" spans="1:28" s="3" customFormat="1">
      <c r="A148" s="3">
        <f t="shared" si="38"/>
        <v>145</v>
      </c>
      <c r="B148" s="17" t="s">
        <v>27</v>
      </c>
      <c r="C148" s="28">
        <v>378700189.68000001</v>
      </c>
      <c r="D148" s="28">
        <v>388552876.14999998</v>
      </c>
      <c r="E148" s="28">
        <v>360089284.14999998</v>
      </c>
      <c r="F148" s="28">
        <v>378131040</v>
      </c>
      <c r="G148" s="28">
        <v>345158767</v>
      </c>
      <c r="H148" s="28">
        <v>341809031</v>
      </c>
      <c r="I148" s="28">
        <v>156054864</v>
      </c>
      <c r="J148" s="28">
        <v>158391844</v>
      </c>
      <c r="K148" s="28">
        <v>143858301.63999999</v>
      </c>
      <c r="L148" s="28">
        <v>265947143.75999999</v>
      </c>
      <c r="M148" s="28">
        <v>142686546.13</v>
      </c>
      <c r="N148" s="28">
        <v>132338151.11</v>
      </c>
      <c r="O148" s="28">
        <v>119811148.5</v>
      </c>
      <c r="P148" s="4">
        <f t="shared" si="39"/>
        <v>255189459.83583334</v>
      </c>
      <c r="Q148" s="4">
        <f t="shared" si="40"/>
        <v>244402416.45333335</v>
      </c>
      <c r="R148" s="8">
        <f t="shared" si="42"/>
        <v>-4.2270724619423716E-2</v>
      </c>
      <c r="U148" s="4">
        <f>P148</f>
        <v>255189459.83583334</v>
      </c>
      <c r="W148" s="4"/>
      <c r="X148" s="5"/>
      <c r="Y148" s="5"/>
      <c r="Z148" s="5"/>
      <c r="AA148" s="5"/>
      <c r="AB148" s="5"/>
    </row>
    <row r="149" spans="1:28" s="3" customFormat="1">
      <c r="A149" s="3">
        <f t="shared" si="38"/>
        <v>146</v>
      </c>
      <c r="B149" s="17" t="s">
        <v>26</v>
      </c>
      <c r="C149" s="28">
        <v>304885084.47000003</v>
      </c>
      <c r="D149" s="28">
        <v>305572526.47000003</v>
      </c>
      <c r="E149" s="28">
        <v>276732229.47000003</v>
      </c>
      <c r="F149" s="28">
        <v>265989975</v>
      </c>
      <c r="G149" s="28">
        <v>234844947</v>
      </c>
      <c r="H149" s="28">
        <v>231435370</v>
      </c>
      <c r="I149" s="28">
        <v>66449954</v>
      </c>
      <c r="J149" s="28">
        <v>66104295</v>
      </c>
      <c r="K149" s="28">
        <v>56996587.560000002</v>
      </c>
      <c r="L149" s="28">
        <v>97761532.900000006</v>
      </c>
      <c r="M149" s="28">
        <v>46504412.530000001</v>
      </c>
      <c r="N149" s="28">
        <v>53823002.57</v>
      </c>
      <c r="O149" s="28">
        <v>48165171.43</v>
      </c>
      <c r="P149" s="4">
        <f>-(C149+2*SUM(D149:N149)+O149)/24</f>
        <v>-156561663.37083334</v>
      </c>
      <c r="Q149" s="4">
        <f t="shared" si="40"/>
        <v>145865000.32750002</v>
      </c>
      <c r="R149" s="8">
        <f t="shared" si="42"/>
        <v>-1.9316776354247265</v>
      </c>
      <c r="U149" s="4">
        <f>P149</f>
        <v>-156561663.37083334</v>
      </c>
      <c r="W149" s="4"/>
      <c r="X149" s="5"/>
      <c r="Y149" s="5"/>
      <c r="Z149" s="5"/>
      <c r="AA149" s="5"/>
      <c r="AB149" s="5"/>
    </row>
    <row r="150" spans="1:28" s="3" customFormat="1">
      <c r="A150" s="3">
        <f t="shared" si="38"/>
        <v>147</v>
      </c>
      <c r="B150" s="17" t="s">
        <v>25</v>
      </c>
      <c r="C150" s="28">
        <v>0</v>
      </c>
      <c r="D150" s="28">
        <v>0</v>
      </c>
      <c r="E150" s="28">
        <v>0</v>
      </c>
      <c r="F150" s="28">
        <v>0</v>
      </c>
      <c r="G150" s="28">
        <v>0</v>
      </c>
      <c r="H150" s="28">
        <v>0</v>
      </c>
      <c r="I150" s="28">
        <v>0</v>
      </c>
      <c r="J150" s="28">
        <v>0</v>
      </c>
      <c r="K150" s="28">
        <v>0</v>
      </c>
      <c r="L150" s="28">
        <v>0</v>
      </c>
      <c r="M150" s="28">
        <v>0</v>
      </c>
      <c r="N150" s="28">
        <v>0</v>
      </c>
      <c r="O150" s="28">
        <v>0</v>
      </c>
      <c r="P150" s="4">
        <f>(C150+2*SUM(D150:N150)+O150)/24</f>
        <v>0</v>
      </c>
      <c r="Q150" s="4">
        <f t="shared" si="40"/>
        <v>0</v>
      </c>
      <c r="R150" s="8" t="e">
        <f t="shared" si="42"/>
        <v>#DIV/0!</v>
      </c>
      <c r="U150" s="4">
        <f>P150</f>
        <v>0</v>
      </c>
      <c r="W150" s="4"/>
      <c r="X150" s="5"/>
      <c r="Y150" s="5"/>
      <c r="Z150" s="5"/>
      <c r="AA150" s="5"/>
      <c r="AB150" s="5"/>
    </row>
    <row r="151" spans="1:28" s="3" customFormat="1">
      <c r="A151" s="3">
        <f t="shared" si="38"/>
        <v>148</v>
      </c>
      <c r="B151" s="17" t="s">
        <v>24</v>
      </c>
      <c r="C151" s="28">
        <v>0</v>
      </c>
      <c r="D151" s="28">
        <v>0</v>
      </c>
      <c r="E151" s="28">
        <v>0</v>
      </c>
      <c r="F151" s="28">
        <v>0</v>
      </c>
      <c r="G151" s="28">
        <v>0</v>
      </c>
      <c r="H151" s="28">
        <v>0</v>
      </c>
      <c r="I151" s="28">
        <v>0</v>
      </c>
      <c r="J151" s="28">
        <v>0</v>
      </c>
      <c r="K151" s="28">
        <v>0</v>
      </c>
      <c r="L151" s="28">
        <v>0</v>
      </c>
      <c r="M151" s="28">
        <v>0</v>
      </c>
      <c r="N151" s="28">
        <v>0</v>
      </c>
      <c r="O151" s="28">
        <v>0</v>
      </c>
      <c r="P151" s="4">
        <f>-(C151+2*SUM(D151:N151)+O151)/24</f>
        <v>0</v>
      </c>
      <c r="Q151" s="4">
        <f t="shared" si="40"/>
        <v>0</v>
      </c>
      <c r="R151" s="8"/>
      <c r="U151" s="4">
        <f>P151</f>
        <v>0</v>
      </c>
      <c r="X151" s="5"/>
      <c r="Y151" s="5"/>
      <c r="Z151" s="5"/>
      <c r="AA151" s="5"/>
      <c r="AB151" s="5"/>
    </row>
    <row r="152" spans="1:28" s="3" customFormat="1">
      <c r="A152" s="3">
        <f t="shared" si="38"/>
        <v>149</v>
      </c>
      <c r="B152" s="17" t="s">
        <v>23</v>
      </c>
      <c r="C152" s="28">
        <f t="shared" ref="C152:O152" si="43">SUM(C135:C148,C150)-SUM(C149,C151)</f>
        <v>906889431.29999995</v>
      </c>
      <c r="D152" s="28">
        <f t="shared" si="43"/>
        <v>911272312.49000001</v>
      </c>
      <c r="E152" s="28">
        <f t="shared" si="43"/>
        <v>931359993.83999991</v>
      </c>
      <c r="F152" s="28">
        <f t="shared" si="43"/>
        <v>971856927</v>
      </c>
      <c r="G152" s="28">
        <f t="shared" si="43"/>
        <v>999019229.13999987</v>
      </c>
      <c r="H152" s="28">
        <f t="shared" si="43"/>
        <v>1518111247.1800001</v>
      </c>
      <c r="I152" s="28">
        <f t="shared" si="43"/>
        <v>1668855794.73</v>
      </c>
      <c r="J152" s="28">
        <f t="shared" si="43"/>
        <v>1061510024.5800002</v>
      </c>
      <c r="K152" s="28">
        <f t="shared" si="43"/>
        <v>1027839637.7</v>
      </c>
      <c r="L152" s="28">
        <f t="shared" si="43"/>
        <v>983198874.4200002</v>
      </c>
      <c r="M152" s="28">
        <f t="shared" si="43"/>
        <v>972959357.40999997</v>
      </c>
      <c r="N152" s="28">
        <f t="shared" si="43"/>
        <v>969643228.94999993</v>
      </c>
      <c r="O152" s="28">
        <f t="shared" si="43"/>
        <v>989325034.0400002</v>
      </c>
      <c r="P152" s="33">
        <f>SUBTOTAL(9,P135:P151)</f>
        <v>1080311155.0091665</v>
      </c>
      <c r="Q152" s="4">
        <f t="shared" si="40"/>
        <v>1083745971.7900002</v>
      </c>
      <c r="R152" s="8">
        <f>+Q152/P152-1</f>
        <v>3.1794698822715795E-3</v>
      </c>
      <c r="T152" s="33">
        <f>SUBTOTAL(9,T135:T151)</f>
        <v>0</v>
      </c>
      <c r="U152" s="33">
        <f>SUBTOTAL(9,U135:U151)</f>
        <v>919541490.55416656</v>
      </c>
      <c r="X152" s="5"/>
      <c r="Y152" s="5"/>
      <c r="Z152" s="5"/>
      <c r="AA152" s="5"/>
      <c r="AB152" s="5"/>
    </row>
    <row r="153" spans="1:28" s="3" customFormat="1">
      <c r="A153" s="3">
        <f t="shared" si="38"/>
        <v>150</v>
      </c>
      <c r="B153" s="17"/>
      <c r="C153" s="32"/>
      <c r="D153" s="32"/>
      <c r="E153" s="32"/>
      <c r="F153" s="32"/>
      <c r="G153" s="32"/>
      <c r="H153" s="32"/>
      <c r="I153" s="32"/>
      <c r="J153" s="32"/>
      <c r="K153" s="32"/>
      <c r="L153" s="32"/>
      <c r="M153" s="32"/>
      <c r="N153" s="32"/>
      <c r="O153" s="32"/>
      <c r="P153" s="31"/>
      <c r="Q153" s="4"/>
      <c r="R153" s="8"/>
      <c r="U153" s="31"/>
      <c r="X153" s="5"/>
      <c r="Y153" s="5"/>
      <c r="Z153" s="5"/>
      <c r="AA153" s="5"/>
      <c r="AB153" s="5"/>
    </row>
    <row r="154" spans="1:28" s="3" customFormat="1">
      <c r="A154" s="3">
        <f t="shared" si="38"/>
        <v>151</v>
      </c>
      <c r="B154" s="17" t="s">
        <v>22</v>
      </c>
      <c r="C154" s="30"/>
      <c r="D154" s="30"/>
      <c r="E154" s="30"/>
      <c r="F154" s="30"/>
      <c r="G154" s="30"/>
      <c r="H154" s="30"/>
      <c r="I154" s="30"/>
      <c r="J154" s="30"/>
      <c r="K154" s="30"/>
      <c r="L154" s="30"/>
      <c r="M154" s="30"/>
      <c r="N154" s="30"/>
      <c r="O154" s="30"/>
      <c r="P154" s="4"/>
      <c r="Q154" s="4"/>
      <c r="R154" s="8"/>
      <c r="X154" s="5"/>
      <c r="Y154" s="5"/>
      <c r="Z154" s="5"/>
      <c r="AA154" s="5"/>
      <c r="AB154" s="5"/>
    </row>
    <row r="155" spans="1:28" s="3" customFormat="1">
      <c r="A155" s="3">
        <f t="shared" si="38"/>
        <v>152</v>
      </c>
      <c r="B155" s="17" t="s">
        <v>20</v>
      </c>
      <c r="C155" s="28">
        <v>27809966.640000001</v>
      </c>
      <c r="D155" s="28">
        <v>27958733.100000001</v>
      </c>
      <c r="E155" s="28">
        <v>26515703.879999999</v>
      </c>
      <c r="F155" s="28">
        <v>27050674.66</v>
      </c>
      <c r="G155" s="28">
        <v>25924628.559999999</v>
      </c>
      <c r="H155" s="28">
        <v>26187271.789999999</v>
      </c>
      <c r="I155" s="28">
        <v>25692158.239999998</v>
      </c>
      <c r="J155" s="28">
        <v>25402299.73</v>
      </c>
      <c r="K155" s="28">
        <v>20186739.16</v>
      </c>
      <c r="L155" s="28">
        <v>20855939.579999998</v>
      </c>
      <c r="M155" s="28">
        <v>22512172.539999999</v>
      </c>
      <c r="N155" s="28">
        <v>22239003.18</v>
      </c>
      <c r="O155" s="28">
        <v>22818857.190000001</v>
      </c>
      <c r="P155" s="4">
        <f t="shared" ref="P155:P163" si="44">(C155+2*SUM(D155:N155)+O155)/24</f>
        <v>24653311.361249998</v>
      </c>
      <c r="Q155" s="4">
        <f t="shared" ref="Q155:Q164" si="45">AVERAGE(D155:O155)</f>
        <v>24445348.467499997</v>
      </c>
      <c r="R155" s="8">
        <f>+Q155/P155-1</f>
        <v>-8.4354953662280074E-3</v>
      </c>
      <c r="V155" s="4">
        <f>-P155</f>
        <v>-24653311.361249998</v>
      </c>
      <c r="W155" s="4"/>
      <c r="X155" s="5">
        <f>+[4]Report!$K$2669</f>
        <v>15641.902326607649</v>
      </c>
      <c r="Y155" s="5">
        <f>+[4]Report!$J$2669</f>
        <v>-24686014.456909936</v>
      </c>
      <c r="Z155" s="5">
        <f>-P155-X155-Y155</f>
        <v>17061.193333331496</v>
      </c>
      <c r="AA155" s="5">
        <f>+Z155+X155+Y155</f>
        <v>-24653311.361249998</v>
      </c>
      <c r="AB155" s="5"/>
    </row>
    <row r="156" spans="1:28" s="3" customFormat="1">
      <c r="A156" s="3">
        <f t="shared" si="38"/>
        <v>153</v>
      </c>
      <c r="B156" s="17" t="s">
        <v>19</v>
      </c>
      <c r="C156" s="28">
        <v>39979696</v>
      </c>
      <c r="D156" s="28">
        <v>39979696</v>
      </c>
      <c r="E156" s="28">
        <v>39979696</v>
      </c>
      <c r="F156" s="28">
        <v>38994830</v>
      </c>
      <c r="G156" s="28">
        <v>38994830</v>
      </c>
      <c r="H156" s="28">
        <v>38994830</v>
      </c>
      <c r="I156" s="28">
        <v>38010268</v>
      </c>
      <c r="J156" s="28">
        <v>38010268</v>
      </c>
      <c r="K156" s="28">
        <v>38010268</v>
      </c>
      <c r="L156" s="28">
        <v>36937789</v>
      </c>
      <c r="M156" s="28">
        <v>36937789</v>
      </c>
      <c r="N156" s="28">
        <v>36937789</v>
      </c>
      <c r="O156" s="28">
        <v>36068837</v>
      </c>
      <c r="P156" s="4">
        <f t="shared" si="44"/>
        <v>38317693.291666664</v>
      </c>
      <c r="Q156" s="4">
        <f t="shared" si="45"/>
        <v>38154740.833333336</v>
      </c>
      <c r="R156" s="8">
        <f>+Q156/P156-1</f>
        <v>-4.2526687891404347E-3</v>
      </c>
      <c r="V156" s="4">
        <f>-P156</f>
        <v>-38317693.291666664</v>
      </c>
      <c r="W156" s="4"/>
      <c r="X156" s="5">
        <f>+[4]Report!$K$2757</f>
        <v>-546502.70866400003</v>
      </c>
      <c r="Y156" s="5">
        <f>+[4]Report!$J$2757</f>
        <v>-3634189.791336</v>
      </c>
      <c r="Z156" s="5">
        <f>-P156-X156-Y156</f>
        <v>-34137000.791666664</v>
      </c>
      <c r="AA156" s="5">
        <f>+Z156+X156+Y156</f>
        <v>-38317693.291666664</v>
      </c>
      <c r="AB156" s="5"/>
    </row>
    <row r="157" spans="1:28" s="3" customFormat="1">
      <c r="A157" s="3">
        <f t="shared" si="38"/>
        <v>154</v>
      </c>
      <c r="B157" s="17" t="s">
        <v>18</v>
      </c>
      <c r="C157" s="28">
        <v>0</v>
      </c>
      <c r="D157" s="28">
        <v>0</v>
      </c>
      <c r="E157" s="28">
        <v>0</v>
      </c>
      <c r="F157" s="28">
        <v>0</v>
      </c>
      <c r="G157" s="28">
        <v>0</v>
      </c>
      <c r="H157" s="28">
        <v>0</v>
      </c>
      <c r="I157" s="28">
        <v>0</v>
      </c>
      <c r="J157" s="28">
        <v>0</v>
      </c>
      <c r="K157" s="28">
        <v>0</v>
      </c>
      <c r="L157" s="28">
        <v>0</v>
      </c>
      <c r="M157" s="28">
        <v>0</v>
      </c>
      <c r="N157" s="28">
        <v>0</v>
      </c>
      <c r="O157" s="28">
        <v>0</v>
      </c>
      <c r="P157" s="4">
        <f t="shared" si="44"/>
        <v>0</v>
      </c>
      <c r="Q157" s="4">
        <f t="shared" si="45"/>
        <v>0</v>
      </c>
      <c r="R157" s="8"/>
      <c r="V157" s="4">
        <f>-P157</f>
        <v>0</v>
      </c>
      <c r="W157" s="4"/>
      <c r="X157" s="5"/>
      <c r="Y157" s="5"/>
      <c r="Z157" s="5"/>
      <c r="AA157" s="5">
        <f>+Z157+X157+Y157</f>
        <v>0</v>
      </c>
      <c r="AB157" s="5"/>
    </row>
    <row r="158" spans="1:28" s="3" customFormat="1">
      <c r="A158" s="3">
        <f t="shared" si="38"/>
        <v>155</v>
      </c>
      <c r="B158" s="17" t="s">
        <v>17</v>
      </c>
      <c r="C158" s="48">
        <f>72664189.67-5006303</f>
        <v>67657886.670000002</v>
      </c>
      <c r="D158" s="28">
        <v>74774765.400000006</v>
      </c>
      <c r="E158" s="28">
        <v>72847484.069999993</v>
      </c>
      <c r="F158" s="48">
        <f>71994378.32-5006303</f>
        <v>66988075.319999993</v>
      </c>
      <c r="G158" s="28">
        <v>72885966.489999995</v>
      </c>
      <c r="H158" s="28">
        <v>71837293.650000006</v>
      </c>
      <c r="I158" s="28">
        <v>220954062.56999999</v>
      </c>
      <c r="J158" s="28">
        <v>220206361.68000001</v>
      </c>
      <c r="K158" s="28">
        <v>226114133.40000001</v>
      </c>
      <c r="L158" s="28">
        <v>234018261.81999999</v>
      </c>
      <c r="M158" s="28">
        <v>232765734.09</v>
      </c>
      <c r="N158" s="28">
        <v>231762825.25</v>
      </c>
      <c r="O158" s="28">
        <v>250531478.09</v>
      </c>
      <c r="P158" s="4">
        <f t="shared" si="44"/>
        <v>157020803.84333333</v>
      </c>
      <c r="Q158" s="4">
        <f t="shared" si="45"/>
        <v>164640536.81916666</v>
      </c>
      <c r="R158" s="8">
        <f>+Q158/P158-1</f>
        <v>4.8526900826694641E-2</v>
      </c>
      <c r="V158" s="4">
        <f>-P158</f>
        <v>-157020803.84333333</v>
      </c>
      <c r="W158" s="4"/>
      <c r="X158" s="5">
        <f>+[4]Report!$K$2600+[4]Report!$K$2601+[4]Report!$K$2602+[4]Report!$K$2603+[4]Report!$K$2673+[4]Report!$K$2685</f>
        <v>-1162664.7540042615</v>
      </c>
      <c r="Y158" s="5">
        <f>+[4]Report!$J$2600+[4]Report!$J$2601+[4]Report!$J$2602+[4]Report!$J$2603+[4]Report!$J$2673+[4]Report!$J$2685</f>
        <v>-18760144.037662402</v>
      </c>
      <c r="Z158" s="5">
        <f>-P158-X158-Y158</f>
        <v>-137097995.05166668</v>
      </c>
      <c r="AA158" s="5">
        <f>+Z158+X158+Y158</f>
        <v>-157020803.84333336</v>
      </c>
      <c r="AB158" s="5"/>
    </row>
    <row r="159" spans="1:28" s="3" customFormat="1">
      <c r="A159" s="3">
        <f t="shared" si="38"/>
        <v>156</v>
      </c>
      <c r="B159" s="17" t="s">
        <v>16</v>
      </c>
      <c r="C159" s="28">
        <v>65701126.619999997</v>
      </c>
      <c r="D159" s="28">
        <v>108751573.45</v>
      </c>
      <c r="E159" s="28">
        <v>106841696.05</v>
      </c>
      <c r="F159" s="28">
        <v>113687503.95</v>
      </c>
      <c r="G159" s="28">
        <v>113609585.25</v>
      </c>
      <c r="H159" s="28">
        <v>109967135.13</v>
      </c>
      <c r="I159" s="28">
        <v>111258518.58</v>
      </c>
      <c r="J159" s="28">
        <v>108772531.28</v>
      </c>
      <c r="K159" s="28">
        <v>109497473.36</v>
      </c>
      <c r="L159" s="28">
        <v>104231679.76000001</v>
      </c>
      <c r="M159" s="28">
        <v>102056008.28</v>
      </c>
      <c r="N159" s="28">
        <v>99070840</v>
      </c>
      <c r="O159" s="28">
        <v>95416723.430000007</v>
      </c>
      <c r="P159" s="4">
        <f t="shared" si="44"/>
        <v>105691955.84291665</v>
      </c>
      <c r="Q159" s="4">
        <f t="shared" si="45"/>
        <v>106930105.70999999</v>
      </c>
      <c r="R159" s="8">
        <f>+Q159/P159-1</f>
        <v>1.1714702951694189E-2</v>
      </c>
      <c r="V159" s="4">
        <f>-P159</f>
        <v>-105691955.84291665</v>
      </c>
      <c r="W159" s="4"/>
      <c r="X159" s="5">
        <f>+[4]Report!$K$2608+[4]Report!$K$2609+[4]Report!$K$2610+[4]Report!$K$2611+[4]Report!$K$2647+[4]Report!$K$2657+[4]Report!$K$2658+[4]Report!$K$2659+[4]Report!$K$2660</f>
        <v>-758778.88105654984</v>
      </c>
      <c r="Y159" s="5">
        <f>+[4]Report!$J$2608+[4]Report!$J$2609+[4]Report!$J$2610+[4]Report!$J$2611+[4]Report!$J$2647+[4]Report!$J$2657+[4]Report!$J$2658+[4]Report!$J$2659+[4]Report!$J$2660</f>
        <v>-46007483.901026793</v>
      </c>
      <c r="Z159" s="5">
        <f>-P159-X159-Y159</f>
        <v>-58925693.060833313</v>
      </c>
      <c r="AA159" s="5">
        <f>+Z159+X159+Y159</f>
        <v>-105691955.84291665</v>
      </c>
      <c r="AB159" s="5"/>
    </row>
    <row r="160" spans="1:28" s="3" customFormat="1">
      <c r="A160" s="3">
        <f t="shared" si="38"/>
        <v>157</v>
      </c>
      <c r="B160" s="17" t="s">
        <v>15</v>
      </c>
      <c r="C160" s="28">
        <v>0</v>
      </c>
      <c r="D160" s="28">
        <v>0</v>
      </c>
      <c r="E160" s="28">
        <v>0</v>
      </c>
      <c r="F160" s="28">
        <v>0</v>
      </c>
      <c r="G160" s="28">
        <v>0</v>
      </c>
      <c r="H160" s="28">
        <v>0</v>
      </c>
      <c r="I160" s="28">
        <v>0</v>
      </c>
      <c r="J160" s="28">
        <v>0</v>
      </c>
      <c r="K160" s="28">
        <v>0</v>
      </c>
      <c r="L160" s="28">
        <v>0</v>
      </c>
      <c r="M160" s="28">
        <v>0</v>
      </c>
      <c r="N160" s="28">
        <v>0</v>
      </c>
      <c r="O160" s="28">
        <v>0</v>
      </c>
      <c r="P160" s="4">
        <f t="shared" si="44"/>
        <v>0</v>
      </c>
      <c r="Q160" s="4">
        <f t="shared" si="45"/>
        <v>0</v>
      </c>
      <c r="R160" s="8"/>
      <c r="W160" s="4">
        <f>+P160</f>
        <v>0</v>
      </c>
      <c r="X160" s="5"/>
      <c r="Y160" s="5"/>
      <c r="Z160" s="5"/>
      <c r="AA160" s="5"/>
      <c r="AB160" s="5"/>
    </row>
    <row r="161" spans="1:28" s="3" customFormat="1">
      <c r="A161" s="3">
        <f t="shared" si="38"/>
        <v>158</v>
      </c>
      <c r="B161" s="17" t="s">
        <v>14</v>
      </c>
      <c r="C161" s="28">
        <v>121387549</v>
      </c>
      <c r="D161" s="28">
        <v>121387549</v>
      </c>
      <c r="E161" s="28">
        <v>121387549</v>
      </c>
      <c r="F161" s="28">
        <v>124263793</v>
      </c>
      <c r="G161" s="28">
        <v>124263793</v>
      </c>
      <c r="H161" s="28">
        <v>124263793</v>
      </c>
      <c r="I161" s="28">
        <v>164676925</v>
      </c>
      <c r="J161" s="28">
        <v>164676925</v>
      </c>
      <c r="K161" s="28">
        <v>164676925</v>
      </c>
      <c r="L161" s="28">
        <v>176915013</v>
      </c>
      <c r="M161" s="28">
        <v>176915013</v>
      </c>
      <c r="N161" s="28">
        <v>176915013</v>
      </c>
      <c r="O161" s="28">
        <v>178288826</v>
      </c>
      <c r="P161" s="4">
        <f t="shared" si="44"/>
        <v>149181706.54166666</v>
      </c>
      <c r="Q161" s="4">
        <f t="shared" si="45"/>
        <v>151552593.08333334</v>
      </c>
      <c r="R161" s="8"/>
      <c r="V161" s="4">
        <f>-P161</f>
        <v>-149181706.54166666</v>
      </c>
      <c r="W161" s="4"/>
      <c r="X161" s="5">
        <f>+[4]Report!$K$2712</f>
        <v>-11999275.622084361</v>
      </c>
      <c r="Y161" s="5">
        <f>+[4]Report!$J$2712</f>
        <v>-137182430.91958165</v>
      </c>
      <c r="Z161" s="5">
        <f>-P161-X161-Y161</f>
        <v>-6.5565109252929688E-7</v>
      </c>
      <c r="AA161" s="5">
        <f>+Z161+X161+Y161</f>
        <v>-149181706.54166666</v>
      </c>
      <c r="AB161" s="5"/>
    </row>
    <row r="162" spans="1:28" s="3" customFormat="1">
      <c r="A162" s="3">
        <f t="shared" si="38"/>
        <v>159</v>
      </c>
      <c r="B162" s="17" t="s">
        <v>13</v>
      </c>
      <c r="C162" s="28">
        <v>3320044435</v>
      </c>
      <c r="D162" s="28">
        <v>3320044435</v>
      </c>
      <c r="E162" s="28">
        <v>3320044435</v>
      </c>
      <c r="F162" s="28">
        <v>3459215369</v>
      </c>
      <c r="G162" s="28">
        <v>3459215369</v>
      </c>
      <c r="H162" s="28">
        <v>3459215369</v>
      </c>
      <c r="I162" s="28">
        <v>3505053651</v>
      </c>
      <c r="J162" s="28">
        <v>3505053651</v>
      </c>
      <c r="K162" s="28">
        <v>3505053651</v>
      </c>
      <c r="L162" s="28">
        <v>3569466508</v>
      </c>
      <c r="M162" s="28">
        <v>3569466508</v>
      </c>
      <c r="N162" s="28">
        <v>3569466508</v>
      </c>
      <c r="O162" s="28">
        <v>3656020881</v>
      </c>
      <c r="P162" s="21">
        <f t="shared" si="44"/>
        <v>3477444009.3333335</v>
      </c>
      <c r="Q162" s="4">
        <f t="shared" si="45"/>
        <v>3491443027.9166665</v>
      </c>
      <c r="R162" s="8">
        <f>+Q162/P162-1</f>
        <v>4.0256632589223962E-3</v>
      </c>
      <c r="V162" s="4">
        <f>-P162</f>
        <v>-3477444009.3333335</v>
      </c>
      <c r="W162" s="4"/>
      <c r="X162" s="5">
        <f>+[4]Report!$K$2727</f>
        <v>-195201077.47738743</v>
      </c>
      <c r="Y162" s="5">
        <f>+[4]Report!$J$2727</f>
        <v>-2977434322.3142791</v>
      </c>
      <c r="Z162" s="5">
        <f>-P162-X162-Y162</f>
        <v>-304808609.54166698</v>
      </c>
      <c r="AA162" s="5">
        <f>+Z162+X162+Y162</f>
        <v>-3477444009.3333335</v>
      </c>
      <c r="AB162" s="5"/>
    </row>
    <row r="163" spans="1:28" s="3" customFormat="1">
      <c r="A163" s="3">
        <f t="shared" si="38"/>
        <v>160</v>
      </c>
      <c r="B163" s="17" t="s">
        <v>12</v>
      </c>
      <c r="C163" s="28">
        <v>676562701.94000006</v>
      </c>
      <c r="D163" s="28">
        <v>676562701.94000006</v>
      </c>
      <c r="E163" s="28">
        <v>676562701.94000006</v>
      </c>
      <c r="F163" s="28">
        <v>676503404.94000006</v>
      </c>
      <c r="G163" s="28">
        <v>676503404.94000006</v>
      </c>
      <c r="H163" s="28">
        <v>676503404.94000006</v>
      </c>
      <c r="I163" s="28">
        <v>746721739.78999996</v>
      </c>
      <c r="J163" s="28">
        <v>746721739.78999996</v>
      </c>
      <c r="K163" s="28">
        <v>746721739.78999996</v>
      </c>
      <c r="L163" s="28">
        <v>753949565.78999996</v>
      </c>
      <c r="M163" s="28">
        <v>753949565.78999996</v>
      </c>
      <c r="N163" s="28">
        <v>753949565.78999996</v>
      </c>
      <c r="O163" s="28">
        <v>728380439.78999996</v>
      </c>
      <c r="P163" s="4">
        <f t="shared" si="44"/>
        <v>715593425.52541673</v>
      </c>
      <c r="Q163" s="4">
        <f t="shared" si="45"/>
        <v>717752497.93583333</v>
      </c>
      <c r="R163" s="8">
        <f>+Q163/P163-1</f>
        <v>3.0171775388116995E-3</v>
      </c>
      <c r="V163" s="4">
        <f>-P163</f>
        <v>-715593425.52541673</v>
      </c>
      <c r="W163" s="4"/>
      <c r="X163" s="5">
        <f>+[4]Report!$K$2745</f>
        <v>-7603672.7816935303</v>
      </c>
      <c r="Y163" s="5">
        <f>+[4]Report!$J$2745</f>
        <v>-95547325.74372305</v>
      </c>
      <c r="Z163" s="5">
        <f>-P163-X163-Y163</f>
        <v>-612442427.00000012</v>
      </c>
      <c r="AA163" s="5">
        <f>+Z163+X163+Y163</f>
        <v>-715593425.52541673</v>
      </c>
      <c r="AB163" s="5"/>
    </row>
    <row r="164" spans="1:28" s="3" customFormat="1">
      <c r="A164" s="3">
        <f t="shared" si="38"/>
        <v>161</v>
      </c>
      <c r="B164" s="17" t="s">
        <v>11</v>
      </c>
      <c r="C164" s="28">
        <f t="shared" ref="C164:O164" si="46">SUM(C155:C163)</f>
        <v>4319143361.8699999</v>
      </c>
      <c r="D164" s="28">
        <f t="shared" si="46"/>
        <v>4369459453.8899994</v>
      </c>
      <c r="E164" s="28">
        <f t="shared" si="46"/>
        <v>4364179265.9400005</v>
      </c>
      <c r="F164" s="28">
        <f t="shared" si="46"/>
        <v>4506703650.8699999</v>
      </c>
      <c r="G164" s="28">
        <f t="shared" si="46"/>
        <v>4511397577.2399998</v>
      </c>
      <c r="H164" s="28">
        <f t="shared" si="46"/>
        <v>4506969097.5100002</v>
      </c>
      <c r="I164" s="28">
        <f t="shared" si="46"/>
        <v>4812367323.1800003</v>
      </c>
      <c r="J164" s="28">
        <f t="shared" si="46"/>
        <v>4808843776.4799995</v>
      </c>
      <c r="K164" s="28">
        <f t="shared" si="46"/>
        <v>4810260929.71</v>
      </c>
      <c r="L164" s="28">
        <f t="shared" si="46"/>
        <v>4896374756.9499998</v>
      </c>
      <c r="M164" s="28">
        <f t="shared" si="46"/>
        <v>4894602790.6999998</v>
      </c>
      <c r="N164" s="28">
        <f t="shared" si="46"/>
        <v>4890341544.2200003</v>
      </c>
      <c r="O164" s="28">
        <f t="shared" si="46"/>
        <v>4967526042.5</v>
      </c>
      <c r="P164" s="29">
        <f>SUBTOTAL(9,P155:P163)</f>
        <v>4667902905.739583</v>
      </c>
      <c r="Q164" s="4">
        <f t="shared" si="45"/>
        <v>4694918850.7658339</v>
      </c>
      <c r="R164" s="8">
        <f>+Q164/P164-1</f>
        <v>5.7875978939134765E-3</v>
      </c>
      <c r="V164" s="29">
        <f>SUBTOTAL(9,V155:V163)</f>
        <v>-4667902905.739583</v>
      </c>
      <c r="W164" s="4"/>
      <c r="X164" s="5"/>
      <c r="Y164" s="5"/>
      <c r="Z164" s="5"/>
      <c r="AA164" s="5"/>
      <c r="AB164" s="5"/>
    </row>
    <row r="165" spans="1:28" s="3" customFormat="1">
      <c r="A165" s="3">
        <f t="shared" si="38"/>
        <v>162</v>
      </c>
      <c r="B165" s="17"/>
      <c r="C165" s="28"/>
      <c r="D165" s="28"/>
      <c r="E165" s="28"/>
      <c r="F165" s="28"/>
      <c r="G165" s="28"/>
      <c r="H165" s="28"/>
      <c r="I165" s="28"/>
      <c r="J165" s="28"/>
      <c r="K165" s="28"/>
      <c r="L165" s="28"/>
      <c r="M165" s="28"/>
      <c r="N165" s="28"/>
      <c r="O165" s="28"/>
      <c r="P165" s="27"/>
      <c r="Q165" s="4"/>
      <c r="R165" s="8"/>
      <c r="V165" s="27"/>
      <c r="W165" s="4"/>
      <c r="X165" s="5"/>
      <c r="Y165" s="5"/>
      <c r="Z165" s="5"/>
      <c r="AA165" s="5"/>
      <c r="AB165" s="5"/>
    </row>
    <row r="166" spans="1:28" s="3" customFormat="1" ht="16.5" thickBot="1">
      <c r="A166" s="3">
        <f t="shared" si="38"/>
        <v>163</v>
      </c>
      <c r="B166" s="18" t="s">
        <v>10</v>
      </c>
      <c r="C166" s="26">
        <f>SUM(C164,C152,C132,C120,C111)</f>
        <v>19953307084.610001</v>
      </c>
      <c r="D166" s="26">
        <f t="shared" ref="D166:O166" si="47">SUM(D164,D152,D132,D120,D111)</f>
        <v>20089297245.969997</v>
      </c>
      <c r="E166" s="26">
        <f t="shared" si="47"/>
        <v>20108942520.93</v>
      </c>
      <c r="F166" s="26">
        <f t="shared" si="47"/>
        <v>20235602915.329998</v>
      </c>
      <c r="G166" s="26">
        <f t="shared" si="47"/>
        <v>20277073053.540001</v>
      </c>
      <c r="H166" s="26">
        <f t="shared" si="47"/>
        <v>20323662057.610001</v>
      </c>
      <c r="I166" s="26">
        <f t="shared" si="47"/>
        <v>20818161762.669998</v>
      </c>
      <c r="J166" s="26">
        <f t="shared" si="47"/>
        <v>20859021609.669998</v>
      </c>
      <c r="K166" s="26">
        <f t="shared" si="47"/>
        <v>20854899034.559998</v>
      </c>
      <c r="L166" s="26">
        <f t="shared" si="47"/>
        <v>21005250463.389999</v>
      </c>
      <c r="M166" s="26">
        <f t="shared" si="47"/>
        <v>20965882945.720001</v>
      </c>
      <c r="N166" s="26">
        <f t="shared" si="47"/>
        <v>21008000084.279999</v>
      </c>
      <c r="O166" s="26">
        <f t="shared" si="47"/>
        <v>21141063731.309998</v>
      </c>
      <c r="P166" s="24">
        <f>SUBTOTAL(9,P95:P164)</f>
        <v>20591081591.802498</v>
      </c>
      <c r="Q166" s="25">
        <f>AVERAGE(D166:O166)</f>
        <v>20640571452.081665</v>
      </c>
      <c r="R166" s="9">
        <f>+Q166/P166-1</f>
        <v>2.4034609381018424E-3</v>
      </c>
      <c r="S166" s="20"/>
      <c r="T166" s="24">
        <f t="shared" ref="T166:Z166" si="48">SUBTOTAL(9,T95:T164)</f>
        <v>0</v>
      </c>
      <c r="U166" s="24">
        <f t="shared" si="48"/>
        <v>1076103153.925</v>
      </c>
      <c r="V166" s="24">
        <f t="shared" si="48"/>
        <v>-5379670137.5299997</v>
      </c>
      <c r="W166" s="24">
        <f t="shared" si="48"/>
        <v>14135308300.347498</v>
      </c>
      <c r="X166" s="23" t="e">
        <f t="shared" si="48"/>
        <v>#REF!</v>
      </c>
      <c r="Y166" s="23">
        <f t="shared" si="48"/>
        <v>-3353976431.0201998</v>
      </c>
      <c r="Z166" s="23" t="e">
        <f t="shared" si="48"/>
        <v>#REF!</v>
      </c>
      <c r="AA166" s="5"/>
      <c r="AB166" s="5"/>
    </row>
    <row r="167" spans="1:28" s="3" customFormat="1">
      <c r="A167" s="3">
        <f t="shared" si="38"/>
        <v>164</v>
      </c>
      <c r="B167" s="22" t="s">
        <v>9</v>
      </c>
      <c r="C167" s="16" t="s">
        <v>201</v>
      </c>
      <c r="D167" s="16" t="s">
        <v>201</v>
      </c>
      <c r="E167" s="16" t="s">
        <v>201</v>
      </c>
      <c r="F167" s="16" t="s">
        <v>201</v>
      </c>
      <c r="G167" s="16" t="s">
        <v>201</v>
      </c>
      <c r="H167" s="16" t="s">
        <v>201</v>
      </c>
      <c r="I167" s="16" t="s">
        <v>201</v>
      </c>
      <c r="J167" s="16" t="s">
        <v>201</v>
      </c>
      <c r="K167" s="16" t="s">
        <v>201</v>
      </c>
      <c r="L167" s="16" t="s">
        <v>201</v>
      </c>
      <c r="M167" s="16" t="s">
        <v>201</v>
      </c>
      <c r="N167" s="16" t="s">
        <v>201</v>
      </c>
      <c r="O167" s="16" t="s">
        <v>201</v>
      </c>
      <c r="P167" s="11">
        <f>+W166+U166-V166-T166</f>
        <v>20591081591.802498</v>
      </c>
      <c r="Q167" s="21">
        <f>+Q90-Q166</f>
        <v>0</v>
      </c>
      <c r="R167" s="20"/>
      <c r="S167" s="20"/>
      <c r="T167" s="20"/>
      <c r="U167" s="20"/>
      <c r="V167" s="20"/>
      <c r="W167" s="20"/>
      <c r="X167" s="5"/>
      <c r="Y167" s="5"/>
      <c r="Z167" s="5"/>
      <c r="AA167" s="5"/>
      <c r="AB167" s="5"/>
    </row>
    <row r="168" spans="1:28" s="3" customFormat="1">
      <c r="A168" s="3">
        <f t="shared" si="38"/>
        <v>165</v>
      </c>
      <c r="B168" s="19" t="s">
        <v>8</v>
      </c>
      <c r="C168" s="16">
        <f>C90-C166</f>
        <v>0</v>
      </c>
      <c r="D168" s="16">
        <f t="shared" ref="D168:O168" si="49">D90-D166</f>
        <v>0</v>
      </c>
      <c r="E168" s="16">
        <f t="shared" si="49"/>
        <v>0</v>
      </c>
      <c r="F168" s="16">
        <f t="shared" si="49"/>
        <v>0</v>
      </c>
      <c r="G168" s="16">
        <f t="shared" si="49"/>
        <v>0</v>
      </c>
      <c r="H168" s="16">
        <f t="shared" si="49"/>
        <v>0</v>
      </c>
      <c r="I168" s="16">
        <f t="shared" si="49"/>
        <v>0</v>
      </c>
      <c r="J168" s="16">
        <f t="shared" si="49"/>
        <v>0</v>
      </c>
      <c r="K168" s="16">
        <f t="shared" si="49"/>
        <v>0</v>
      </c>
      <c r="L168" s="16">
        <f t="shared" si="49"/>
        <v>0</v>
      </c>
      <c r="M168" s="16">
        <f t="shared" si="49"/>
        <v>0</v>
      </c>
      <c r="N168" s="16">
        <f t="shared" si="49"/>
        <v>0</v>
      </c>
      <c r="O168" s="16">
        <f t="shared" si="49"/>
        <v>0</v>
      </c>
      <c r="P168" s="4">
        <f>-P167+P91</f>
        <v>0</v>
      </c>
      <c r="Q168" s="4"/>
      <c r="X168" s="5"/>
      <c r="Y168" s="5"/>
      <c r="Z168" s="5"/>
      <c r="AA168" s="5"/>
      <c r="AB168" s="5"/>
    </row>
    <row r="169" spans="1:28" s="3" customFormat="1">
      <c r="A169" s="3">
        <f t="shared" si="38"/>
        <v>166</v>
      </c>
      <c r="B169" s="18"/>
      <c r="C169" s="16"/>
      <c r="D169" s="16"/>
      <c r="E169" s="16"/>
      <c r="F169" s="16"/>
      <c r="G169" s="16"/>
      <c r="H169" s="16"/>
      <c r="I169" s="16"/>
      <c r="J169" s="16"/>
      <c r="K169" s="16"/>
      <c r="L169" s="16"/>
      <c r="M169" s="16"/>
      <c r="N169" s="16"/>
      <c r="O169" s="16"/>
      <c r="P169" s="4"/>
      <c r="Q169" s="4"/>
      <c r="X169" s="5"/>
      <c r="Y169" s="5"/>
      <c r="Z169" s="5"/>
      <c r="AA169" s="5"/>
      <c r="AB169" s="5"/>
    </row>
    <row r="170" spans="1:28" s="3" customFormat="1">
      <c r="A170" s="3">
        <f t="shared" si="38"/>
        <v>167</v>
      </c>
      <c r="B170" s="17" t="s">
        <v>7</v>
      </c>
      <c r="C170" s="16"/>
      <c r="D170" s="16"/>
      <c r="E170" s="16"/>
      <c r="F170" s="16"/>
      <c r="G170" s="16"/>
      <c r="H170" s="16"/>
      <c r="I170" s="16"/>
      <c r="J170" s="16"/>
      <c r="K170" s="16"/>
      <c r="L170" s="16"/>
      <c r="M170" s="16"/>
      <c r="N170" s="16"/>
      <c r="O170" s="16"/>
      <c r="P170" s="15"/>
      <c r="Q170" s="4"/>
      <c r="T170" s="5">
        <f>SUBTOTAL(9,T4:T166)</f>
        <v>1201736070.928472</v>
      </c>
      <c r="U170" s="5">
        <f>SUBTOTAL(9,U4:U166)</f>
        <v>1076103153.925</v>
      </c>
      <c r="AB170" s="5"/>
    </row>
    <row r="171" spans="1:28" s="3" customFormat="1">
      <c r="A171" s="3">
        <f t="shared" si="38"/>
        <v>168</v>
      </c>
      <c r="P171" s="15"/>
      <c r="T171" s="14">
        <f>+T170-U170</f>
        <v>125632917.00347209</v>
      </c>
      <c r="AB171" s="5"/>
    </row>
    <row r="172" spans="1:28" s="3" customFormat="1">
      <c r="A172" s="3">
        <f t="shared" si="38"/>
        <v>169</v>
      </c>
      <c r="B172" s="12" t="s">
        <v>6</v>
      </c>
      <c r="T172" s="5"/>
      <c r="V172" s="13">
        <f>SUBTOTAL(9,V4:V166)</f>
        <v>13964189728.145678</v>
      </c>
      <c r="W172" s="13">
        <f>SUBTOTAL(9,W4:W166)</f>
        <v>14089822645.149166</v>
      </c>
      <c r="X172" s="5" t="e">
        <f>SUBTOTAL(9,X4:X166)</f>
        <v>#REF!</v>
      </c>
      <c r="Y172" s="5">
        <f>SUBTOTAL(9,Y4:Y166)</f>
        <v>11385291216.386621</v>
      </c>
      <c r="Z172" s="5" t="e">
        <f>SUBTOTAL(9,Z4:Z166)</f>
        <v>#REF!</v>
      </c>
      <c r="AA172" s="5" t="e">
        <f>+Z172+Y172+X172</f>
        <v>#REF!</v>
      </c>
      <c r="AB172" s="5"/>
    </row>
    <row r="173" spans="1:28" s="3" customFormat="1">
      <c r="A173" s="3">
        <f t="shared" si="38"/>
        <v>170</v>
      </c>
      <c r="B173" s="12" t="s">
        <v>5</v>
      </c>
      <c r="T173" s="5"/>
      <c r="V173" s="5"/>
      <c r="W173" s="11">
        <f>+W172-V172</f>
        <v>125632917.00348854</v>
      </c>
      <c r="X173" s="5"/>
      <c r="Y173" s="5"/>
      <c r="Z173" s="5"/>
      <c r="AA173" s="5"/>
      <c r="AB173" s="5"/>
    </row>
    <row r="174" spans="1:28" s="3" customFormat="1">
      <c r="A174" s="3">
        <f t="shared" si="38"/>
        <v>171</v>
      </c>
      <c r="B174" s="3" t="s">
        <v>4</v>
      </c>
      <c r="V174" s="22" t="s">
        <v>230</v>
      </c>
      <c r="W174" s="10"/>
      <c r="X174" s="9" t="e">
        <f>+X172/$AA$172</f>
        <v>#REF!</v>
      </c>
      <c r="Y174" s="8" t="e">
        <f>+Y172/$AA$172</f>
        <v>#REF!</v>
      </c>
      <c r="Z174" s="8" t="e">
        <f>+Z172/$AA$172</f>
        <v>#REF!</v>
      </c>
      <c r="AA174" s="5"/>
      <c r="AB174" s="5"/>
    </row>
    <row r="175" spans="1:28" s="3" customFormat="1">
      <c r="A175" s="3">
        <f t="shared" si="38"/>
        <v>172</v>
      </c>
      <c r="B175" s="3" t="s">
        <v>3</v>
      </c>
      <c r="V175" s="35" t="s">
        <v>2</v>
      </c>
      <c r="X175" s="7" t="e">
        <f>+W173*X174</f>
        <v>#REF!</v>
      </c>
      <c r="Y175" s="5" t="e">
        <f>+Y174*W173</f>
        <v>#REF!</v>
      </c>
      <c r="Z175" s="5" t="e">
        <f>+Z174*W173</f>
        <v>#REF!</v>
      </c>
      <c r="AA175" s="5" t="e">
        <f>+Z175+Y175+X175</f>
        <v>#REF!</v>
      </c>
      <c r="AB175" s="5"/>
    </row>
    <row r="176" spans="1:28" s="3" customFormat="1">
      <c r="A176" s="3">
        <f t="shared" si="38"/>
        <v>173</v>
      </c>
      <c r="AB176" s="5"/>
    </row>
    <row r="177" spans="1:28" s="3" customFormat="1">
      <c r="A177" s="3">
        <f t="shared" si="38"/>
        <v>174</v>
      </c>
      <c r="W177" s="3" t="s">
        <v>1</v>
      </c>
      <c r="X177" s="5" t="e">
        <f>+X172</f>
        <v>#REF!</v>
      </c>
      <c r="Y177" s="5">
        <f>+Y172</f>
        <v>11385291216.386621</v>
      </c>
      <c r="Z177" s="5" t="e">
        <f>+Z172</f>
        <v>#REF!</v>
      </c>
      <c r="AA177" s="5" t="e">
        <f>SUM(X177:Z177)</f>
        <v>#REF!</v>
      </c>
      <c r="AB177" s="5"/>
    </row>
    <row r="178" spans="1:28" s="3" customFormat="1">
      <c r="A178" s="3">
        <f t="shared" si="38"/>
        <v>175</v>
      </c>
      <c r="B178" s="1"/>
      <c r="C178" s="1"/>
      <c r="D178" s="1"/>
      <c r="E178" s="1"/>
      <c r="F178" s="1"/>
      <c r="G178" s="1"/>
      <c r="H178" s="1"/>
      <c r="I178" s="1"/>
      <c r="J178" s="1"/>
      <c r="K178" s="1"/>
      <c r="L178" s="1"/>
      <c r="M178" s="1"/>
      <c r="N178" s="1"/>
      <c r="O178" s="1"/>
      <c r="P178" s="1"/>
      <c r="V178" s="1"/>
      <c r="W178" s="3" t="s">
        <v>231</v>
      </c>
      <c r="X178" s="5" t="e">
        <f>+X174*W172</f>
        <v>#REF!</v>
      </c>
      <c r="Y178" s="5" t="e">
        <f>+Y174*W172</f>
        <v>#REF!</v>
      </c>
      <c r="Z178" s="5" t="e">
        <f>+Z174*W172</f>
        <v>#REF!</v>
      </c>
      <c r="AA178" s="5" t="e">
        <f>SUM(X178:Z178)</f>
        <v>#REF!</v>
      </c>
      <c r="AB178" s="5"/>
    </row>
    <row r="179" spans="1:28" s="3" customFormat="1">
      <c r="A179" s="3">
        <f t="shared" si="38"/>
        <v>176</v>
      </c>
      <c r="B179" s="1"/>
      <c r="C179" s="1"/>
      <c r="D179" s="1"/>
      <c r="E179" s="1"/>
      <c r="F179" s="1"/>
      <c r="G179" s="1"/>
      <c r="H179" s="1"/>
      <c r="I179" s="1"/>
      <c r="J179" s="1"/>
      <c r="K179" s="1"/>
      <c r="L179" s="1"/>
      <c r="M179" s="1"/>
      <c r="N179" s="1"/>
      <c r="O179" s="1"/>
      <c r="P179" s="1"/>
      <c r="Q179" s="4" t="e">
        <f t="shared" ref="Q179:Q242" si="50">AVERAGE(D179:O179)</f>
        <v>#DIV/0!</v>
      </c>
      <c r="V179" s="1"/>
      <c r="W179" s="4" t="s">
        <v>0</v>
      </c>
      <c r="X179" s="5" t="e">
        <f>+X178-X177</f>
        <v>#REF!</v>
      </c>
      <c r="Y179" s="5" t="e">
        <f>+Y178-Y177</f>
        <v>#REF!</v>
      </c>
      <c r="Z179" s="5" t="e">
        <f>+Z178-Z177</f>
        <v>#REF!</v>
      </c>
      <c r="AA179" s="5" t="e">
        <f>SUM(X179:Z179)</f>
        <v>#REF!</v>
      </c>
      <c r="AB179" s="5"/>
    </row>
    <row r="180" spans="1:28" s="3" customFormat="1" ht="16.5" thickBot="1">
      <c r="B180" s="1"/>
      <c r="C180" s="1"/>
      <c r="D180" s="1"/>
      <c r="E180" s="1"/>
      <c r="F180" s="1"/>
      <c r="G180" s="1"/>
      <c r="H180" s="1"/>
      <c r="I180" s="1"/>
      <c r="J180" s="1"/>
      <c r="K180" s="1"/>
      <c r="L180" s="1"/>
      <c r="M180" s="1"/>
      <c r="N180" s="1"/>
      <c r="O180" s="1"/>
      <c r="P180" s="1"/>
      <c r="Q180" s="4" t="e">
        <f t="shared" si="50"/>
        <v>#DIV/0!</v>
      </c>
      <c r="AB180" s="5"/>
    </row>
    <row r="181" spans="1:28" s="3" customFormat="1" ht="16.5" thickBot="1">
      <c r="B181" s="1"/>
      <c r="C181" s="1"/>
      <c r="D181" s="1"/>
      <c r="E181" s="1"/>
      <c r="F181" s="1"/>
      <c r="G181" s="1"/>
      <c r="H181" s="1"/>
      <c r="I181" s="1"/>
      <c r="J181" s="1"/>
      <c r="K181" s="1"/>
      <c r="L181" s="1"/>
      <c r="M181" s="1"/>
      <c r="N181" s="1"/>
      <c r="O181" s="1"/>
      <c r="P181" s="1"/>
      <c r="Q181" s="4" t="e">
        <f t="shared" si="50"/>
        <v>#DIV/0!</v>
      </c>
      <c r="W181" s="91" t="s">
        <v>308</v>
      </c>
      <c r="X181" s="92" t="e">
        <f>+X179-'ISWC - As Approved'!X182</f>
        <v>#REF!</v>
      </c>
      <c r="AB181" s="5"/>
    </row>
    <row r="182" spans="1:28" s="3" customFormat="1">
      <c r="B182" s="1"/>
      <c r="C182" s="1"/>
      <c r="D182" s="1"/>
      <c r="E182" s="1"/>
      <c r="F182" s="1"/>
      <c r="G182" s="1"/>
      <c r="H182" s="1"/>
      <c r="I182" s="1"/>
      <c r="J182" s="1"/>
      <c r="K182" s="1"/>
      <c r="L182" s="1"/>
      <c r="M182" s="1"/>
      <c r="N182" s="1"/>
      <c r="O182" s="1"/>
      <c r="P182" s="1"/>
      <c r="Q182" s="4" t="e">
        <f t="shared" si="50"/>
        <v>#DIV/0!</v>
      </c>
      <c r="V182" s="1"/>
      <c r="W182" s="1"/>
      <c r="X182" s="1"/>
      <c r="Y182" s="5"/>
      <c r="Z182" s="5"/>
      <c r="AA182" s="5"/>
      <c r="AB182" s="5"/>
    </row>
    <row r="183" spans="1:28" s="3" customFormat="1">
      <c r="B183" s="1"/>
      <c r="C183" s="1"/>
      <c r="D183" s="1"/>
      <c r="E183" s="1"/>
      <c r="F183" s="1"/>
      <c r="G183" s="1"/>
      <c r="H183" s="1"/>
      <c r="I183" s="1"/>
      <c r="J183" s="1"/>
      <c r="K183" s="1"/>
      <c r="L183" s="1"/>
      <c r="M183" s="1"/>
      <c r="N183" s="1"/>
      <c r="O183" s="1"/>
      <c r="P183" s="1"/>
      <c r="Q183" s="4" t="e">
        <f t="shared" si="50"/>
        <v>#DIV/0!</v>
      </c>
      <c r="X183" s="5"/>
      <c r="Y183" s="5"/>
      <c r="Z183" s="5"/>
      <c r="AA183" s="5"/>
      <c r="AB183" s="5"/>
    </row>
    <row r="184" spans="1:28" s="3" customFormat="1">
      <c r="B184" s="1"/>
      <c r="C184" s="1"/>
      <c r="D184" s="1"/>
      <c r="E184" s="1"/>
      <c r="F184" s="1"/>
      <c r="G184" s="1"/>
      <c r="H184" s="1"/>
      <c r="I184" s="1"/>
      <c r="J184" s="1"/>
      <c r="K184" s="1"/>
      <c r="L184" s="1"/>
      <c r="M184" s="1"/>
      <c r="N184" s="1"/>
      <c r="O184" s="1"/>
      <c r="P184" s="1"/>
      <c r="Q184" s="4" t="e">
        <f t="shared" si="50"/>
        <v>#DIV/0!</v>
      </c>
      <c r="X184" s="5"/>
      <c r="Y184" s="5"/>
      <c r="Z184" s="5"/>
      <c r="AA184" s="5"/>
      <c r="AB184" s="5"/>
    </row>
    <row r="185" spans="1:28" s="3" customFormat="1">
      <c r="B185" s="1"/>
      <c r="C185" s="1"/>
      <c r="D185" s="1"/>
      <c r="E185" s="1"/>
      <c r="F185" s="1"/>
      <c r="G185" s="1"/>
      <c r="H185" s="1"/>
      <c r="I185" s="1"/>
      <c r="J185" s="1"/>
      <c r="K185" s="1"/>
      <c r="L185" s="1"/>
      <c r="M185" s="1"/>
      <c r="N185" s="1"/>
      <c r="O185" s="1"/>
      <c r="P185" s="1"/>
      <c r="Q185" s="4" t="e">
        <f t="shared" si="50"/>
        <v>#DIV/0!</v>
      </c>
      <c r="X185" s="5"/>
      <c r="Y185" s="5"/>
      <c r="Z185" s="5"/>
      <c r="AA185" s="5"/>
      <c r="AB185" s="5"/>
    </row>
    <row r="186" spans="1:28" s="3" customFormat="1">
      <c r="B186" s="1"/>
      <c r="C186" s="1"/>
      <c r="D186" s="1"/>
      <c r="E186" s="1"/>
      <c r="F186" s="1"/>
      <c r="G186" s="1"/>
      <c r="H186" s="1"/>
      <c r="I186" s="1"/>
      <c r="J186" s="1"/>
      <c r="K186" s="1"/>
      <c r="L186" s="1"/>
      <c r="M186" s="1"/>
      <c r="N186" s="1"/>
      <c r="O186" s="1"/>
      <c r="P186" s="1"/>
      <c r="Q186" s="4" t="e">
        <f t="shared" si="50"/>
        <v>#DIV/0!</v>
      </c>
      <c r="AB186" s="5"/>
    </row>
    <row r="187" spans="1:28" s="3" customFormat="1">
      <c r="B187" s="1"/>
      <c r="C187" s="1"/>
      <c r="D187" s="1"/>
      <c r="E187" s="1"/>
      <c r="F187" s="1"/>
      <c r="G187" s="1"/>
      <c r="H187" s="1"/>
      <c r="I187" s="1"/>
      <c r="J187" s="1"/>
      <c r="K187" s="1"/>
      <c r="L187" s="1"/>
      <c r="M187" s="1"/>
      <c r="N187" s="1"/>
      <c r="O187" s="1"/>
      <c r="P187" s="1"/>
      <c r="Q187" s="4" t="e">
        <f t="shared" si="50"/>
        <v>#DIV/0!</v>
      </c>
      <c r="AB187" s="5"/>
    </row>
    <row r="188" spans="1:28" s="3" customFormat="1">
      <c r="B188" s="1"/>
      <c r="C188" s="1"/>
      <c r="D188" s="1"/>
      <c r="E188" s="1"/>
      <c r="F188" s="1"/>
      <c r="G188" s="1"/>
      <c r="H188" s="1"/>
      <c r="I188" s="1"/>
      <c r="J188" s="1"/>
      <c r="K188" s="1"/>
      <c r="L188" s="1"/>
      <c r="M188" s="1"/>
      <c r="N188" s="1"/>
      <c r="O188" s="1"/>
      <c r="P188" s="1"/>
      <c r="Q188" s="4" t="e">
        <f t="shared" si="50"/>
        <v>#DIV/0!</v>
      </c>
      <c r="AB188" s="5"/>
    </row>
    <row r="189" spans="1:28" s="3" customFormat="1">
      <c r="B189" s="1"/>
      <c r="C189" s="1"/>
      <c r="D189" s="1"/>
      <c r="E189" s="1"/>
      <c r="F189" s="1"/>
      <c r="G189" s="1"/>
      <c r="H189" s="1"/>
      <c r="I189" s="1"/>
      <c r="J189" s="1"/>
      <c r="K189" s="1"/>
      <c r="L189" s="1"/>
      <c r="M189" s="1"/>
      <c r="N189" s="1"/>
      <c r="O189" s="1"/>
      <c r="P189" s="1"/>
      <c r="Q189" s="4" t="e">
        <f t="shared" si="50"/>
        <v>#DIV/0!</v>
      </c>
      <c r="X189" s="6"/>
      <c r="Y189" s="6"/>
      <c r="Z189" s="5"/>
      <c r="AA189" s="5"/>
      <c r="AB189" s="5"/>
    </row>
    <row r="190" spans="1:28" s="3" customFormat="1">
      <c r="B190" s="1"/>
      <c r="C190" s="1"/>
      <c r="D190" s="1"/>
      <c r="E190" s="1"/>
      <c r="F190" s="1"/>
      <c r="G190" s="1"/>
      <c r="H190" s="1"/>
      <c r="I190" s="1"/>
      <c r="J190" s="1"/>
      <c r="K190" s="1"/>
      <c r="L190" s="1"/>
      <c r="M190" s="1"/>
      <c r="N190" s="1"/>
      <c r="O190" s="1"/>
      <c r="P190" s="1"/>
      <c r="Q190" s="4" t="e">
        <f t="shared" si="50"/>
        <v>#DIV/0!</v>
      </c>
      <c r="X190" s="5"/>
      <c r="Y190" s="5"/>
      <c r="Z190" s="5"/>
      <c r="AA190" s="5"/>
      <c r="AB190" s="5"/>
    </row>
    <row r="191" spans="1:28" s="3" customFormat="1">
      <c r="B191" s="1"/>
      <c r="C191" s="1"/>
      <c r="D191" s="1"/>
      <c r="E191" s="1"/>
      <c r="F191" s="1"/>
      <c r="G191" s="1"/>
      <c r="H191" s="1"/>
      <c r="I191" s="1"/>
      <c r="J191" s="1"/>
      <c r="K191" s="1"/>
      <c r="L191" s="1"/>
      <c r="M191" s="1"/>
      <c r="N191" s="1"/>
      <c r="O191" s="1"/>
      <c r="P191" s="1"/>
      <c r="Q191" s="4" t="e">
        <f t="shared" si="50"/>
        <v>#DIV/0!</v>
      </c>
      <c r="X191" s="5"/>
      <c r="Y191" s="5"/>
      <c r="Z191" s="5"/>
      <c r="AA191" s="5"/>
      <c r="AB191" s="5"/>
    </row>
    <row r="192" spans="1:28" s="3" customFormat="1">
      <c r="B192" s="1"/>
      <c r="C192" s="1"/>
      <c r="D192" s="1"/>
      <c r="E192" s="1"/>
      <c r="F192" s="1"/>
      <c r="G192" s="1"/>
      <c r="H192" s="1"/>
      <c r="I192" s="1"/>
      <c r="J192" s="1"/>
      <c r="K192" s="1"/>
      <c r="L192" s="1"/>
      <c r="M192" s="1"/>
      <c r="N192" s="1"/>
      <c r="O192" s="1"/>
      <c r="P192" s="1"/>
      <c r="Q192" s="4" t="e">
        <f t="shared" si="50"/>
        <v>#DIV/0!</v>
      </c>
      <c r="X192" s="5"/>
      <c r="Y192" s="5"/>
      <c r="Z192" s="5"/>
      <c r="AA192" s="5"/>
      <c r="AB192" s="5"/>
    </row>
    <row r="193" spans="2:28" s="3" customFormat="1">
      <c r="B193" s="1"/>
      <c r="C193" s="1"/>
      <c r="D193" s="1"/>
      <c r="E193" s="1"/>
      <c r="F193" s="1"/>
      <c r="G193" s="1"/>
      <c r="H193" s="1"/>
      <c r="I193" s="1"/>
      <c r="J193" s="1"/>
      <c r="K193" s="1"/>
      <c r="L193" s="1"/>
      <c r="M193" s="1"/>
      <c r="N193" s="1"/>
      <c r="O193" s="1"/>
      <c r="P193" s="1"/>
      <c r="Q193" s="4" t="e">
        <f t="shared" si="50"/>
        <v>#DIV/0!</v>
      </c>
      <c r="X193" s="5"/>
      <c r="Y193" s="5"/>
      <c r="Z193" s="5"/>
      <c r="AA193" s="5"/>
      <c r="AB193" s="5"/>
    </row>
    <row r="194" spans="2:28" s="3" customFormat="1">
      <c r="B194" s="1"/>
      <c r="C194" s="1"/>
      <c r="D194" s="1"/>
      <c r="E194" s="1"/>
      <c r="F194" s="1"/>
      <c r="G194" s="1"/>
      <c r="H194" s="1"/>
      <c r="I194" s="1"/>
      <c r="J194" s="1"/>
      <c r="K194" s="1"/>
      <c r="L194" s="1"/>
      <c r="M194" s="1"/>
      <c r="N194" s="1"/>
      <c r="O194" s="1"/>
      <c r="P194" s="1"/>
      <c r="Q194" s="4" t="e">
        <f t="shared" si="50"/>
        <v>#DIV/0!</v>
      </c>
      <c r="X194" s="5"/>
      <c r="Y194" s="5"/>
      <c r="Z194" s="5"/>
      <c r="AA194" s="5"/>
      <c r="AB194" s="5"/>
    </row>
    <row r="195" spans="2:28" s="3" customFormat="1">
      <c r="B195" s="1"/>
      <c r="C195" s="1"/>
      <c r="D195" s="1"/>
      <c r="E195" s="1"/>
      <c r="F195" s="1"/>
      <c r="G195" s="1"/>
      <c r="H195" s="1"/>
      <c r="I195" s="1"/>
      <c r="J195" s="1"/>
      <c r="K195" s="1"/>
      <c r="L195" s="1"/>
      <c r="M195" s="1"/>
      <c r="N195" s="1"/>
      <c r="O195" s="1"/>
      <c r="P195" s="1"/>
      <c r="Q195" s="4" t="e">
        <f t="shared" si="50"/>
        <v>#DIV/0!</v>
      </c>
      <c r="X195" s="5"/>
      <c r="Y195" s="5"/>
      <c r="Z195" s="5"/>
      <c r="AA195" s="5"/>
      <c r="AB195" s="5"/>
    </row>
    <row r="196" spans="2:28" s="3" customFormat="1">
      <c r="B196" s="1"/>
      <c r="C196" s="1"/>
      <c r="D196" s="1"/>
      <c r="E196" s="1"/>
      <c r="F196" s="1"/>
      <c r="G196" s="1"/>
      <c r="H196" s="1"/>
      <c r="I196" s="1"/>
      <c r="J196" s="1"/>
      <c r="K196" s="1"/>
      <c r="L196" s="1"/>
      <c r="M196" s="1"/>
      <c r="N196" s="1"/>
      <c r="O196" s="1"/>
      <c r="P196" s="1"/>
      <c r="Q196" s="4" t="e">
        <f t="shared" si="50"/>
        <v>#DIV/0!</v>
      </c>
      <c r="X196" s="5"/>
      <c r="Y196" s="5"/>
      <c r="Z196" s="5"/>
      <c r="AA196" s="5"/>
      <c r="AB196" s="5"/>
    </row>
    <row r="197" spans="2:28" s="3" customFormat="1">
      <c r="B197" s="1"/>
      <c r="C197" s="1"/>
      <c r="D197" s="1"/>
      <c r="E197" s="1"/>
      <c r="F197" s="1"/>
      <c r="G197" s="1"/>
      <c r="H197" s="1"/>
      <c r="I197" s="1"/>
      <c r="J197" s="1"/>
      <c r="K197" s="1"/>
      <c r="L197" s="1"/>
      <c r="M197" s="1"/>
      <c r="N197" s="1"/>
      <c r="O197" s="1"/>
      <c r="P197" s="1"/>
      <c r="Q197" s="4" t="e">
        <f t="shared" si="50"/>
        <v>#DIV/0!</v>
      </c>
      <c r="X197" s="5"/>
      <c r="Y197" s="5"/>
      <c r="Z197" s="5"/>
      <c r="AA197" s="5"/>
      <c r="AB197" s="5"/>
    </row>
    <row r="198" spans="2:28" s="3" customFormat="1">
      <c r="B198" s="1"/>
      <c r="C198" s="1"/>
      <c r="D198" s="1"/>
      <c r="E198" s="1"/>
      <c r="F198" s="1"/>
      <c r="G198" s="1"/>
      <c r="H198" s="1"/>
      <c r="I198" s="1"/>
      <c r="J198" s="1"/>
      <c r="K198" s="1"/>
      <c r="L198" s="1"/>
      <c r="M198" s="1"/>
      <c r="N198" s="1"/>
      <c r="O198" s="1"/>
      <c r="P198" s="1"/>
      <c r="Q198" s="4" t="e">
        <f t="shared" si="50"/>
        <v>#DIV/0!</v>
      </c>
      <c r="X198" s="5"/>
      <c r="Y198" s="5"/>
      <c r="Z198" s="5"/>
      <c r="AA198" s="5"/>
      <c r="AB198" s="5"/>
    </row>
    <row r="199" spans="2:28" s="3" customFormat="1">
      <c r="B199" s="1"/>
      <c r="C199" s="1"/>
      <c r="D199" s="1"/>
      <c r="E199" s="1"/>
      <c r="F199" s="1"/>
      <c r="G199" s="1"/>
      <c r="H199" s="1"/>
      <c r="I199" s="1"/>
      <c r="J199" s="1"/>
      <c r="K199" s="1"/>
      <c r="L199" s="1"/>
      <c r="M199" s="1"/>
      <c r="N199" s="1"/>
      <c r="O199" s="1"/>
      <c r="P199" s="1"/>
      <c r="Q199" s="4" t="e">
        <f t="shared" si="50"/>
        <v>#DIV/0!</v>
      </c>
      <c r="X199" s="5"/>
      <c r="Y199" s="5"/>
      <c r="Z199" s="5"/>
      <c r="AA199" s="5"/>
      <c r="AB199" s="5"/>
    </row>
    <row r="200" spans="2:28" s="3" customFormat="1">
      <c r="B200" s="1"/>
      <c r="C200" s="1"/>
      <c r="D200" s="1"/>
      <c r="E200" s="1"/>
      <c r="F200" s="1"/>
      <c r="G200" s="1"/>
      <c r="H200" s="1"/>
      <c r="I200" s="1"/>
      <c r="J200" s="1"/>
      <c r="K200" s="1"/>
      <c r="L200" s="1"/>
      <c r="M200" s="1"/>
      <c r="N200" s="1"/>
      <c r="O200" s="1"/>
      <c r="P200" s="1"/>
      <c r="Q200" s="4" t="e">
        <f t="shared" si="50"/>
        <v>#DIV/0!</v>
      </c>
      <c r="X200" s="5"/>
      <c r="Y200" s="5"/>
      <c r="Z200" s="5"/>
      <c r="AA200" s="5"/>
      <c r="AB200" s="5"/>
    </row>
    <row r="201" spans="2:28" s="3" customFormat="1">
      <c r="B201" s="1"/>
      <c r="C201" s="1"/>
      <c r="D201" s="1"/>
      <c r="E201" s="1"/>
      <c r="F201" s="1"/>
      <c r="G201" s="1"/>
      <c r="H201" s="1"/>
      <c r="I201" s="1"/>
      <c r="J201" s="1"/>
      <c r="K201" s="1"/>
      <c r="L201" s="1"/>
      <c r="M201" s="1"/>
      <c r="N201" s="1"/>
      <c r="O201" s="1"/>
      <c r="P201" s="1"/>
      <c r="Q201" s="4" t="e">
        <f t="shared" si="50"/>
        <v>#DIV/0!</v>
      </c>
      <c r="X201" s="5"/>
      <c r="Y201" s="5"/>
      <c r="Z201" s="5"/>
      <c r="AA201" s="5"/>
      <c r="AB201" s="5"/>
    </row>
    <row r="202" spans="2:28" s="3" customFormat="1">
      <c r="B202" s="1"/>
      <c r="C202" s="1"/>
      <c r="D202" s="1"/>
      <c r="E202" s="1"/>
      <c r="F202" s="1"/>
      <c r="G202" s="1"/>
      <c r="H202" s="1"/>
      <c r="I202" s="1"/>
      <c r="J202" s="1"/>
      <c r="K202" s="1"/>
      <c r="L202" s="1"/>
      <c r="M202" s="1"/>
      <c r="N202" s="1"/>
      <c r="O202" s="1"/>
      <c r="P202" s="1"/>
      <c r="Q202" s="4" t="e">
        <f t="shared" si="50"/>
        <v>#DIV/0!</v>
      </c>
      <c r="X202" s="5"/>
      <c r="Y202" s="5"/>
      <c r="Z202" s="5"/>
      <c r="AA202" s="5"/>
      <c r="AB202" s="5"/>
    </row>
    <row r="203" spans="2:28" s="3" customFormat="1">
      <c r="B203" s="1"/>
      <c r="C203" s="1"/>
      <c r="D203" s="1"/>
      <c r="E203" s="1"/>
      <c r="F203" s="1"/>
      <c r="G203" s="1"/>
      <c r="H203" s="1"/>
      <c r="I203" s="1"/>
      <c r="J203" s="1"/>
      <c r="K203" s="1"/>
      <c r="L203" s="1"/>
      <c r="M203" s="1"/>
      <c r="N203" s="1"/>
      <c r="O203" s="1"/>
      <c r="P203" s="1"/>
      <c r="Q203" s="4" t="e">
        <f t="shared" si="50"/>
        <v>#DIV/0!</v>
      </c>
      <c r="X203" s="5"/>
      <c r="Y203" s="5"/>
      <c r="Z203" s="5"/>
      <c r="AA203" s="5"/>
      <c r="AB203" s="5"/>
    </row>
    <row r="204" spans="2:28" s="3" customFormat="1">
      <c r="B204" s="1"/>
      <c r="C204" s="1"/>
      <c r="D204" s="1"/>
      <c r="E204" s="1"/>
      <c r="F204" s="1"/>
      <c r="G204" s="1"/>
      <c r="H204" s="1"/>
      <c r="I204" s="1"/>
      <c r="J204" s="1"/>
      <c r="K204" s="1"/>
      <c r="L204" s="1"/>
      <c r="M204" s="1"/>
      <c r="N204" s="1"/>
      <c r="O204" s="1"/>
      <c r="P204" s="1"/>
      <c r="Q204" s="4" t="e">
        <f t="shared" si="50"/>
        <v>#DIV/0!</v>
      </c>
      <c r="X204" s="5"/>
      <c r="Y204" s="5"/>
      <c r="Z204" s="5"/>
      <c r="AA204" s="5"/>
      <c r="AB204" s="5"/>
    </row>
    <row r="205" spans="2:28" s="3" customFormat="1">
      <c r="B205" s="1"/>
      <c r="C205" s="1"/>
      <c r="D205" s="1"/>
      <c r="E205" s="1"/>
      <c r="F205" s="1"/>
      <c r="G205" s="1"/>
      <c r="H205" s="1"/>
      <c r="I205" s="1"/>
      <c r="J205" s="1"/>
      <c r="K205" s="1"/>
      <c r="L205" s="1"/>
      <c r="M205" s="1"/>
      <c r="N205" s="1"/>
      <c r="O205" s="1"/>
      <c r="P205" s="1"/>
      <c r="Q205" s="4" t="e">
        <f t="shared" si="50"/>
        <v>#DIV/0!</v>
      </c>
      <c r="X205" s="5"/>
      <c r="Y205" s="5"/>
      <c r="Z205" s="5"/>
      <c r="AA205" s="5"/>
      <c r="AB205" s="5"/>
    </row>
    <row r="206" spans="2:28" s="3" customFormat="1">
      <c r="B206" s="1"/>
      <c r="C206" s="1"/>
      <c r="D206" s="1"/>
      <c r="E206" s="1"/>
      <c r="F206" s="1"/>
      <c r="G206" s="1"/>
      <c r="H206" s="1"/>
      <c r="I206" s="1"/>
      <c r="J206" s="1"/>
      <c r="K206" s="1"/>
      <c r="L206" s="1"/>
      <c r="M206" s="1"/>
      <c r="N206" s="1"/>
      <c r="O206" s="1"/>
      <c r="P206" s="1"/>
      <c r="Q206" s="4" t="e">
        <f t="shared" si="50"/>
        <v>#DIV/0!</v>
      </c>
      <c r="X206" s="5"/>
      <c r="Y206" s="5"/>
      <c r="Z206" s="5"/>
      <c r="AA206" s="5"/>
      <c r="AB206" s="5"/>
    </row>
    <row r="207" spans="2:28" s="3" customFormat="1">
      <c r="B207" s="1"/>
      <c r="C207" s="1"/>
      <c r="D207" s="1"/>
      <c r="E207" s="1"/>
      <c r="F207" s="1"/>
      <c r="G207" s="1"/>
      <c r="H207" s="1"/>
      <c r="I207" s="1"/>
      <c r="J207" s="1"/>
      <c r="K207" s="1"/>
      <c r="L207" s="1"/>
      <c r="M207" s="1"/>
      <c r="N207" s="1"/>
      <c r="O207" s="1"/>
      <c r="P207" s="1"/>
      <c r="Q207" s="4" t="e">
        <f t="shared" si="50"/>
        <v>#DIV/0!</v>
      </c>
      <c r="X207" s="5"/>
      <c r="Y207" s="5"/>
      <c r="Z207" s="5"/>
      <c r="AA207" s="5"/>
      <c r="AB207" s="5"/>
    </row>
    <row r="208" spans="2:28" s="3" customFormat="1">
      <c r="B208" s="1"/>
      <c r="C208" s="1"/>
      <c r="D208" s="1"/>
      <c r="E208" s="1"/>
      <c r="F208" s="1"/>
      <c r="G208" s="1"/>
      <c r="H208" s="1"/>
      <c r="I208" s="1"/>
      <c r="J208" s="1"/>
      <c r="K208" s="1"/>
      <c r="L208" s="1"/>
      <c r="M208" s="1"/>
      <c r="N208" s="1"/>
      <c r="O208" s="1"/>
      <c r="P208" s="1"/>
      <c r="Q208" s="4" t="e">
        <f t="shared" si="50"/>
        <v>#DIV/0!</v>
      </c>
      <c r="X208" s="5"/>
      <c r="Y208" s="5"/>
      <c r="Z208" s="5"/>
      <c r="AA208" s="5"/>
      <c r="AB208" s="5"/>
    </row>
    <row r="209" spans="2:28" s="3" customFormat="1">
      <c r="B209" s="1"/>
      <c r="C209" s="1"/>
      <c r="D209" s="1"/>
      <c r="E209" s="1"/>
      <c r="F209" s="1"/>
      <c r="G209" s="1"/>
      <c r="H209" s="1"/>
      <c r="I209" s="1"/>
      <c r="J209" s="1"/>
      <c r="K209" s="1"/>
      <c r="L209" s="1"/>
      <c r="M209" s="1"/>
      <c r="N209" s="1"/>
      <c r="O209" s="1"/>
      <c r="P209" s="1"/>
      <c r="Q209" s="4" t="e">
        <f t="shared" si="50"/>
        <v>#DIV/0!</v>
      </c>
      <c r="X209" s="5"/>
      <c r="Y209" s="5"/>
      <c r="Z209" s="5"/>
      <c r="AA209" s="5"/>
      <c r="AB209" s="5"/>
    </row>
    <row r="210" spans="2:28" s="3" customFormat="1">
      <c r="B210" s="1"/>
      <c r="C210" s="1"/>
      <c r="D210" s="1"/>
      <c r="E210" s="1"/>
      <c r="F210" s="1"/>
      <c r="G210" s="1"/>
      <c r="H210" s="1"/>
      <c r="I210" s="1"/>
      <c r="J210" s="1"/>
      <c r="K210" s="1"/>
      <c r="L210" s="1"/>
      <c r="M210" s="1"/>
      <c r="N210" s="1"/>
      <c r="O210" s="1"/>
      <c r="P210" s="1"/>
      <c r="Q210" s="4" t="e">
        <f t="shared" si="50"/>
        <v>#DIV/0!</v>
      </c>
      <c r="X210" s="5"/>
      <c r="Y210" s="5"/>
      <c r="Z210" s="5"/>
      <c r="AA210" s="5"/>
      <c r="AB210" s="5"/>
    </row>
    <row r="211" spans="2:28" s="3" customFormat="1">
      <c r="B211" s="1"/>
      <c r="C211" s="1"/>
      <c r="D211" s="1"/>
      <c r="E211" s="1"/>
      <c r="F211" s="1"/>
      <c r="G211" s="1"/>
      <c r="H211" s="1"/>
      <c r="I211" s="1"/>
      <c r="J211" s="1"/>
      <c r="K211" s="1"/>
      <c r="L211" s="1"/>
      <c r="M211" s="1"/>
      <c r="N211" s="1"/>
      <c r="O211" s="1"/>
      <c r="P211" s="1"/>
      <c r="Q211" s="4" t="e">
        <f t="shared" si="50"/>
        <v>#DIV/0!</v>
      </c>
      <c r="X211" s="5"/>
      <c r="Y211" s="5"/>
      <c r="Z211" s="5"/>
      <c r="AA211" s="5"/>
      <c r="AB211" s="5"/>
    </row>
    <row r="212" spans="2:28" s="3" customFormat="1">
      <c r="B212" s="1"/>
      <c r="C212" s="1"/>
      <c r="D212" s="1"/>
      <c r="E212" s="1"/>
      <c r="F212" s="1"/>
      <c r="G212" s="1"/>
      <c r="H212" s="1"/>
      <c r="I212" s="1"/>
      <c r="J212" s="1"/>
      <c r="K212" s="1"/>
      <c r="L212" s="1"/>
      <c r="M212" s="1"/>
      <c r="N212" s="1"/>
      <c r="O212" s="1"/>
      <c r="P212" s="1"/>
      <c r="Q212" s="4" t="e">
        <f t="shared" si="50"/>
        <v>#DIV/0!</v>
      </c>
      <c r="X212" s="5"/>
      <c r="Y212" s="5"/>
      <c r="Z212" s="5"/>
      <c r="AA212" s="5"/>
      <c r="AB212" s="5"/>
    </row>
    <row r="213" spans="2:28" s="3" customFormat="1">
      <c r="B213" s="1"/>
      <c r="C213" s="1"/>
      <c r="D213" s="1"/>
      <c r="E213" s="1"/>
      <c r="F213" s="1"/>
      <c r="G213" s="1"/>
      <c r="H213" s="1"/>
      <c r="I213" s="1"/>
      <c r="J213" s="1"/>
      <c r="K213" s="1"/>
      <c r="L213" s="1"/>
      <c r="M213" s="1"/>
      <c r="N213" s="1"/>
      <c r="O213" s="1"/>
      <c r="P213" s="1"/>
      <c r="Q213" s="4" t="e">
        <f t="shared" si="50"/>
        <v>#DIV/0!</v>
      </c>
      <c r="X213" s="5"/>
      <c r="Y213" s="5"/>
      <c r="Z213" s="5"/>
      <c r="AA213" s="5"/>
      <c r="AB213" s="5"/>
    </row>
    <row r="214" spans="2:28" s="3" customFormat="1">
      <c r="B214" s="1"/>
      <c r="C214" s="1"/>
      <c r="D214" s="1"/>
      <c r="E214" s="1"/>
      <c r="F214" s="1"/>
      <c r="G214" s="1"/>
      <c r="H214" s="1"/>
      <c r="I214" s="1"/>
      <c r="J214" s="1"/>
      <c r="K214" s="1"/>
      <c r="L214" s="1"/>
      <c r="M214" s="1"/>
      <c r="N214" s="1"/>
      <c r="O214" s="1"/>
      <c r="P214" s="1"/>
      <c r="Q214" s="4" t="e">
        <f t="shared" si="50"/>
        <v>#DIV/0!</v>
      </c>
      <c r="X214" s="5"/>
      <c r="Y214" s="5"/>
      <c r="Z214" s="5"/>
      <c r="AA214" s="5"/>
      <c r="AB214" s="5"/>
    </row>
    <row r="215" spans="2:28" s="3" customFormat="1">
      <c r="B215" s="1"/>
      <c r="C215" s="1"/>
      <c r="D215" s="1"/>
      <c r="E215" s="1"/>
      <c r="F215" s="1"/>
      <c r="G215" s="1"/>
      <c r="H215" s="1"/>
      <c r="I215" s="1"/>
      <c r="J215" s="1"/>
      <c r="K215" s="1"/>
      <c r="L215" s="1"/>
      <c r="M215" s="1"/>
      <c r="N215" s="1"/>
      <c r="O215" s="1"/>
      <c r="P215" s="1"/>
      <c r="Q215" s="4" t="e">
        <f t="shared" si="50"/>
        <v>#DIV/0!</v>
      </c>
      <c r="X215" s="5"/>
      <c r="Y215" s="5"/>
      <c r="Z215" s="5"/>
      <c r="AA215" s="5"/>
      <c r="AB215" s="5"/>
    </row>
    <row r="216" spans="2:28" s="3" customFormat="1">
      <c r="B216" s="1"/>
      <c r="C216" s="1"/>
      <c r="D216" s="1"/>
      <c r="E216" s="1"/>
      <c r="F216" s="1"/>
      <c r="G216" s="1"/>
      <c r="H216" s="1"/>
      <c r="I216" s="1"/>
      <c r="J216" s="1"/>
      <c r="K216" s="1"/>
      <c r="L216" s="1"/>
      <c r="M216" s="1"/>
      <c r="N216" s="1"/>
      <c r="O216" s="1"/>
      <c r="P216" s="1"/>
      <c r="Q216" s="4" t="e">
        <f t="shared" si="50"/>
        <v>#DIV/0!</v>
      </c>
      <c r="X216" s="5"/>
      <c r="Y216" s="5"/>
      <c r="Z216" s="5"/>
      <c r="AA216" s="5"/>
      <c r="AB216" s="5"/>
    </row>
    <row r="217" spans="2:28" s="3" customFormat="1">
      <c r="B217" s="1"/>
      <c r="C217" s="1"/>
      <c r="D217" s="1"/>
      <c r="E217" s="1"/>
      <c r="F217" s="1"/>
      <c r="G217" s="1"/>
      <c r="H217" s="1"/>
      <c r="I217" s="1"/>
      <c r="J217" s="1"/>
      <c r="K217" s="1"/>
      <c r="L217" s="1"/>
      <c r="M217" s="1"/>
      <c r="N217" s="1"/>
      <c r="O217" s="1"/>
      <c r="P217" s="1"/>
      <c r="Q217" s="4" t="e">
        <f t="shared" si="50"/>
        <v>#DIV/0!</v>
      </c>
      <c r="X217" s="5"/>
      <c r="Y217" s="5"/>
      <c r="Z217" s="5"/>
      <c r="AA217" s="5"/>
      <c r="AB217" s="5"/>
    </row>
    <row r="218" spans="2:28" s="3" customFormat="1">
      <c r="B218" s="1"/>
      <c r="C218" s="1"/>
      <c r="D218" s="1"/>
      <c r="E218" s="1"/>
      <c r="F218" s="1"/>
      <c r="G218" s="1"/>
      <c r="H218" s="1"/>
      <c r="I218" s="1"/>
      <c r="J218" s="1"/>
      <c r="K218" s="1"/>
      <c r="L218" s="1"/>
      <c r="M218" s="1"/>
      <c r="N218" s="1"/>
      <c r="O218" s="1"/>
      <c r="P218" s="1"/>
      <c r="Q218" s="4" t="e">
        <f t="shared" si="50"/>
        <v>#DIV/0!</v>
      </c>
      <c r="X218" s="5"/>
      <c r="Y218" s="5"/>
      <c r="Z218" s="5"/>
      <c r="AA218" s="5"/>
      <c r="AB218" s="5"/>
    </row>
    <row r="219" spans="2:28" s="3" customFormat="1">
      <c r="B219" s="1"/>
      <c r="C219" s="1"/>
      <c r="D219" s="1"/>
      <c r="E219" s="1"/>
      <c r="F219" s="1"/>
      <c r="G219" s="1"/>
      <c r="H219" s="1"/>
      <c r="I219" s="1"/>
      <c r="J219" s="1"/>
      <c r="K219" s="1"/>
      <c r="L219" s="1"/>
      <c r="M219" s="1"/>
      <c r="N219" s="1"/>
      <c r="O219" s="1"/>
      <c r="P219" s="1"/>
      <c r="Q219" s="4" t="e">
        <f t="shared" si="50"/>
        <v>#DIV/0!</v>
      </c>
      <c r="X219" s="5"/>
      <c r="Y219" s="5"/>
      <c r="Z219" s="5"/>
      <c r="AA219" s="5"/>
      <c r="AB219" s="5"/>
    </row>
    <row r="220" spans="2:28" s="3" customFormat="1">
      <c r="B220" s="1"/>
      <c r="C220" s="1"/>
      <c r="D220" s="1"/>
      <c r="E220" s="1"/>
      <c r="F220" s="1"/>
      <c r="G220" s="1"/>
      <c r="H220" s="1"/>
      <c r="I220" s="1"/>
      <c r="J220" s="1"/>
      <c r="K220" s="1"/>
      <c r="L220" s="1"/>
      <c r="M220" s="1"/>
      <c r="N220" s="1"/>
      <c r="O220" s="1"/>
      <c r="P220" s="1"/>
      <c r="Q220" s="4" t="e">
        <f t="shared" si="50"/>
        <v>#DIV/0!</v>
      </c>
      <c r="X220" s="5"/>
      <c r="Y220" s="5"/>
      <c r="Z220" s="5"/>
      <c r="AA220" s="5"/>
      <c r="AB220" s="5"/>
    </row>
    <row r="221" spans="2:28" s="3" customFormat="1">
      <c r="B221" s="1"/>
      <c r="C221" s="1"/>
      <c r="D221" s="1"/>
      <c r="E221" s="1"/>
      <c r="F221" s="1"/>
      <c r="G221" s="1"/>
      <c r="H221" s="1"/>
      <c r="I221" s="1"/>
      <c r="J221" s="1"/>
      <c r="K221" s="1"/>
      <c r="L221" s="1"/>
      <c r="M221" s="1"/>
      <c r="N221" s="1"/>
      <c r="O221" s="1"/>
      <c r="P221" s="1"/>
      <c r="Q221" s="4" t="e">
        <f t="shared" si="50"/>
        <v>#DIV/0!</v>
      </c>
      <c r="X221" s="5"/>
      <c r="Y221" s="5"/>
      <c r="Z221" s="5"/>
      <c r="AA221" s="5"/>
      <c r="AB221" s="5"/>
    </row>
    <row r="222" spans="2:28" s="3" customFormat="1">
      <c r="B222" s="1"/>
      <c r="C222" s="1"/>
      <c r="D222" s="1"/>
      <c r="E222" s="1"/>
      <c r="F222" s="1"/>
      <c r="G222" s="1"/>
      <c r="H222" s="1"/>
      <c r="I222" s="1"/>
      <c r="J222" s="1"/>
      <c r="K222" s="1"/>
      <c r="L222" s="1"/>
      <c r="M222" s="1"/>
      <c r="N222" s="1"/>
      <c r="O222" s="1"/>
      <c r="P222" s="1"/>
      <c r="Q222" s="4" t="e">
        <f t="shared" si="50"/>
        <v>#DIV/0!</v>
      </c>
      <c r="X222" s="5"/>
      <c r="Y222" s="5"/>
      <c r="Z222" s="5"/>
      <c r="AA222" s="5"/>
      <c r="AB222" s="5"/>
    </row>
    <row r="223" spans="2:28" s="3" customFormat="1">
      <c r="B223" s="1"/>
      <c r="C223" s="1"/>
      <c r="D223" s="1"/>
      <c r="E223" s="1"/>
      <c r="F223" s="1"/>
      <c r="G223" s="1"/>
      <c r="H223" s="1"/>
      <c r="I223" s="1"/>
      <c r="J223" s="1"/>
      <c r="K223" s="1"/>
      <c r="L223" s="1"/>
      <c r="M223" s="1"/>
      <c r="N223" s="1"/>
      <c r="O223" s="1"/>
      <c r="P223" s="1"/>
      <c r="Q223" s="4" t="e">
        <f t="shared" si="50"/>
        <v>#DIV/0!</v>
      </c>
      <c r="X223" s="5"/>
      <c r="Y223" s="5"/>
      <c r="Z223" s="5"/>
      <c r="AA223" s="5"/>
      <c r="AB223" s="5"/>
    </row>
    <row r="224" spans="2:28" s="3" customFormat="1">
      <c r="B224" s="1"/>
      <c r="C224" s="1"/>
      <c r="D224" s="1"/>
      <c r="E224" s="1"/>
      <c r="F224" s="1"/>
      <c r="G224" s="1"/>
      <c r="H224" s="1"/>
      <c r="I224" s="1"/>
      <c r="J224" s="1"/>
      <c r="K224" s="1"/>
      <c r="L224" s="1"/>
      <c r="M224" s="1"/>
      <c r="N224" s="1"/>
      <c r="O224" s="1"/>
      <c r="P224" s="1"/>
      <c r="Q224" s="4" t="e">
        <f t="shared" si="50"/>
        <v>#DIV/0!</v>
      </c>
      <c r="X224" s="5"/>
      <c r="Y224" s="5"/>
      <c r="Z224" s="5"/>
      <c r="AA224" s="5"/>
      <c r="AB224" s="5"/>
    </row>
    <row r="225" spans="2:28" s="3" customFormat="1">
      <c r="B225" s="1"/>
      <c r="C225" s="1"/>
      <c r="D225" s="1"/>
      <c r="E225" s="1"/>
      <c r="F225" s="1"/>
      <c r="G225" s="1"/>
      <c r="H225" s="1"/>
      <c r="I225" s="1"/>
      <c r="J225" s="1"/>
      <c r="K225" s="1"/>
      <c r="L225" s="1"/>
      <c r="M225" s="1"/>
      <c r="N225" s="1"/>
      <c r="O225" s="1"/>
      <c r="P225" s="1"/>
      <c r="Q225" s="4" t="e">
        <f t="shared" si="50"/>
        <v>#DIV/0!</v>
      </c>
      <c r="X225" s="5"/>
      <c r="Y225" s="5"/>
      <c r="Z225" s="5"/>
      <c r="AA225" s="5"/>
      <c r="AB225" s="5"/>
    </row>
    <row r="226" spans="2:28" s="3" customFormat="1">
      <c r="B226" s="1"/>
      <c r="C226" s="1"/>
      <c r="D226" s="1"/>
      <c r="E226" s="1"/>
      <c r="F226" s="1"/>
      <c r="G226" s="1"/>
      <c r="H226" s="1"/>
      <c r="I226" s="1"/>
      <c r="J226" s="1"/>
      <c r="K226" s="1"/>
      <c r="L226" s="1"/>
      <c r="M226" s="1"/>
      <c r="N226" s="1"/>
      <c r="O226" s="1"/>
      <c r="P226" s="1"/>
      <c r="Q226" s="4" t="e">
        <f t="shared" si="50"/>
        <v>#DIV/0!</v>
      </c>
      <c r="X226" s="5"/>
      <c r="Y226" s="5"/>
      <c r="Z226" s="5"/>
      <c r="AA226" s="5"/>
      <c r="AB226" s="5"/>
    </row>
    <row r="227" spans="2:28" s="3" customFormat="1">
      <c r="B227" s="1"/>
      <c r="C227" s="1"/>
      <c r="D227" s="1"/>
      <c r="E227" s="1"/>
      <c r="F227" s="1"/>
      <c r="G227" s="1"/>
      <c r="H227" s="1"/>
      <c r="I227" s="1"/>
      <c r="J227" s="1"/>
      <c r="K227" s="1"/>
      <c r="L227" s="1"/>
      <c r="M227" s="1"/>
      <c r="N227" s="1"/>
      <c r="O227" s="1"/>
      <c r="P227" s="1"/>
      <c r="Q227" s="4" t="e">
        <f t="shared" si="50"/>
        <v>#DIV/0!</v>
      </c>
      <c r="X227" s="5"/>
      <c r="Y227" s="5"/>
      <c r="Z227" s="5"/>
      <c r="AA227" s="5"/>
      <c r="AB227" s="5"/>
    </row>
    <row r="228" spans="2:28" s="3" customFormat="1">
      <c r="B228" s="1"/>
      <c r="C228" s="1"/>
      <c r="D228" s="1"/>
      <c r="E228" s="1"/>
      <c r="F228" s="1"/>
      <c r="G228" s="1"/>
      <c r="H228" s="1"/>
      <c r="I228" s="1"/>
      <c r="J228" s="1"/>
      <c r="K228" s="1"/>
      <c r="L228" s="1"/>
      <c r="M228" s="1"/>
      <c r="N228" s="1"/>
      <c r="O228" s="1"/>
      <c r="P228" s="1"/>
      <c r="Q228" s="4" t="e">
        <f t="shared" si="50"/>
        <v>#DIV/0!</v>
      </c>
      <c r="X228" s="5"/>
      <c r="Y228" s="5"/>
      <c r="Z228" s="5"/>
      <c r="AA228" s="5"/>
      <c r="AB228" s="5"/>
    </row>
    <row r="229" spans="2:28" s="3" customFormat="1">
      <c r="B229" s="1"/>
      <c r="C229" s="1"/>
      <c r="D229" s="1"/>
      <c r="E229" s="1"/>
      <c r="F229" s="1"/>
      <c r="G229" s="1"/>
      <c r="H229" s="1"/>
      <c r="I229" s="1"/>
      <c r="J229" s="1"/>
      <c r="K229" s="1"/>
      <c r="L229" s="1"/>
      <c r="M229" s="1"/>
      <c r="N229" s="1"/>
      <c r="O229" s="1"/>
      <c r="P229" s="1"/>
      <c r="Q229" s="4" t="e">
        <f t="shared" si="50"/>
        <v>#DIV/0!</v>
      </c>
      <c r="X229" s="5"/>
      <c r="Y229" s="5"/>
      <c r="Z229" s="5"/>
      <c r="AA229" s="5"/>
      <c r="AB229" s="5"/>
    </row>
    <row r="230" spans="2:28" s="3" customFormat="1">
      <c r="B230" s="1"/>
      <c r="C230" s="1"/>
      <c r="D230" s="1"/>
      <c r="E230" s="1"/>
      <c r="F230" s="1"/>
      <c r="G230" s="1"/>
      <c r="H230" s="1"/>
      <c r="I230" s="1"/>
      <c r="J230" s="1"/>
      <c r="K230" s="1"/>
      <c r="L230" s="1"/>
      <c r="M230" s="1"/>
      <c r="N230" s="1"/>
      <c r="O230" s="1"/>
      <c r="P230" s="1"/>
      <c r="Q230" s="4" t="e">
        <f t="shared" si="50"/>
        <v>#DIV/0!</v>
      </c>
      <c r="X230" s="5"/>
      <c r="Y230" s="5"/>
      <c r="Z230" s="5"/>
      <c r="AA230" s="5"/>
      <c r="AB230" s="5"/>
    </row>
    <row r="231" spans="2:28" s="3" customFormat="1">
      <c r="B231" s="1"/>
      <c r="C231" s="1"/>
      <c r="D231" s="1"/>
      <c r="E231" s="1"/>
      <c r="F231" s="1"/>
      <c r="G231" s="1"/>
      <c r="H231" s="1"/>
      <c r="I231" s="1"/>
      <c r="J231" s="1"/>
      <c r="K231" s="1"/>
      <c r="L231" s="1"/>
      <c r="M231" s="1"/>
      <c r="N231" s="1"/>
      <c r="O231" s="1"/>
      <c r="P231" s="1"/>
      <c r="Q231" s="4" t="e">
        <f t="shared" si="50"/>
        <v>#DIV/0!</v>
      </c>
      <c r="X231" s="5"/>
      <c r="Y231" s="5"/>
      <c r="Z231" s="5"/>
      <c r="AA231" s="5"/>
      <c r="AB231" s="5"/>
    </row>
    <row r="232" spans="2:28" s="3" customFormat="1">
      <c r="B232" s="1"/>
      <c r="C232" s="1"/>
      <c r="D232" s="1"/>
      <c r="E232" s="1"/>
      <c r="F232" s="1"/>
      <c r="G232" s="1"/>
      <c r="H232" s="1"/>
      <c r="I232" s="1"/>
      <c r="J232" s="1"/>
      <c r="K232" s="1"/>
      <c r="L232" s="1"/>
      <c r="M232" s="1"/>
      <c r="N232" s="1"/>
      <c r="O232" s="1"/>
      <c r="P232" s="1"/>
      <c r="Q232" s="4" t="e">
        <f t="shared" si="50"/>
        <v>#DIV/0!</v>
      </c>
      <c r="X232" s="5"/>
      <c r="Y232" s="5"/>
      <c r="Z232" s="5"/>
      <c r="AA232" s="5"/>
      <c r="AB232" s="5"/>
    </row>
    <row r="233" spans="2:28" s="3" customFormat="1">
      <c r="B233" s="1"/>
      <c r="C233" s="1"/>
      <c r="D233" s="1"/>
      <c r="E233" s="1"/>
      <c r="F233" s="1"/>
      <c r="G233" s="1"/>
      <c r="H233" s="1"/>
      <c r="I233" s="1"/>
      <c r="J233" s="1"/>
      <c r="K233" s="1"/>
      <c r="L233" s="1"/>
      <c r="M233" s="1"/>
      <c r="N233" s="1"/>
      <c r="O233" s="1"/>
      <c r="P233" s="1"/>
      <c r="Q233" s="4" t="e">
        <f t="shared" si="50"/>
        <v>#DIV/0!</v>
      </c>
      <c r="X233" s="5"/>
      <c r="Y233" s="5"/>
      <c r="Z233" s="5"/>
      <c r="AA233" s="5"/>
      <c r="AB233" s="5"/>
    </row>
    <row r="234" spans="2:28" s="3" customFormat="1">
      <c r="B234" s="1"/>
      <c r="C234" s="1"/>
      <c r="D234" s="1"/>
      <c r="E234" s="1"/>
      <c r="F234" s="1"/>
      <c r="G234" s="1"/>
      <c r="H234" s="1"/>
      <c r="I234" s="1"/>
      <c r="J234" s="1"/>
      <c r="K234" s="1"/>
      <c r="L234" s="1"/>
      <c r="M234" s="1"/>
      <c r="N234" s="1"/>
      <c r="O234" s="1"/>
      <c r="P234" s="1"/>
      <c r="Q234" s="4" t="e">
        <f t="shared" si="50"/>
        <v>#DIV/0!</v>
      </c>
      <c r="X234" s="5"/>
      <c r="Y234" s="5"/>
      <c r="Z234" s="5"/>
      <c r="AA234" s="5"/>
      <c r="AB234" s="5"/>
    </row>
    <row r="235" spans="2:28" s="3" customFormat="1">
      <c r="B235" s="1"/>
      <c r="C235" s="1"/>
      <c r="D235" s="1"/>
      <c r="E235" s="1"/>
      <c r="F235" s="1"/>
      <c r="G235" s="1"/>
      <c r="H235" s="1"/>
      <c r="I235" s="1"/>
      <c r="J235" s="1"/>
      <c r="K235" s="1"/>
      <c r="L235" s="1"/>
      <c r="M235" s="1"/>
      <c r="N235" s="1"/>
      <c r="O235" s="1"/>
      <c r="P235" s="1"/>
      <c r="Q235" s="4" t="e">
        <f t="shared" si="50"/>
        <v>#DIV/0!</v>
      </c>
      <c r="X235" s="5"/>
      <c r="Y235" s="5"/>
      <c r="Z235" s="5"/>
      <c r="AA235" s="5"/>
      <c r="AB235" s="5"/>
    </row>
    <row r="236" spans="2:28" s="3" customFormat="1">
      <c r="B236" s="1"/>
      <c r="C236" s="1"/>
      <c r="D236" s="1"/>
      <c r="E236" s="1"/>
      <c r="F236" s="1"/>
      <c r="G236" s="1"/>
      <c r="H236" s="1"/>
      <c r="I236" s="1"/>
      <c r="J236" s="1"/>
      <c r="K236" s="1"/>
      <c r="L236" s="1"/>
      <c r="M236" s="1"/>
      <c r="N236" s="1"/>
      <c r="O236" s="1"/>
      <c r="P236" s="1"/>
      <c r="Q236" s="4" t="e">
        <f t="shared" si="50"/>
        <v>#DIV/0!</v>
      </c>
      <c r="X236" s="5"/>
      <c r="Y236" s="5"/>
      <c r="Z236" s="5"/>
      <c r="AA236" s="5"/>
      <c r="AB236" s="5"/>
    </row>
    <row r="237" spans="2:28" s="3" customFormat="1">
      <c r="B237" s="1"/>
      <c r="C237" s="1"/>
      <c r="D237" s="1"/>
      <c r="E237" s="1"/>
      <c r="F237" s="1"/>
      <c r="G237" s="1"/>
      <c r="H237" s="1"/>
      <c r="I237" s="1"/>
      <c r="J237" s="1"/>
      <c r="K237" s="1"/>
      <c r="L237" s="1"/>
      <c r="M237" s="1"/>
      <c r="N237" s="1"/>
      <c r="O237" s="1"/>
      <c r="P237" s="1"/>
      <c r="Q237" s="4" t="e">
        <f t="shared" si="50"/>
        <v>#DIV/0!</v>
      </c>
      <c r="X237" s="5"/>
      <c r="Y237" s="5"/>
      <c r="Z237" s="5"/>
      <c r="AA237" s="5"/>
      <c r="AB237" s="5"/>
    </row>
    <row r="238" spans="2:28" s="3" customFormat="1">
      <c r="B238" s="1"/>
      <c r="C238" s="1"/>
      <c r="D238" s="1"/>
      <c r="E238" s="1"/>
      <c r="F238" s="1"/>
      <c r="G238" s="1"/>
      <c r="H238" s="1"/>
      <c r="I238" s="1"/>
      <c r="J238" s="1"/>
      <c r="K238" s="1"/>
      <c r="L238" s="1"/>
      <c r="M238" s="1"/>
      <c r="N238" s="1"/>
      <c r="O238" s="1"/>
      <c r="P238" s="1"/>
      <c r="Q238" s="4" t="e">
        <f t="shared" si="50"/>
        <v>#DIV/0!</v>
      </c>
      <c r="X238" s="5"/>
      <c r="Y238" s="5"/>
      <c r="Z238" s="5"/>
      <c r="AA238" s="5"/>
      <c r="AB238" s="5"/>
    </row>
    <row r="239" spans="2:28" s="3" customFormat="1">
      <c r="B239" s="1"/>
      <c r="C239" s="1"/>
      <c r="D239" s="1"/>
      <c r="E239" s="1"/>
      <c r="F239" s="1"/>
      <c r="G239" s="1"/>
      <c r="H239" s="1"/>
      <c r="I239" s="1"/>
      <c r="J239" s="1"/>
      <c r="K239" s="1"/>
      <c r="L239" s="1"/>
      <c r="M239" s="1"/>
      <c r="N239" s="1"/>
      <c r="O239" s="1"/>
      <c r="P239" s="1"/>
      <c r="Q239" s="4" t="e">
        <f t="shared" si="50"/>
        <v>#DIV/0!</v>
      </c>
      <c r="X239" s="5"/>
      <c r="Y239" s="5"/>
      <c r="Z239" s="5"/>
      <c r="AA239" s="5"/>
      <c r="AB239" s="5"/>
    </row>
    <row r="240" spans="2:28" s="3" customFormat="1">
      <c r="B240" s="1"/>
      <c r="C240" s="1"/>
      <c r="D240" s="1"/>
      <c r="E240" s="1"/>
      <c r="F240" s="1"/>
      <c r="G240" s="1"/>
      <c r="H240" s="1"/>
      <c r="I240" s="1"/>
      <c r="J240" s="1"/>
      <c r="K240" s="1"/>
      <c r="L240" s="1"/>
      <c r="M240" s="1"/>
      <c r="N240" s="1"/>
      <c r="O240" s="1"/>
      <c r="P240" s="1"/>
      <c r="Q240" s="4" t="e">
        <f t="shared" si="50"/>
        <v>#DIV/0!</v>
      </c>
      <c r="X240" s="5"/>
      <c r="Y240" s="5"/>
      <c r="Z240" s="5"/>
      <c r="AA240" s="5"/>
      <c r="AB240" s="5"/>
    </row>
    <row r="241" spans="2:28" s="3" customFormat="1">
      <c r="B241" s="1"/>
      <c r="C241" s="1"/>
      <c r="D241" s="1"/>
      <c r="E241" s="1"/>
      <c r="F241" s="1"/>
      <c r="G241" s="1"/>
      <c r="H241" s="1"/>
      <c r="I241" s="1"/>
      <c r="J241" s="1"/>
      <c r="K241" s="1"/>
      <c r="L241" s="1"/>
      <c r="M241" s="1"/>
      <c r="N241" s="1"/>
      <c r="O241" s="1"/>
      <c r="P241" s="1"/>
      <c r="Q241" s="4" t="e">
        <f t="shared" si="50"/>
        <v>#DIV/0!</v>
      </c>
      <c r="X241" s="5"/>
      <c r="Y241" s="5"/>
      <c r="Z241" s="5"/>
      <c r="AA241" s="5"/>
      <c r="AB241" s="5"/>
    </row>
    <row r="242" spans="2:28" s="3" customFormat="1">
      <c r="B242" s="1"/>
      <c r="C242" s="1"/>
      <c r="D242" s="1"/>
      <c r="E242" s="1"/>
      <c r="F242" s="1"/>
      <c r="G242" s="1"/>
      <c r="H242" s="1"/>
      <c r="I242" s="1"/>
      <c r="J242" s="1"/>
      <c r="K242" s="1"/>
      <c r="L242" s="1"/>
      <c r="M242" s="1"/>
      <c r="N242" s="1"/>
      <c r="O242" s="1"/>
      <c r="P242" s="1"/>
      <c r="Q242" s="4" t="e">
        <f t="shared" si="50"/>
        <v>#DIV/0!</v>
      </c>
      <c r="X242" s="5"/>
      <c r="Y242" s="5"/>
      <c r="Z242" s="5"/>
      <c r="AA242" s="5"/>
      <c r="AB242" s="5"/>
    </row>
    <row r="243" spans="2:28" s="3" customFormat="1">
      <c r="B243" s="1"/>
      <c r="C243" s="1"/>
      <c r="D243" s="1"/>
      <c r="E243" s="1"/>
      <c r="F243" s="1"/>
      <c r="G243" s="1"/>
      <c r="H243" s="1"/>
      <c r="I243" s="1"/>
      <c r="J243" s="1"/>
      <c r="K243" s="1"/>
      <c r="L243" s="1"/>
      <c r="M243" s="1"/>
      <c r="N243" s="1"/>
      <c r="O243" s="1"/>
      <c r="P243" s="1"/>
      <c r="Q243" s="4" t="e">
        <f t="shared" ref="Q243:Q256" si="51">AVERAGE(D243:O243)</f>
        <v>#DIV/0!</v>
      </c>
      <c r="X243" s="5"/>
      <c r="Y243" s="5"/>
      <c r="Z243" s="5"/>
      <c r="AA243" s="5"/>
      <c r="AB243" s="5"/>
    </row>
    <row r="244" spans="2:28" s="3" customFormat="1">
      <c r="B244" s="1"/>
      <c r="C244" s="1"/>
      <c r="D244" s="1"/>
      <c r="E244" s="1"/>
      <c r="F244" s="1"/>
      <c r="G244" s="1"/>
      <c r="H244" s="1"/>
      <c r="I244" s="1"/>
      <c r="J244" s="1"/>
      <c r="K244" s="1"/>
      <c r="L244" s="1"/>
      <c r="M244" s="1"/>
      <c r="N244" s="1"/>
      <c r="O244" s="1"/>
      <c r="P244" s="1"/>
      <c r="Q244" s="4" t="e">
        <f t="shared" si="51"/>
        <v>#DIV/0!</v>
      </c>
      <c r="X244" s="5"/>
      <c r="Y244" s="5"/>
      <c r="Z244" s="5"/>
      <c r="AA244" s="5"/>
      <c r="AB244" s="5"/>
    </row>
    <row r="245" spans="2:28" s="3" customFormat="1">
      <c r="B245" s="1"/>
      <c r="C245" s="1"/>
      <c r="D245" s="1"/>
      <c r="E245" s="1"/>
      <c r="F245" s="1"/>
      <c r="G245" s="1"/>
      <c r="H245" s="1"/>
      <c r="I245" s="1"/>
      <c r="J245" s="1"/>
      <c r="K245" s="1"/>
      <c r="L245" s="1"/>
      <c r="M245" s="1"/>
      <c r="N245" s="1"/>
      <c r="O245" s="1"/>
      <c r="P245" s="1"/>
      <c r="Q245" s="4" t="e">
        <f t="shared" si="51"/>
        <v>#DIV/0!</v>
      </c>
      <c r="X245" s="5"/>
      <c r="Y245" s="5"/>
      <c r="Z245" s="5"/>
      <c r="AA245" s="5"/>
      <c r="AB245" s="5"/>
    </row>
    <row r="246" spans="2:28" s="3" customFormat="1">
      <c r="B246" s="1"/>
      <c r="C246" s="1"/>
      <c r="D246" s="1"/>
      <c r="E246" s="1"/>
      <c r="F246" s="1"/>
      <c r="G246" s="1"/>
      <c r="H246" s="1"/>
      <c r="I246" s="1"/>
      <c r="J246" s="1"/>
      <c r="K246" s="1"/>
      <c r="L246" s="1"/>
      <c r="M246" s="1"/>
      <c r="N246" s="1"/>
      <c r="O246" s="1"/>
      <c r="P246" s="1"/>
      <c r="Q246" s="4" t="e">
        <f t="shared" si="51"/>
        <v>#DIV/0!</v>
      </c>
      <c r="X246" s="5"/>
      <c r="Y246" s="5"/>
      <c r="Z246" s="5"/>
      <c r="AA246" s="5"/>
      <c r="AB246" s="5"/>
    </row>
    <row r="247" spans="2:28" s="3" customFormat="1">
      <c r="B247" s="1"/>
      <c r="C247" s="1"/>
      <c r="D247" s="1"/>
      <c r="E247" s="1"/>
      <c r="F247" s="1"/>
      <c r="G247" s="1"/>
      <c r="H247" s="1"/>
      <c r="I247" s="1"/>
      <c r="J247" s="1"/>
      <c r="K247" s="1"/>
      <c r="L247" s="1"/>
      <c r="M247" s="1"/>
      <c r="N247" s="1"/>
      <c r="O247" s="1"/>
      <c r="P247" s="1"/>
      <c r="Q247" s="4" t="e">
        <f t="shared" si="51"/>
        <v>#DIV/0!</v>
      </c>
      <c r="X247" s="5"/>
      <c r="Y247" s="5"/>
      <c r="Z247" s="5"/>
      <c r="AA247" s="5"/>
      <c r="AB247" s="5"/>
    </row>
    <row r="248" spans="2:28" s="3" customFormat="1">
      <c r="B248" s="1"/>
      <c r="C248" s="1"/>
      <c r="D248" s="1"/>
      <c r="E248" s="1"/>
      <c r="F248" s="1"/>
      <c r="G248" s="1"/>
      <c r="H248" s="1"/>
      <c r="I248" s="1"/>
      <c r="J248" s="1"/>
      <c r="K248" s="1"/>
      <c r="L248" s="1"/>
      <c r="M248" s="1"/>
      <c r="N248" s="1"/>
      <c r="O248" s="1"/>
      <c r="P248" s="1"/>
      <c r="Q248" s="4" t="e">
        <f t="shared" si="51"/>
        <v>#DIV/0!</v>
      </c>
      <c r="X248" s="5"/>
      <c r="Y248" s="5"/>
      <c r="Z248" s="5"/>
      <c r="AA248" s="5"/>
      <c r="AB248" s="5"/>
    </row>
    <row r="249" spans="2:28" s="3" customFormat="1">
      <c r="B249" s="1"/>
      <c r="C249" s="1"/>
      <c r="D249" s="1"/>
      <c r="E249" s="1"/>
      <c r="F249" s="1"/>
      <c r="G249" s="1"/>
      <c r="H249" s="1"/>
      <c r="I249" s="1"/>
      <c r="J249" s="1"/>
      <c r="K249" s="1"/>
      <c r="L249" s="1"/>
      <c r="M249" s="1"/>
      <c r="N249" s="1"/>
      <c r="O249" s="1"/>
      <c r="P249" s="1"/>
      <c r="Q249" s="4" t="e">
        <f t="shared" si="51"/>
        <v>#DIV/0!</v>
      </c>
      <c r="X249" s="5"/>
      <c r="Y249" s="5"/>
      <c r="Z249" s="5"/>
      <c r="AA249" s="5"/>
      <c r="AB249" s="5"/>
    </row>
    <row r="250" spans="2:28" s="3" customFormat="1">
      <c r="B250" s="1"/>
      <c r="C250" s="1"/>
      <c r="D250" s="1"/>
      <c r="E250" s="1"/>
      <c r="F250" s="1"/>
      <c r="G250" s="1"/>
      <c r="H250" s="1"/>
      <c r="I250" s="1"/>
      <c r="J250" s="1"/>
      <c r="K250" s="1"/>
      <c r="L250" s="1"/>
      <c r="M250" s="1"/>
      <c r="N250" s="1"/>
      <c r="O250" s="1"/>
      <c r="P250" s="1"/>
      <c r="Q250" s="4" t="e">
        <f t="shared" si="51"/>
        <v>#DIV/0!</v>
      </c>
      <c r="X250" s="5"/>
      <c r="Y250" s="5"/>
      <c r="Z250" s="5"/>
      <c r="AA250" s="5"/>
      <c r="AB250" s="5"/>
    </row>
    <row r="251" spans="2:28" s="3" customFormat="1">
      <c r="B251" s="1"/>
      <c r="C251" s="1"/>
      <c r="D251" s="1"/>
      <c r="E251" s="1"/>
      <c r="F251" s="1"/>
      <c r="G251" s="1"/>
      <c r="H251" s="1"/>
      <c r="I251" s="1"/>
      <c r="J251" s="1"/>
      <c r="K251" s="1"/>
      <c r="L251" s="1"/>
      <c r="M251" s="1"/>
      <c r="N251" s="1"/>
      <c r="O251" s="1"/>
      <c r="P251" s="1"/>
      <c r="Q251" s="4" t="e">
        <f t="shared" si="51"/>
        <v>#DIV/0!</v>
      </c>
      <c r="X251" s="5"/>
      <c r="Y251" s="5"/>
      <c r="Z251" s="5"/>
      <c r="AA251" s="5"/>
      <c r="AB251" s="5"/>
    </row>
    <row r="252" spans="2:28" s="3" customFormat="1">
      <c r="B252" s="1"/>
      <c r="C252" s="1"/>
      <c r="D252" s="1"/>
      <c r="E252" s="1"/>
      <c r="F252" s="1"/>
      <c r="G252" s="1"/>
      <c r="H252" s="1"/>
      <c r="I252" s="1"/>
      <c r="J252" s="1"/>
      <c r="K252" s="1"/>
      <c r="L252" s="1"/>
      <c r="M252" s="1"/>
      <c r="N252" s="1"/>
      <c r="O252" s="1"/>
      <c r="P252" s="1"/>
      <c r="Q252" s="4" t="e">
        <f t="shared" si="51"/>
        <v>#DIV/0!</v>
      </c>
      <c r="X252" s="5"/>
      <c r="Y252" s="5"/>
      <c r="Z252" s="5"/>
      <c r="AA252" s="5"/>
      <c r="AB252" s="5"/>
    </row>
    <row r="253" spans="2:28">
      <c r="Q253" s="4" t="e">
        <f t="shared" si="51"/>
        <v>#DIV/0!</v>
      </c>
      <c r="R253" s="3"/>
      <c r="S253" s="3"/>
      <c r="X253" s="2"/>
      <c r="Y253" s="2"/>
      <c r="Z253" s="2"/>
      <c r="AA253" s="2"/>
      <c r="AB253" s="2"/>
    </row>
    <row r="254" spans="2:28">
      <c r="Q254" s="4" t="e">
        <f t="shared" si="51"/>
        <v>#DIV/0!</v>
      </c>
      <c r="R254" s="3"/>
      <c r="S254" s="3"/>
      <c r="X254" s="2"/>
      <c r="Y254" s="2"/>
      <c r="Z254" s="2"/>
      <c r="AA254" s="2"/>
      <c r="AB254" s="2"/>
    </row>
    <row r="255" spans="2:28">
      <c r="Q255" s="4" t="e">
        <f t="shared" si="51"/>
        <v>#DIV/0!</v>
      </c>
      <c r="R255" s="3"/>
      <c r="S255" s="3"/>
      <c r="X255" s="2"/>
      <c r="Y255" s="2"/>
      <c r="Z255" s="2"/>
      <c r="AA255" s="2"/>
      <c r="AB255" s="2"/>
    </row>
    <row r="256" spans="2:28">
      <c r="Q256" s="4" t="e">
        <f t="shared" si="51"/>
        <v>#DIV/0!</v>
      </c>
      <c r="R256" s="3"/>
      <c r="S256" s="3"/>
      <c r="X256" s="2"/>
      <c r="Y256" s="2"/>
      <c r="Z256" s="2"/>
      <c r="AA256" s="2"/>
      <c r="AB256" s="2"/>
    </row>
    <row r="257" spans="17:28">
      <c r="Q257" s="4"/>
      <c r="R257" s="3"/>
      <c r="S257" s="3"/>
      <c r="X257" s="2"/>
      <c r="Y257" s="2"/>
      <c r="Z257" s="2"/>
      <c r="AA257" s="2"/>
      <c r="AB257" s="2"/>
    </row>
    <row r="258" spans="17:28">
      <c r="Q258" s="4"/>
      <c r="R258" s="3"/>
      <c r="S258" s="3"/>
      <c r="X258" s="2"/>
      <c r="Y258" s="2"/>
      <c r="Z258" s="2"/>
      <c r="AA258" s="2"/>
      <c r="AB258" s="2"/>
    </row>
    <row r="259" spans="17:28">
      <c r="X259" s="2"/>
      <c r="Y259" s="2"/>
      <c r="Z259" s="2"/>
      <c r="AA259" s="2"/>
      <c r="AB259" s="2"/>
    </row>
    <row r="260" spans="17:28">
      <c r="X260" s="2"/>
      <c r="Y260" s="2"/>
      <c r="Z260" s="2"/>
      <c r="AA260" s="2"/>
      <c r="AB260" s="2"/>
    </row>
    <row r="261" spans="17:28">
      <c r="X261" s="2"/>
      <c r="Y261" s="2"/>
      <c r="Z261" s="2"/>
      <c r="AA261" s="2"/>
      <c r="AB261" s="2"/>
    </row>
    <row r="262" spans="17:28">
      <c r="X262" s="2"/>
      <c r="Y262" s="2"/>
      <c r="Z262" s="2"/>
      <c r="AA262" s="2"/>
      <c r="AB262" s="2"/>
    </row>
    <row r="263" spans="17:28">
      <c r="X263" s="2"/>
      <c r="Y263" s="2"/>
      <c r="Z263" s="2"/>
      <c r="AA263" s="2"/>
      <c r="AB263" s="2"/>
    </row>
    <row r="264" spans="17:28">
      <c r="X264" s="2"/>
      <c r="Y264" s="2"/>
      <c r="Z264" s="2"/>
      <c r="AA264" s="2"/>
      <c r="AB264" s="2"/>
    </row>
    <row r="265" spans="17:28">
      <c r="X265" s="2"/>
      <c r="Y265" s="2"/>
      <c r="Z265" s="2"/>
      <c r="AA265" s="2"/>
      <c r="AB265" s="2"/>
    </row>
    <row r="266" spans="17:28">
      <c r="X266" s="2"/>
      <c r="Y266" s="2"/>
      <c r="Z266" s="2"/>
      <c r="AA266" s="2"/>
      <c r="AB266" s="2"/>
    </row>
    <row r="267" spans="17:28">
      <c r="X267" s="2"/>
      <c r="Y267" s="2"/>
      <c r="Z267" s="2"/>
      <c r="AA267" s="2"/>
      <c r="AB267" s="2"/>
    </row>
    <row r="268" spans="17:28">
      <c r="X268" s="2"/>
      <c r="Y268" s="2"/>
      <c r="Z268" s="2"/>
      <c r="AA268" s="2"/>
      <c r="AB268" s="2"/>
    </row>
  </sheetData>
  <mergeCells count="1">
    <mergeCell ref="X2:Z2"/>
  </mergeCells>
  <pageMargins left="0.75" right="0.75" top="1.5" bottom="1" header="0.75" footer="0.5"/>
  <pageSetup scale="60" fitToHeight="0" orientation="landscape" r:id="rId1"/>
  <headerFooter alignWithMargins="0">
    <oddHeader>&amp;L&amp;"Times New Roman,Regular"PacifiCorp&amp;C&amp;"Times New Roman,Regular"Investor-supplied Working Capital&amp;R&amp;"Times New Roman,Regular"Docket No. UE-100749
Exhibit No. TES-2
October 5, 2010</oddHeader>
    <oddFooter>&amp;L&amp;"-,Regular"&amp;8&amp;F (&amp;A)&amp;R&amp;"Times New Roman,Bold"&amp;P of &amp;N</oddFooter>
  </headerFooter>
  <legacyDrawing r:id="rId2"/>
</worksheet>
</file>

<file path=xl/worksheets/sheet9.xml><?xml version="1.0" encoding="utf-8"?>
<worksheet xmlns="http://schemas.openxmlformats.org/spreadsheetml/2006/main" xmlns:r="http://schemas.openxmlformats.org/officeDocument/2006/relationships">
  <dimension ref="A1:W337"/>
  <sheetViews>
    <sheetView workbookViewId="0">
      <pane ySplit="1" topLeftCell="A2" activePane="bottomLeft" state="frozen"/>
      <selection activeCell="C25" sqref="C25"/>
      <selection pane="bottomLeft" activeCell="C25" sqref="C25"/>
    </sheetView>
  </sheetViews>
  <sheetFormatPr defaultRowHeight="12.75"/>
  <cols>
    <col min="1" max="1" width="4.28515625" style="86" bestFit="1" customWidth="1"/>
    <col min="2" max="2" width="5" style="86" bestFit="1" customWidth="1"/>
    <col min="3" max="3" width="8.28515625" style="86" bestFit="1" customWidth="1"/>
    <col min="4" max="4" width="7.85546875" style="86" bestFit="1" customWidth="1"/>
    <col min="5" max="5" width="20.28515625" style="86" bestFit="1" customWidth="1"/>
    <col min="6" max="6" width="9.5703125" style="86" customWidth="1"/>
    <col min="7" max="7" width="10.42578125" style="86" bestFit="1" customWidth="1"/>
    <col min="8" max="8" width="7" style="86" bestFit="1" customWidth="1"/>
    <col min="9" max="9" width="11" style="86" bestFit="1" customWidth="1"/>
    <col min="10" max="10" width="7.5703125" style="86" bestFit="1" customWidth="1"/>
    <col min="11" max="23" width="14.5703125" style="83" bestFit="1" customWidth="1"/>
    <col min="24" max="16384" width="9.140625" style="83"/>
  </cols>
  <sheetData>
    <row r="1" spans="1:23">
      <c r="A1" s="80" t="s">
        <v>232</v>
      </c>
      <c r="B1" s="81" t="s">
        <v>233</v>
      </c>
      <c r="C1" s="80" t="s">
        <v>234</v>
      </c>
      <c r="D1" s="80" t="s">
        <v>235</v>
      </c>
      <c r="E1" s="81" t="s">
        <v>236</v>
      </c>
      <c r="F1" s="81" t="s">
        <v>237</v>
      </c>
      <c r="G1" s="80" t="s">
        <v>238</v>
      </c>
      <c r="H1" s="80" t="s">
        <v>239</v>
      </c>
      <c r="I1" s="80" t="s">
        <v>240</v>
      </c>
      <c r="J1" s="80" t="s">
        <v>241</v>
      </c>
      <c r="K1" s="82" t="s">
        <v>242</v>
      </c>
      <c r="L1" s="82" t="s">
        <v>243</v>
      </c>
      <c r="M1" s="82" t="s">
        <v>244</v>
      </c>
      <c r="N1" s="82" t="s">
        <v>245</v>
      </c>
      <c r="O1" s="82" t="s">
        <v>246</v>
      </c>
      <c r="P1" s="82" t="s">
        <v>247</v>
      </c>
      <c r="Q1" s="82" t="s">
        <v>248</v>
      </c>
      <c r="R1" s="82" t="s">
        <v>249</v>
      </c>
      <c r="S1" s="82" t="s">
        <v>250</v>
      </c>
      <c r="T1" s="82" t="s">
        <v>251</v>
      </c>
      <c r="U1" s="82" t="s">
        <v>252</v>
      </c>
      <c r="V1" s="82" t="s">
        <v>253</v>
      </c>
      <c r="W1" s="82" t="s">
        <v>254</v>
      </c>
    </row>
    <row r="2" spans="1:23">
      <c r="A2" s="84">
        <v>0</v>
      </c>
      <c r="B2" s="84">
        <v>2011</v>
      </c>
      <c r="C2" s="84">
        <v>1042</v>
      </c>
      <c r="D2" s="84">
        <v>280328</v>
      </c>
      <c r="E2" s="84" t="str">
        <f>+G2&amp;H2&amp;I2</f>
        <v>22834001280328</v>
      </c>
      <c r="F2" s="84" t="str">
        <f>VLOOKUP(E2,zJARS_Allockeys!A:G,7,FALSE)</f>
        <v>NUTIL</v>
      </c>
      <c r="G2" s="84">
        <v>2283400</v>
      </c>
      <c r="H2" s="84">
        <v>1</v>
      </c>
      <c r="I2" s="84">
        <v>280328</v>
      </c>
      <c r="J2" s="84">
        <v>1000</v>
      </c>
      <c r="K2" s="85">
        <v>-56060.46</v>
      </c>
      <c r="L2" s="85">
        <v>-56060.46</v>
      </c>
      <c r="M2" s="85">
        <v>-56060.46</v>
      </c>
      <c r="N2" s="85">
        <v>-56060.46</v>
      </c>
      <c r="O2" s="85">
        <v>-56060.46</v>
      </c>
      <c r="P2" s="85">
        <v>-56060.46</v>
      </c>
      <c r="Q2" s="85">
        <v>-56060.46</v>
      </c>
      <c r="R2" s="85">
        <v>-56060.46</v>
      </c>
      <c r="S2" s="85">
        <v>-56060.46</v>
      </c>
      <c r="T2" s="85">
        <v>-56060.46</v>
      </c>
      <c r="U2" s="85">
        <v>-56060.46</v>
      </c>
      <c r="V2" s="85">
        <v>-56060.46</v>
      </c>
      <c r="W2" s="85">
        <v>-56060.46</v>
      </c>
    </row>
    <row r="3" spans="1:23">
      <c r="A3" s="84">
        <v>0</v>
      </c>
      <c r="B3" s="84">
        <v>2011</v>
      </c>
      <c r="C3" s="84">
        <v>1042</v>
      </c>
      <c r="D3" s="84">
        <v>280328</v>
      </c>
      <c r="E3" s="84" t="str">
        <f t="shared" ref="E3:E66" si="0">+G3&amp;H3&amp;I3</f>
        <v>22834001280328</v>
      </c>
      <c r="F3" s="84" t="str">
        <f>VLOOKUP(E3,zJARS_Allockeys!A:G,7,FALSE)</f>
        <v>NUTIL</v>
      </c>
      <c r="G3" s="84">
        <v>2283400</v>
      </c>
      <c r="H3" s="84">
        <v>1</v>
      </c>
      <c r="I3" s="84">
        <v>280328</v>
      </c>
      <c r="J3" s="84">
        <v>1000</v>
      </c>
      <c r="K3" s="85">
        <v>-38080898.619999997</v>
      </c>
      <c r="L3" s="85">
        <v>-38697351.619999997</v>
      </c>
      <c r="M3" s="85">
        <v>-39410888.519999996</v>
      </c>
      <c r="N3" s="85">
        <v>-40078490.619999997</v>
      </c>
      <c r="O3" s="85">
        <v>-40760434.019999996</v>
      </c>
      <c r="P3" s="85">
        <v>-41429328.859999999</v>
      </c>
      <c r="Q3" s="85">
        <v>-42370710.25</v>
      </c>
      <c r="R3" s="85">
        <v>-43040609.619999997</v>
      </c>
      <c r="S3" s="85">
        <v>-43702499.619999997</v>
      </c>
      <c r="T3" s="85">
        <v>-44364404.869999997</v>
      </c>
      <c r="U3" s="85">
        <v>-45014923</v>
      </c>
      <c r="V3" s="85">
        <v>-45659183.490000002</v>
      </c>
      <c r="W3" s="85">
        <v>-46319171.120000005</v>
      </c>
    </row>
    <row r="4" spans="1:23">
      <c r="A4" s="84">
        <v>0</v>
      </c>
      <c r="B4" s="84">
        <v>2011</v>
      </c>
      <c r="C4" s="84">
        <v>1042</v>
      </c>
      <c r="D4" s="84">
        <v>280328</v>
      </c>
      <c r="E4" s="84" t="str">
        <f t="shared" si="0"/>
        <v>2283400122092280328</v>
      </c>
      <c r="F4" s="84" t="str">
        <f>VLOOKUP(E4,zJARS_Allockeys!A:G,7,FALSE)</f>
        <v>NUTIL</v>
      </c>
      <c r="G4" s="84">
        <v>2283400</v>
      </c>
      <c r="H4" s="84">
        <v>122092</v>
      </c>
      <c r="I4" s="84">
        <v>280328</v>
      </c>
      <c r="J4" s="84">
        <v>1000</v>
      </c>
      <c r="K4" s="85">
        <v>-1381167.99</v>
      </c>
      <c r="L4" s="85">
        <v>-1381167.99</v>
      </c>
      <c r="M4" s="85">
        <v>-1381167.99</v>
      </c>
      <c r="N4" s="85">
        <v>-1381167.99</v>
      </c>
      <c r="O4" s="85">
        <v>-1381167.99</v>
      </c>
      <c r="P4" s="85">
        <v>-1381167.99</v>
      </c>
      <c r="Q4" s="85">
        <v>-1381167.99</v>
      </c>
      <c r="R4" s="85">
        <v>-1381167.99</v>
      </c>
      <c r="S4" s="85">
        <v>-1381167.99</v>
      </c>
      <c r="T4" s="85">
        <v>-1381167.99</v>
      </c>
      <c r="U4" s="85">
        <v>-1381167.99</v>
      </c>
      <c r="V4" s="85">
        <v>-1381167.99</v>
      </c>
      <c r="W4" s="85">
        <v>-1381167.99</v>
      </c>
    </row>
    <row r="5" spans="1:23">
      <c r="A5" s="84">
        <v>0</v>
      </c>
      <c r="B5" s="84">
        <v>2011</v>
      </c>
      <c r="C5" s="84">
        <v>1042</v>
      </c>
      <c r="D5" s="84">
        <v>280328</v>
      </c>
      <c r="E5" s="84" t="str">
        <f t="shared" si="0"/>
        <v>22840000</v>
      </c>
      <c r="F5" s="84" t="e">
        <f>VLOOKUP(E5,zJARS_Allockeys!A:G,7,FALSE)</f>
        <v>#N/A</v>
      </c>
      <c r="G5" s="84">
        <v>2284000</v>
      </c>
      <c r="H5" s="84">
        <v>0</v>
      </c>
      <c r="I5" s="84"/>
      <c r="J5" s="84">
        <v>1000</v>
      </c>
      <c r="K5" s="85">
        <v>-12312.58</v>
      </c>
      <c r="L5" s="85">
        <v>-12312.58</v>
      </c>
      <c r="M5" s="85">
        <v>-12312.58</v>
      </c>
      <c r="N5" s="85">
        <v>-12312.58</v>
      </c>
      <c r="O5" s="85">
        <v>-12312.58</v>
      </c>
      <c r="P5" s="85">
        <v>-12312.58</v>
      </c>
      <c r="Q5" s="85">
        <v>-12312.58</v>
      </c>
      <c r="R5" s="85">
        <v>-12312.58</v>
      </c>
      <c r="S5" s="85">
        <v>-12312.58</v>
      </c>
      <c r="T5" s="85">
        <v>-12312.58</v>
      </c>
      <c r="U5" s="85">
        <v>-12312.58</v>
      </c>
      <c r="V5" s="85">
        <v>-12312.58</v>
      </c>
      <c r="W5" s="85">
        <v>-12312.58</v>
      </c>
    </row>
    <row r="6" spans="1:23">
      <c r="A6" s="84">
        <v>0</v>
      </c>
      <c r="B6" s="84">
        <v>2011</v>
      </c>
      <c r="C6" s="84">
        <v>1042</v>
      </c>
      <c r="D6" s="84">
        <v>280355</v>
      </c>
      <c r="E6" s="84" t="str">
        <f t="shared" si="0"/>
        <v>22835001280355</v>
      </c>
      <c r="F6" s="84" t="str">
        <f>VLOOKUP(E6,zJARS_Allockeys!A:G,7,FALSE)</f>
        <v>NUTIL</v>
      </c>
      <c r="G6" s="84">
        <v>2283500</v>
      </c>
      <c r="H6" s="84">
        <v>1</v>
      </c>
      <c r="I6" s="84">
        <v>280355</v>
      </c>
      <c r="J6" s="84">
        <v>1000</v>
      </c>
      <c r="K6" s="85">
        <v>-75843093</v>
      </c>
      <c r="L6" s="85">
        <v>-75843093</v>
      </c>
      <c r="M6" s="85">
        <v>-75843093</v>
      </c>
      <c r="N6" s="85">
        <v>-75843093</v>
      </c>
      <c r="O6" s="85">
        <v>-75843093</v>
      </c>
      <c r="P6" s="85">
        <v>-75843093</v>
      </c>
      <c r="Q6" s="85">
        <v>-75843093</v>
      </c>
      <c r="R6" s="85">
        <v>-75843093</v>
      </c>
      <c r="S6" s="85">
        <v>-75843093</v>
      </c>
      <c r="T6" s="85">
        <v>-75843093</v>
      </c>
      <c r="U6" s="85">
        <v>-75843093</v>
      </c>
      <c r="V6" s="85">
        <v>-75843093</v>
      </c>
      <c r="W6" s="85">
        <v>-75843093</v>
      </c>
    </row>
    <row r="7" spans="1:23">
      <c r="A7" s="84">
        <v>0</v>
      </c>
      <c r="B7" s="84">
        <v>2011</v>
      </c>
      <c r="C7" s="84">
        <v>1042</v>
      </c>
      <c r="D7" s="84">
        <v>280455</v>
      </c>
      <c r="E7" s="84" t="str">
        <f t="shared" si="0"/>
        <v>22834001280455</v>
      </c>
      <c r="F7" s="84" t="str">
        <f>VLOOKUP(E7,zJARS_Allockeys!A:G,7,FALSE)</f>
        <v>NUTIL</v>
      </c>
      <c r="G7" s="84">
        <v>2283400</v>
      </c>
      <c r="H7" s="84">
        <v>1</v>
      </c>
      <c r="I7" s="84">
        <v>280455</v>
      </c>
      <c r="J7" s="84">
        <v>1000</v>
      </c>
      <c r="K7" s="85">
        <v>-3441460.33</v>
      </c>
      <c r="L7" s="85">
        <v>-3446451.39</v>
      </c>
      <c r="M7" s="85">
        <v>-3454162.45</v>
      </c>
      <c r="N7" s="85">
        <v>-3817339.68</v>
      </c>
      <c r="O7" s="85">
        <v>-3824206.54</v>
      </c>
      <c r="P7" s="85">
        <v>-3829070.6</v>
      </c>
      <c r="Q7" s="85">
        <v>-4210951.3499999996</v>
      </c>
      <c r="R7" s="85">
        <v>-4216891.43</v>
      </c>
      <c r="S7" s="85">
        <v>-4221640.22</v>
      </c>
      <c r="T7" s="85">
        <v>-4628628.42</v>
      </c>
      <c r="U7" s="85">
        <v>-4634448.4399999995</v>
      </c>
      <c r="V7" s="85">
        <v>-4639039.4999999991</v>
      </c>
      <c r="W7" s="85">
        <v>-4988903.7399999993</v>
      </c>
    </row>
    <row r="8" spans="1:23">
      <c r="A8" s="84">
        <v>0</v>
      </c>
      <c r="B8" s="84">
        <v>2011</v>
      </c>
      <c r="C8" s="84">
        <v>1042</v>
      </c>
      <c r="D8" s="84">
        <v>280465</v>
      </c>
      <c r="E8" s="84" t="str">
        <f t="shared" si="0"/>
        <v>22835001280465</v>
      </c>
      <c r="F8" s="84" t="str">
        <f>VLOOKUP(E8,zJARS_Allockeys!A:G,7,FALSE)</f>
        <v>NUTIL</v>
      </c>
      <c r="G8" s="84">
        <v>2283500</v>
      </c>
      <c r="H8" s="84">
        <v>1</v>
      </c>
      <c r="I8" s="84">
        <v>280465</v>
      </c>
      <c r="J8" s="84">
        <v>1000</v>
      </c>
      <c r="K8" s="85">
        <v>-4050376.48</v>
      </c>
      <c r="L8" s="85">
        <v>-4050376.48</v>
      </c>
      <c r="M8" s="85">
        <v>-4050376.48</v>
      </c>
      <c r="N8" s="85">
        <v>-4050376.48</v>
      </c>
      <c r="O8" s="85">
        <v>-4050376.48</v>
      </c>
      <c r="P8" s="85">
        <v>-4050376.48</v>
      </c>
      <c r="Q8" s="85">
        <v>-4050376.48</v>
      </c>
      <c r="R8" s="85">
        <v>-4050376.48</v>
      </c>
      <c r="S8" s="85">
        <v>-4050376.48</v>
      </c>
      <c r="T8" s="85">
        <v>-4050376.48</v>
      </c>
      <c r="U8" s="85">
        <v>-4050376.48</v>
      </c>
      <c r="V8" s="85">
        <v>-4050376.48</v>
      </c>
      <c r="W8" s="85">
        <v>-4050376.48</v>
      </c>
    </row>
    <row r="9" spans="1:23">
      <c r="A9" s="84">
        <v>0</v>
      </c>
      <c r="B9" s="84">
        <v>2011</v>
      </c>
      <c r="C9" s="84">
        <v>1170</v>
      </c>
      <c r="D9" s="84">
        <v>280479</v>
      </c>
      <c r="E9" s="84" t="str">
        <f t="shared" si="0"/>
        <v>22835001034280479</v>
      </c>
      <c r="F9" s="84" t="str">
        <f>VLOOKUP(E9,zJARS_Allockeys!A:G,7,FALSE)</f>
        <v>NUTIL</v>
      </c>
      <c r="G9" s="84">
        <v>2283500</v>
      </c>
      <c r="H9" s="84">
        <v>1034</v>
      </c>
      <c r="I9" s="84">
        <v>280479</v>
      </c>
      <c r="J9" s="84">
        <v>1000</v>
      </c>
      <c r="K9" s="85">
        <v>-132438000</v>
      </c>
      <c r="L9" s="85">
        <v>-136531000</v>
      </c>
      <c r="M9" s="85">
        <v>-140624000</v>
      </c>
      <c r="N9" s="85">
        <v>-144717000</v>
      </c>
      <c r="O9" s="85">
        <v>-148810000</v>
      </c>
      <c r="P9" s="85">
        <v>-152794000</v>
      </c>
      <c r="Q9" s="85">
        <v>-156778000</v>
      </c>
      <c r="R9" s="85">
        <v>-160762000</v>
      </c>
      <c r="S9" s="85">
        <v>-164746000</v>
      </c>
      <c r="T9" s="85">
        <v>-168730000</v>
      </c>
      <c r="U9" s="85">
        <v>-172714000</v>
      </c>
      <c r="V9" s="85">
        <v>-176698000</v>
      </c>
      <c r="W9" s="85">
        <v>-180682000</v>
      </c>
    </row>
    <row r="10" spans="1:23">
      <c r="A10" s="84">
        <v>0</v>
      </c>
      <c r="B10" s="84">
        <v>2011</v>
      </c>
      <c r="C10" s="84">
        <v>1170</v>
      </c>
      <c r="D10" s="84">
        <v>280479</v>
      </c>
      <c r="E10" s="84" t="str">
        <f t="shared" si="0"/>
        <v>242000010340</v>
      </c>
      <c r="F10" s="84" t="str">
        <f>VLOOKUP(E10,zJARS_Allockeys!A:G,7,FALSE)</f>
        <v>NUTIL</v>
      </c>
      <c r="G10" s="84">
        <v>2420000</v>
      </c>
      <c r="H10" s="84">
        <v>1034</v>
      </c>
      <c r="I10" s="84">
        <v>0</v>
      </c>
      <c r="J10" s="84">
        <v>1000</v>
      </c>
      <c r="K10" s="85">
        <v>-16000000</v>
      </c>
      <c r="L10" s="85">
        <v>-16000000</v>
      </c>
      <c r="M10" s="85">
        <v>-16000000</v>
      </c>
      <c r="N10" s="85">
        <v>-16000000</v>
      </c>
      <c r="O10" s="85">
        <v>-16000000</v>
      </c>
      <c r="P10" s="85">
        <v>-16000000</v>
      </c>
      <c r="Q10" s="85">
        <v>-16000000</v>
      </c>
      <c r="R10" s="85">
        <v>-16000000</v>
      </c>
      <c r="S10" s="85">
        <v>-16000000</v>
      </c>
      <c r="T10" s="85">
        <v>-16000000</v>
      </c>
      <c r="U10" s="85">
        <v>-16000000</v>
      </c>
      <c r="V10" s="85">
        <v>-16000000</v>
      </c>
      <c r="W10" s="85">
        <v>-16000000</v>
      </c>
    </row>
    <row r="11" spans="1:23">
      <c r="A11" s="84">
        <v>0</v>
      </c>
      <c r="B11" s="84">
        <v>2011</v>
      </c>
      <c r="C11" s="84">
        <v>1196</v>
      </c>
      <c r="D11" s="84">
        <v>280328</v>
      </c>
      <c r="E11" s="84" t="str">
        <f t="shared" si="0"/>
        <v>22834001280328</v>
      </c>
      <c r="F11" s="84" t="str">
        <f>VLOOKUP(E11,zJARS_Allockeys!A:G,7,FALSE)</f>
        <v>NUTIL</v>
      </c>
      <c r="G11" s="84">
        <v>2283400</v>
      </c>
      <c r="H11" s="84">
        <v>1</v>
      </c>
      <c r="I11" s="84">
        <v>280328</v>
      </c>
      <c r="J11" s="84">
        <v>1000</v>
      </c>
      <c r="K11" s="85">
        <v>-94320.05</v>
      </c>
      <c r="L11" s="85">
        <v>-94320.05</v>
      </c>
      <c r="M11" s="85">
        <v>-94320.05</v>
      </c>
      <c r="N11" s="85">
        <v>-94320.05</v>
      </c>
      <c r="O11" s="85">
        <v>-94320.05</v>
      </c>
      <c r="P11" s="85">
        <v>-94320.05</v>
      </c>
      <c r="Q11" s="85">
        <v>-94320.05</v>
      </c>
      <c r="R11" s="85">
        <v>-94320.05</v>
      </c>
      <c r="S11" s="85">
        <v>-94320.05</v>
      </c>
      <c r="T11" s="85">
        <v>-94320.05</v>
      </c>
      <c r="U11" s="85">
        <v>-94320.05</v>
      </c>
      <c r="V11" s="85">
        <v>-94320.05</v>
      </c>
      <c r="W11" s="85">
        <v>-94320.05</v>
      </c>
    </row>
    <row r="12" spans="1:23">
      <c r="A12" s="84">
        <v>0</v>
      </c>
      <c r="B12" s="84">
        <v>2011</v>
      </c>
      <c r="C12" s="84">
        <v>1200</v>
      </c>
      <c r="D12" s="84">
        <v>187017</v>
      </c>
      <c r="E12" s="84" t="str">
        <f t="shared" si="0"/>
        <v>18238701111610</v>
      </c>
      <c r="F12" s="84" t="str">
        <f>VLOOKUP(E12,zJARS_Allockeys!A:G,7,FALSE)</f>
        <v>NUTIL</v>
      </c>
      <c r="G12" s="84">
        <v>1823870</v>
      </c>
      <c r="H12" s="84">
        <v>1</v>
      </c>
      <c r="I12" s="84">
        <v>111610</v>
      </c>
      <c r="J12" s="84">
        <v>1000</v>
      </c>
      <c r="K12" s="85">
        <v>-409985025.17000002</v>
      </c>
      <c r="L12" s="85">
        <v>-409985025.17000002</v>
      </c>
      <c r="M12" s="85">
        <v>-409985025.17000002</v>
      </c>
      <c r="N12" s="85">
        <v>-409985025.17000002</v>
      </c>
      <c r="O12" s="85">
        <v>-409985025.17000002</v>
      </c>
      <c r="P12" s="85">
        <v>-409985025.17000002</v>
      </c>
      <c r="Q12" s="85">
        <v>-409985025.17000002</v>
      </c>
      <c r="R12" s="85">
        <v>-409985025.17000002</v>
      </c>
      <c r="S12" s="85">
        <v>-409985025.17000002</v>
      </c>
      <c r="T12" s="85">
        <v>-409985025.17000002</v>
      </c>
      <c r="U12" s="85">
        <v>-409985025.17000002</v>
      </c>
      <c r="V12" s="85">
        <v>-409985025.17000002</v>
      </c>
      <c r="W12" s="85">
        <v>-409985025.17000002</v>
      </c>
    </row>
    <row r="13" spans="1:23">
      <c r="A13" s="84">
        <v>0</v>
      </c>
      <c r="B13" s="84">
        <v>2011</v>
      </c>
      <c r="C13" s="84">
        <v>1200</v>
      </c>
      <c r="D13" s="84">
        <v>187017</v>
      </c>
      <c r="E13" s="84" t="str">
        <f t="shared" si="0"/>
        <v>18238701187017</v>
      </c>
      <c r="F13" s="84" t="str">
        <f>VLOOKUP(E13,zJARS_Allockeys!A:G,7,FALSE)</f>
        <v>NUTIL</v>
      </c>
      <c r="G13" s="84">
        <v>1823870</v>
      </c>
      <c r="H13" s="84">
        <v>1</v>
      </c>
      <c r="I13" s="84">
        <v>187017</v>
      </c>
      <c r="J13" s="84">
        <v>1000</v>
      </c>
      <c r="K13" s="85">
        <v>-447480394.25999999</v>
      </c>
      <c r="L13" s="85">
        <v>-544517250.54999995</v>
      </c>
      <c r="M13" s="85">
        <v>-546381785.75999999</v>
      </c>
      <c r="N13" s="85">
        <v>-548250741.52999997</v>
      </c>
      <c r="O13" s="85">
        <v>-550112899</v>
      </c>
      <c r="P13" s="85">
        <v>-551988210.11000001</v>
      </c>
      <c r="Q13" s="85">
        <v>-553857614.98000002</v>
      </c>
      <c r="R13" s="85">
        <v>-555727019.85000002</v>
      </c>
      <c r="S13" s="85">
        <v>-557840708.13999999</v>
      </c>
      <c r="T13" s="85">
        <v>-559714267.98000002</v>
      </c>
      <c r="U13" s="85">
        <v>-561587827.82000005</v>
      </c>
      <c r="V13" s="85">
        <v>-563461387.66000009</v>
      </c>
      <c r="W13" s="85">
        <v>-574620947.50000012</v>
      </c>
    </row>
    <row r="14" spans="1:23">
      <c r="A14" s="84">
        <v>0</v>
      </c>
      <c r="B14" s="84">
        <v>2011</v>
      </c>
      <c r="C14" s="84">
        <v>1200</v>
      </c>
      <c r="D14" s="84">
        <v>187600</v>
      </c>
      <c r="E14" s="84" t="str">
        <f t="shared" si="0"/>
        <v>18238701187600</v>
      </c>
      <c r="F14" s="84" t="str">
        <f>VLOOKUP(E14,zJARS_Allockeys!A:G,7,FALSE)</f>
        <v>NUTIL</v>
      </c>
      <c r="G14" s="84">
        <v>1823870</v>
      </c>
      <c r="H14" s="84">
        <v>1</v>
      </c>
      <c r="I14" s="84">
        <v>187600</v>
      </c>
      <c r="J14" s="84">
        <v>1000</v>
      </c>
      <c r="K14" s="85">
        <v>-11821555.34</v>
      </c>
      <c r="L14" s="85">
        <v>-12441557.43</v>
      </c>
      <c r="M14" s="85">
        <v>-12441557.43</v>
      </c>
      <c r="N14" s="85">
        <v>-12441557.43</v>
      </c>
      <c r="O14" s="85">
        <v>-12441557.43</v>
      </c>
      <c r="P14" s="85">
        <v>-12441557.43</v>
      </c>
      <c r="Q14" s="85">
        <v>-12441557.43</v>
      </c>
      <c r="R14" s="85">
        <v>-12441557.43</v>
      </c>
      <c r="S14" s="85">
        <v>-12441557.43</v>
      </c>
      <c r="T14" s="85">
        <v>-12441557.43</v>
      </c>
      <c r="U14" s="85">
        <v>-12441557.43</v>
      </c>
      <c r="V14" s="85">
        <v>-12441557.43</v>
      </c>
      <c r="W14" s="85">
        <v>-12441557.43</v>
      </c>
    </row>
    <row r="15" spans="1:23">
      <c r="A15" s="84">
        <v>0</v>
      </c>
      <c r="B15" s="84">
        <v>2011</v>
      </c>
      <c r="C15" s="84">
        <v>1200</v>
      </c>
      <c r="D15" s="84">
        <v>187602</v>
      </c>
      <c r="E15" s="84" t="str">
        <f t="shared" si="0"/>
        <v>18238701187602</v>
      </c>
      <c r="F15" s="84" t="str">
        <f>VLOOKUP(E15,zJARS_Allockeys!A:G,7,FALSE)</f>
        <v>NUTIL</v>
      </c>
      <c r="G15" s="84">
        <v>1823870</v>
      </c>
      <c r="H15" s="84">
        <v>1</v>
      </c>
      <c r="I15" s="84">
        <v>187602</v>
      </c>
      <c r="J15" s="84">
        <v>1000</v>
      </c>
      <c r="K15" s="85">
        <v>-574017.56999999995</v>
      </c>
      <c r="L15" s="85">
        <v>-597615.56999999995</v>
      </c>
      <c r="M15" s="85">
        <v>-621213.56999999995</v>
      </c>
      <c r="N15" s="85">
        <v>-644811.56999999995</v>
      </c>
      <c r="O15" s="85">
        <v>-668409.56999999995</v>
      </c>
      <c r="P15" s="85">
        <v>-692007.57</v>
      </c>
      <c r="Q15" s="85">
        <v>-715605.57</v>
      </c>
      <c r="R15" s="85">
        <v>-739203.57</v>
      </c>
      <c r="S15" s="85">
        <v>-762801.57</v>
      </c>
      <c r="T15" s="85">
        <v>-786399.57</v>
      </c>
      <c r="U15" s="85">
        <v>-809997.57</v>
      </c>
      <c r="V15" s="85">
        <v>-833595.57</v>
      </c>
      <c r="W15" s="85">
        <v>-857193.55999999994</v>
      </c>
    </row>
    <row r="16" spans="1:23">
      <c r="A16" s="84">
        <v>0</v>
      </c>
      <c r="B16" s="84">
        <v>2011</v>
      </c>
      <c r="C16" s="84">
        <v>1200</v>
      </c>
      <c r="D16" s="84">
        <v>187604</v>
      </c>
      <c r="E16" s="84" t="str">
        <f t="shared" si="0"/>
        <v>18238701187604</v>
      </c>
      <c r="F16" s="84" t="str">
        <f>VLOOKUP(E16,zJARS_Allockeys!A:G,7,FALSE)</f>
        <v>NUTIL</v>
      </c>
      <c r="G16" s="84">
        <v>1823870</v>
      </c>
      <c r="H16" s="84">
        <v>1</v>
      </c>
      <c r="I16" s="84">
        <v>187604</v>
      </c>
      <c r="J16" s="84">
        <v>1000</v>
      </c>
      <c r="K16" s="85">
        <v>-1022338.04</v>
      </c>
      <c r="L16" s="85">
        <v>-1075484.04</v>
      </c>
      <c r="M16" s="85">
        <v>-1075484.04</v>
      </c>
      <c r="N16" s="85">
        <v>-1075484.04</v>
      </c>
      <c r="O16" s="85">
        <v>-1075484.04</v>
      </c>
      <c r="P16" s="85">
        <v>-1075484.04</v>
      </c>
      <c r="Q16" s="85">
        <v>-1075484.04</v>
      </c>
      <c r="R16" s="85">
        <v>-1075484.04</v>
      </c>
      <c r="S16" s="85">
        <v>-1075484.04</v>
      </c>
      <c r="T16" s="85">
        <v>-1075484.04</v>
      </c>
      <c r="U16" s="85">
        <v>-1075484.04</v>
      </c>
      <c r="V16" s="85">
        <v>-1075484.04</v>
      </c>
      <c r="W16" s="85">
        <v>-1075484.04</v>
      </c>
    </row>
    <row r="17" spans="1:23">
      <c r="A17" s="84">
        <v>0</v>
      </c>
      <c r="B17" s="84">
        <v>2011</v>
      </c>
      <c r="C17" s="84">
        <v>1200</v>
      </c>
      <c r="D17" s="84">
        <v>187605</v>
      </c>
      <c r="E17" s="84" t="str">
        <f t="shared" si="0"/>
        <v>18238701187605</v>
      </c>
      <c r="F17" s="84" t="str">
        <f>VLOOKUP(E17,zJARS_Allockeys!A:G,7,FALSE)</f>
        <v>NUTIL</v>
      </c>
      <c r="G17" s="84">
        <v>1823870</v>
      </c>
      <c r="H17" s="84">
        <v>1</v>
      </c>
      <c r="I17" s="84">
        <v>187605</v>
      </c>
      <c r="J17" s="84">
        <v>1000</v>
      </c>
      <c r="K17" s="85">
        <v>-6326803.5899999999</v>
      </c>
      <c r="L17" s="85">
        <v>-6475445.5899999999</v>
      </c>
      <c r="M17" s="85">
        <v>-6475445.5899999999</v>
      </c>
      <c r="N17" s="85">
        <v>-6475445.5899999999</v>
      </c>
      <c r="O17" s="85">
        <v>-6475445.5899999999</v>
      </c>
      <c r="P17" s="85">
        <v>-6475445.5899999999</v>
      </c>
      <c r="Q17" s="85">
        <v>-6475445.5899999999</v>
      </c>
      <c r="R17" s="85">
        <v>-6475445.5899999999</v>
      </c>
      <c r="S17" s="85">
        <v>-6475445.5899999999</v>
      </c>
      <c r="T17" s="85">
        <v>-6475445.5899999999</v>
      </c>
      <c r="U17" s="85">
        <v>-6475445.5899999999</v>
      </c>
      <c r="V17" s="85">
        <v>-6475445.5899999999</v>
      </c>
      <c r="W17" s="85">
        <v>-6475445.5899999999</v>
      </c>
    </row>
    <row r="18" spans="1:23">
      <c r="A18" s="84">
        <v>0</v>
      </c>
      <c r="B18" s="84">
        <v>2011</v>
      </c>
      <c r="C18" s="84">
        <v>1200</v>
      </c>
      <c r="D18" s="84">
        <v>187621</v>
      </c>
      <c r="E18" s="84" t="str">
        <f t="shared" si="0"/>
        <v>18238701114020</v>
      </c>
      <c r="F18" s="84" t="str">
        <f>VLOOKUP(E18,zJARS_Allockeys!A:G,7,FALSE)</f>
        <v>NUTIL</v>
      </c>
      <c r="G18" s="84">
        <v>1823870</v>
      </c>
      <c r="H18" s="84">
        <v>1</v>
      </c>
      <c r="I18" s="84">
        <v>114020</v>
      </c>
      <c r="J18" s="84">
        <v>1000</v>
      </c>
      <c r="K18" s="85">
        <v>-206435569.09</v>
      </c>
      <c r="L18" s="85">
        <v>-206435569.09</v>
      </c>
      <c r="M18" s="85">
        <v>-206435569.09</v>
      </c>
      <c r="N18" s="85">
        <v>-206435569.09</v>
      </c>
      <c r="O18" s="85">
        <v>-206435569.09</v>
      </c>
      <c r="P18" s="85">
        <v>-206435569.09</v>
      </c>
      <c r="Q18" s="85">
        <v>-206435569.09</v>
      </c>
      <c r="R18" s="85">
        <v>-206435569.09</v>
      </c>
      <c r="S18" s="85">
        <v>-206435569.09</v>
      </c>
      <c r="T18" s="85">
        <v>-206435569.09</v>
      </c>
      <c r="U18" s="85">
        <v>-206435569.09</v>
      </c>
      <c r="V18" s="85">
        <v>-206435569.09</v>
      </c>
      <c r="W18" s="85">
        <v>-206435569.09</v>
      </c>
    </row>
    <row r="19" spans="1:23">
      <c r="A19" s="84">
        <v>0</v>
      </c>
      <c r="B19" s="84">
        <v>2011</v>
      </c>
      <c r="C19" s="84">
        <v>1200</v>
      </c>
      <c r="D19" s="84">
        <v>187621</v>
      </c>
      <c r="E19" s="84" t="str">
        <f t="shared" si="0"/>
        <v>18238701187621</v>
      </c>
      <c r="F19" s="84" t="str">
        <f>VLOOKUP(E19,zJARS_Allockeys!A:G,7,FALSE)</f>
        <v>NUTIL</v>
      </c>
      <c r="G19" s="84">
        <v>1823870</v>
      </c>
      <c r="H19" s="84">
        <v>1</v>
      </c>
      <c r="I19" s="84">
        <v>187621</v>
      </c>
      <c r="J19" s="84">
        <v>1000</v>
      </c>
      <c r="K19" s="85">
        <v>-126472881.73999999</v>
      </c>
      <c r="L19" s="85">
        <v>-127768798.41</v>
      </c>
      <c r="M19" s="85">
        <v>-128961715.08</v>
      </c>
      <c r="N19" s="85">
        <v>-130154631.75</v>
      </c>
      <c r="O19" s="85">
        <v>-131347548.42</v>
      </c>
      <c r="P19" s="85">
        <v>-132540465.09</v>
      </c>
      <c r="Q19" s="85">
        <v>-133733381.76000001</v>
      </c>
      <c r="R19" s="85">
        <v>-134926298.43000001</v>
      </c>
      <c r="S19" s="85">
        <v>-136328852.24000001</v>
      </c>
      <c r="T19" s="85">
        <v>-137521768.90000001</v>
      </c>
      <c r="U19" s="85">
        <v>-138714685.56</v>
      </c>
      <c r="V19" s="85">
        <v>-139907602.22</v>
      </c>
      <c r="W19" s="85">
        <v>-141100518.88</v>
      </c>
    </row>
    <row r="20" spans="1:23">
      <c r="A20" s="84">
        <v>0</v>
      </c>
      <c r="B20" s="84">
        <v>2011</v>
      </c>
      <c r="C20" s="84">
        <v>1200</v>
      </c>
      <c r="D20" s="84">
        <v>187622</v>
      </c>
      <c r="E20" s="84" t="str">
        <f t="shared" si="0"/>
        <v>18238701187622</v>
      </c>
      <c r="F20" s="84" t="str">
        <f>VLOOKUP(E20,zJARS_Allockeys!A:G,7,FALSE)</f>
        <v>NUTIL</v>
      </c>
      <c r="G20" s="84">
        <v>1823870</v>
      </c>
      <c r="H20" s="84">
        <v>1</v>
      </c>
      <c r="I20" s="84">
        <v>187622</v>
      </c>
      <c r="J20" s="84">
        <v>1000</v>
      </c>
      <c r="K20" s="85">
        <v>-199296.73</v>
      </c>
      <c r="L20" s="85">
        <v>-278524.65000000002</v>
      </c>
      <c r="M20" s="85">
        <v>-294610.88</v>
      </c>
      <c r="N20" s="85">
        <v>-310697.11</v>
      </c>
      <c r="O20" s="85">
        <v>-326783.33999999997</v>
      </c>
      <c r="P20" s="85">
        <v>-342869.56999999995</v>
      </c>
      <c r="Q20" s="85">
        <v>-358955.79999999993</v>
      </c>
      <c r="R20" s="85">
        <v>-375042.02999999991</v>
      </c>
      <c r="S20" s="85">
        <v>-391128.25999999989</v>
      </c>
      <c r="T20" s="85">
        <v>-407214.48999999987</v>
      </c>
      <c r="U20" s="85">
        <v>-423300.71999999986</v>
      </c>
      <c r="V20" s="85">
        <v>-439386.94999999984</v>
      </c>
      <c r="W20" s="85">
        <v>-455473.17999999982</v>
      </c>
    </row>
    <row r="21" spans="1:23">
      <c r="A21" s="84">
        <v>0</v>
      </c>
      <c r="B21" s="84">
        <v>2011</v>
      </c>
      <c r="C21" s="84">
        <v>1200</v>
      </c>
      <c r="D21" s="84">
        <v>187624</v>
      </c>
      <c r="E21" s="84" t="str">
        <f t="shared" si="0"/>
        <v>18238701187624</v>
      </c>
      <c r="F21" s="84" t="str">
        <f>VLOOKUP(E21,zJARS_Allockeys!A:G,7,FALSE)</f>
        <v>NUTIL</v>
      </c>
      <c r="G21" s="84">
        <v>1823870</v>
      </c>
      <c r="H21" s="84">
        <v>1</v>
      </c>
      <c r="I21" s="84">
        <v>187624</v>
      </c>
      <c r="J21" s="84">
        <v>1000</v>
      </c>
      <c r="K21" s="85">
        <v>-564839.17000000004</v>
      </c>
      <c r="L21" s="85">
        <v>-588059.83000000007</v>
      </c>
      <c r="M21" s="85">
        <v>-611280.50000000012</v>
      </c>
      <c r="N21" s="85">
        <v>-634501.17000000016</v>
      </c>
      <c r="O21" s="85">
        <v>-657721.8400000002</v>
      </c>
      <c r="P21" s="85">
        <v>-680942.51000000024</v>
      </c>
      <c r="Q21" s="85">
        <v>-704163.18000000028</v>
      </c>
      <c r="R21" s="85">
        <v>-727383.84000000032</v>
      </c>
      <c r="S21" s="85">
        <v>-750604.51000000036</v>
      </c>
      <c r="T21" s="85">
        <v>-773825.1800000004</v>
      </c>
      <c r="U21" s="85">
        <v>-797045.85000000044</v>
      </c>
      <c r="V21" s="85">
        <v>-820266.52000000048</v>
      </c>
      <c r="W21" s="85">
        <v>-843487.19000000053</v>
      </c>
    </row>
    <row r="22" spans="1:23">
      <c r="A22" s="84">
        <v>0</v>
      </c>
      <c r="B22" s="84">
        <v>2011</v>
      </c>
      <c r="C22" s="84">
        <v>1200</v>
      </c>
      <c r="D22" s="84">
        <v>187627</v>
      </c>
      <c r="E22" s="84" t="str">
        <f t="shared" si="0"/>
        <v>18238701187627</v>
      </c>
      <c r="F22" s="84" t="str">
        <f>VLOOKUP(E22,zJARS_Allockeys!A:G,7,FALSE)</f>
        <v>NUTIL</v>
      </c>
      <c r="G22" s="84">
        <v>1823870</v>
      </c>
      <c r="H22" s="84">
        <v>1</v>
      </c>
      <c r="I22" s="84">
        <v>187627</v>
      </c>
      <c r="J22" s="84">
        <v>1000</v>
      </c>
      <c r="K22" s="85">
        <v>-17235.349999999999</v>
      </c>
      <c r="L22" s="85">
        <v>-18671.629999999997</v>
      </c>
      <c r="M22" s="85">
        <v>-20107.909999999996</v>
      </c>
      <c r="N22" s="85">
        <v>-21544.189999999995</v>
      </c>
      <c r="O22" s="85">
        <v>-22980.469999999994</v>
      </c>
      <c r="P22" s="85">
        <v>-24416.749999999993</v>
      </c>
      <c r="Q22" s="85">
        <v>-25853.029999999992</v>
      </c>
      <c r="R22" s="85">
        <v>-27289.30999999999</v>
      </c>
      <c r="S22" s="85">
        <v>-28725.589999999989</v>
      </c>
      <c r="T22" s="85">
        <v>-30161.869999999988</v>
      </c>
      <c r="U22" s="85">
        <v>-31598.139999999989</v>
      </c>
      <c r="V22" s="85">
        <v>-33034.419999999991</v>
      </c>
      <c r="W22" s="85">
        <v>-34470.69999999999</v>
      </c>
    </row>
    <row r="23" spans="1:23">
      <c r="A23" s="84">
        <v>0</v>
      </c>
      <c r="B23" s="84">
        <v>2011</v>
      </c>
      <c r="C23" s="84">
        <v>1200</v>
      </c>
      <c r="D23" s="84">
        <v>280328</v>
      </c>
      <c r="E23" s="84" t="str">
        <f t="shared" si="0"/>
        <v>22834000</v>
      </c>
      <c r="F23" s="84" t="e">
        <f>VLOOKUP(E23,zJARS_Allockeys!A:G,7,FALSE)</f>
        <v>#N/A</v>
      </c>
      <c r="G23" s="84">
        <v>2283400</v>
      </c>
      <c r="H23" s="84">
        <v>0</v>
      </c>
      <c r="I23" s="84"/>
      <c r="J23" s="84">
        <v>1000</v>
      </c>
      <c r="K23" s="85">
        <v>-2753875.33</v>
      </c>
      <c r="L23" s="85">
        <v>-2753875.33</v>
      </c>
      <c r="M23" s="85">
        <v>-2753875.33</v>
      </c>
      <c r="N23" s="85">
        <v>-2753875.33</v>
      </c>
      <c r="O23" s="85">
        <v>-2753875.33</v>
      </c>
      <c r="P23" s="85">
        <v>-2753875.33</v>
      </c>
      <c r="Q23" s="85">
        <v>-2753875.33</v>
      </c>
      <c r="R23" s="85">
        <v>-2753875.33</v>
      </c>
      <c r="S23" s="85">
        <v>-2753875.33</v>
      </c>
      <c r="T23" s="85">
        <v>-2753875.33</v>
      </c>
      <c r="U23" s="85">
        <v>-2753875.33</v>
      </c>
      <c r="V23" s="85">
        <v>-2753875.33</v>
      </c>
      <c r="W23" s="85">
        <v>-2753875.33</v>
      </c>
    </row>
    <row r="24" spans="1:23">
      <c r="A24" s="84">
        <v>0</v>
      </c>
      <c r="B24" s="84">
        <v>2011</v>
      </c>
      <c r="C24" s="84">
        <v>1200</v>
      </c>
      <c r="D24" s="84">
        <v>280328</v>
      </c>
      <c r="E24" s="84" t="str">
        <f t="shared" si="0"/>
        <v>22834000280328</v>
      </c>
      <c r="F24" s="84" t="e">
        <f>VLOOKUP(E24,zJARS_Allockeys!A:G,7,FALSE)</f>
        <v>#N/A</v>
      </c>
      <c r="G24" s="84">
        <v>2283400</v>
      </c>
      <c r="H24" s="84">
        <v>0</v>
      </c>
      <c r="I24" s="84">
        <v>280328</v>
      </c>
      <c r="J24" s="84">
        <v>1000</v>
      </c>
      <c r="K24" s="85">
        <v>-182433</v>
      </c>
      <c r="L24" s="85">
        <v>-182433</v>
      </c>
      <c r="M24" s="85">
        <v>-182433</v>
      </c>
      <c r="N24" s="85">
        <v>-182433</v>
      </c>
      <c r="O24" s="85">
        <v>-182433</v>
      </c>
      <c r="P24" s="85">
        <v>-182433</v>
      </c>
      <c r="Q24" s="85">
        <v>-182433</v>
      </c>
      <c r="R24" s="85">
        <v>-182433</v>
      </c>
      <c r="S24" s="85">
        <v>-182433</v>
      </c>
      <c r="T24" s="85">
        <v>-182433</v>
      </c>
      <c r="U24" s="85">
        <v>-182433</v>
      </c>
      <c r="V24" s="85">
        <v>-182433</v>
      </c>
      <c r="W24" s="85">
        <v>-182433</v>
      </c>
    </row>
    <row r="25" spans="1:23">
      <c r="A25" s="84">
        <v>0</v>
      </c>
      <c r="B25" s="84">
        <v>2011</v>
      </c>
      <c r="C25" s="84">
        <v>1200</v>
      </c>
      <c r="D25" s="84">
        <v>280328</v>
      </c>
      <c r="E25" s="84" t="str">
        <f t="shared" si="0"/>
        <v>22834001280328</v>
      </c>
      <c r="F25" s="84" t="str">
        <f>VLOOKUP(E25,zJARS_Allockeys!A:G,7,FALSE)</f>
        <v>NUTIL</v>
      </c>
      <c r="G25" s="84">
        <v>2283400</v>
      </c>
      <c r="H25" s="84">
        <v>1</v>
      </c>
      <c r="I25" s="84">
        <v>280328</v>
      </c>
      <c r="J25" s="84">
        <v>1000</v>
      </c>
      <c r="K25" s="85">
        <v>-56060.46</v>
      </c>
      <c r="L25" s="85">
        <v>-56060.46</v>
      </c>
      <c r="M25" s="85">
        <v>-56060.46</v>
      </c>
      <c r="N25" s="85">
        <v>-56060.46</v>
      </c>
      <c r="O25" s="85">
        <v>-56060.46</v>
      </c>
      <c r="P25" s="85">
        <v>-56060.46</v>
      </c>
      <c r="Q25" s="85">
        <v>-56060.46</v>
      </c>
      <c r="R25" s="85">
        <v>-56060.46</v>
      </c>
      <c r="S25" s="85">
        <v>-56060.46</v>
      </c>
      <c r="T25" s="85">
        <v>-56060.46</v>
      </c>
      <c r="U25" s="85">
        <v>-56060.46</v>
      </c>
      <c r="V25" s="85">
        <v>-56060.46</v>
      </c>
      <c r="W25" s="85">
        <v>-56060.46</v>
      </c>
    </row>
    <row r="26" spans="1:23">
      <c r="A26" s="84">
        <v>0</v>
      </c>
      <c r="B26" s="84">
        <v>2011</v>
      </c>
      <c r="C26" s="84">
        <v>1200</v>
      </c>
      <c r="D26" s="84">
        <v>280328</v>
      </c>
      <c r="E26" s="84" t="str">
        <f t="shared" si="0"/>
        <v>22834001280328</v>
      </c>
      <c r="F26" s="84" t="str">
        <f>VLOOKUP(E26,zJARS_Allockeys!A:G,7,FALSE)</f>
        <v>NUTIL</v>
      </c>
      <c r="G26" s="84">
        <v>2283400</v>
      </c>
      <c r="H26" s="84">
        <v>1</v>
      </c>
      <c r="I26" s="84">
        <v>280328</v>
      </c>
      <c r="J26" s="84">
        <v>1000</v>
      </c>
      <c r="K26" s="85">
        <v>-25654945.699999999</v>
      </c>
      <c r="L26" s="85">
        <v>-25702086.16</v>
      </c>
      <c r="M26" s="85">
        <v>-25749194.050000001</v>
      </c>
      <c r="N26" s="85">
        <v>-25796531.960000001</v>
      </c>
      <c r="O26" s="85">
        <v>-25844177.510000002</v>
      </c>
      <c r="P26" s="85">
        <v>-25891277.5</v>
      </c>
      <c r="Q26" s="85">
        <v>-27969488.260000002</v>
      </c>
      <c r="R26" s="85">
        <v>-28017502.75</v>
      </c>
      <c r="S26" s="85">
        <v>-28066113.059999999</v>
      </c>
      <c r="T26" s="85">
        <v>-28585258.169999998</v>
      </c>
      <c r="U26" s="85">
        <v>-28633702.539999999</v>
      </c>
      <c r="V26" s="85">
        <v>-28681724.259999998</v>
      </c>
      <c r="W26" s="85">
        <v>-34506965.809999995</v>
      </c>
    </row>
    <row r="27" spans="1:23">
      <c r="A27" s="84">
        <v>0</v>
      </c>
      <c r="B27" s="84">
        <v>2011</v>
      </c>
      <c r="C27" s="84">
        <v>1200</v>
      </c>
      <c r="D27" s="84">
        <v>280328</v>
      </c>
      <c r="E27" s="84" t="str">
        <f t="shared" si="0"/>
        <v>2283400122092280328</v>
      </c>
      <c r="F27" s="84" t="str">
        <f>VLOOKUP(E27,zJARS_Allockeys!A:G,7,FALSE)</f>
        <v>NUTIL</v>
      </c>
      <c r="G27" s="84">
        <v>2283400</v>
      </c>
      <c r="H27" s="84">
        <v>122092</v>
      </c>
      <c r="I27" s="84">
        <v>280328</v>
      </c>
      <c r="J27" s="84">
        <v>1000</v>
      </c>
      <c r="K27" s="85">
        <v>-120727.86</v>
      </c>
      <c r="L27" s="85">
        <v>-120727.86</v>
      </c>
      <c r="M27" s="85">
        <v>-120727.86</v>
      </c>
      <c r="N27" s="85">
        <v>-120727.86</v>
      </c>
      <c r="O27" s="85">
        <v>-120727.86</v>
      </c>
      <c r="P27" s="85">
        <v>-120727.86</v>
      </c>
      <c r="Q27" s="85">
        <v>-120727.86</v>
      </c>
      <c r="R27" s="85">
        <v>-120727.86</v>
      </c>
      <c r="S27" s="85">
        <v>-120727.86</v>
      </c>
      <c r="T27" s="85">
        <v>-120727.86</v>
      </c>
      <c r="U27" s="85">
        <v>-120727.86</v>
      </c>
      <c r="V27" s="85">
        <v>-120727.86</v>
      </c>
      <c r="W27" s="85">
        <v>-120727.86</v>
      </c>
    </row>
    <row r="28" spans="1:23">
      <c r="A28" s="84">
        <v>0</v>
      </c>
      <c r="B28" s="84">
        <v>2011</v>
      </c>
      <c r="C28" s="84">
        <v>1200</v>
      </c>
      <c r="D28" s="84">
        <v>280328</v>
      </c>
      <c r="E28" s="84" t="str">
        <f t="shared" si="0"/>
        <v>2283400122092280328</v>
      </c>
      <c r="F28" s="84" t="str">
        <f>VLOOKUP(E28,zJARS_Allockeys!A:G,7,FALSE)</f>
        <v>NUTIL</v>
      </c>
      <c r="G28" s="84">
        <v>2283400</v>
      </c>
      <c r="H28" s="84">
        <v>122092</v>
      </c>
      <c r="I28" s="84">
        <v>280328</v>
      </c>
      <c r="J28" s="84">
        <v>1000</v>
      </c>
      <c r="K28" s="85">
        <v>-35866.33</v>
      </c>
      <c r="L28" s="85">
        <v>-35866.33</v>
      </c>
      <c r="M28" s="85">
        <v>-35866.33</v>
      </c>
      <c r="N28" s="85">
        <v>-35866.33</v>
      </c>
      <c r="O28" s="85">
        <v>-35866.33</v>
      </c>
      <c r="P28" s="85">
        <v>-35866.33</v>
      </c>
      <c r="Q28" s="85">
        <v>-35866.33</v>
      </c>
      <c r="R28" s="85">
        <v>-35866.33</v>
      </c>
      <c r="S28" s="85">
        <v>-35866.33</v>
      </c>
      <c r="T28" s="85">
        <v>-35866.33</v>
      </c>
      <c r="U28" s="85">
        <v>-35866.33</v>
      </c>
      <c r="V28" s="85">
        <v>-35866.33</v>
      </c>
      <c r="W28" s="85">
        <v>-35866.33</v>
      </c>
    </row>
    <row r="29" spans="1:23">
      <c r="A29" s="84">
        <v>0</v>
      </c>
      <c r="B29" s="84">
        <v>2011</v>
      </c>
      <c r="C29" s="84">
        <v>1200</v>
      </c>
      <c r="D29" s="84">
        <v>280328</v>
      </c>
      <c r="E29" s="84" t="str">
        <f t="shared" si="0"/>
        <v>22840000</v>
      </c>
      <c r="F29" s="84" t="e">
        <f>VLOOKUP(E29,zJARS_Allockeys!A:G,7,FALSE)</f>
        <v>#N/A</v>
      </c>
      <c r="G29" s="84">
        <v>2284000</v>
      </c>
      <c r="H29" s="84">
        <v>0</v>
      </c>
      <c r="I29" s="84"/>
      <c r="J29" s="84">
        <v>1000</v>
      </c>
      <c r="K29" s="85">
        <v>-12312.58</v>
      </c>
      <c r="L29" s="85">
        <v>-12312.58</v>
      </c>
      <c r="M29" s="85">
        <v>-12312.58</v>
      </c>
      <c r="N29" s="85">
        <v>-12312.58</v>
      </c>
      <c r="O29" s="85">
        <v>-12312.58</v>
      </c>
      <c r="P29" s="85">
        <v>-12312.58</v>
      </c>
      <c r="Q29" s="85">
        <v>-12312.58</v>
      </c>
      <c r="R29" s="85">
        <v>-12312.58</v>
      </c>
      <c r="S29" s="85">
        <v>-12312.58</v>
      </c>
      <c r="T29" s="85">
        <v>-12312.58</v>
      </c>
      <c r="U29" s="85">
        <v>-12312.58</v>
      </c>
      <c r="V29" s="85">
        <v>-12312.58</v>
      </c>
      <c r="W29" s="85">
        <v>-12312.58</v>
      </c>
    </row>
    <row r="30" spans="1:23">
      <c r="A30" s="84">
        <v>0</v>
      </c>
      <c r="B30" s="84">
        <v>2011</v>
      </c>
      <c r="C30" s="84">
        <v>1200</v>
      </c>
      <c r="D30" s="84">
        <v>280328</v>
      </c>
      <c r="E30" s="84" t="str">
        <f t="shared" si="0"/>
        <v>2284000122092280328</v>
      </c>
      <c r="F30" s="84" t="str">
        <f>VLOOKUP(E30,zJARS_Allockeys!A:G,7,FALSE)</f>
        <v>NUTIL</v>
      </c>
      <c r="G30" s="84">
        <v>2284000</v>
      </c>
      <c r="H30" s="84">
        <v>122092</v>
      </c>
      <c r="I30" s="84">
        <v>280328</v>
      </c>
      <c r="J30" s="84">
        <v>1000</v>
      </c>
      <c r="K30" s="85">
        <v>-12312.58</v>
      </c>
      <c r="L30" s="85">
        <v>-12312.58</v>
      </c>
      <c r="M30" s="85">
        <v>-12312.58</v>
      </c>
      <c r="N30" s="85">
        <v>-12312.58</v>
      </c>
      <c r="O30" s="85">
        <v>-12312.58</v>
      </c>
      <c r="P30" s="85">
        <v>-12312.58</v>
      </c>
      <c r="Q30" s="85">
        <v>-12312.58</v>
      </c>
      <c r="R30" s="85">
        <v>-12312.58</v>
      </c>
      <c r="S30" s="85">
        <v>-12312.58</v>
      </c>
      <c r="T30" s="85">
        <v>-12312.58</v>
      </c>
      <c r="U30" s="85">
        <v>-12312.58</v>
      </c>
      <c r="V30" s="85">
        <v>-12312.58</v>
      </c>
      <c r="W30" s="85">
        <v>-12312.58</v>
      </c>
    </row>
    <row r="31" spans="1:23">
      <c r="A31" s="84">
        <v>0</v>
      </c>
      <c r="B31" s="84">
        <v>2011</v>
      </c>
      <c r="C31" s="84">
        <v>1200</v>
      </c>
      <c r="D31" s="84">
        <v>280329</v>
      </c>
      <c r="E31" s="84" t="str">
        <f t="shared" si="0"/>
        <v>22834001280329</v>
      </c>
      <c r="F31" s="84" t="str">
        <f>VLOOKUP(E31,zJARS_Allockeys!A:G,7,FALSE)</f>
        <v>NUTIL</v>
      </c>
      <c r="G31" s="84">
        <v>2283400</v>
      </c>
      <c r="H31" s="84">
        <v>1</v>
      </c>
      <c r="I31" s="84">
        <v>280329</v>
      </c>
      <c r="J31" s="84">
        <v>1000</v>
      </c>
      <c r="K31" s="85">
        <v>-8016000</v>
      </c>
      <c r="L31" s="85">
        <v>-8016000</v>
      </c>
      <c r="M31" s="85">
        <v>-8016000</v>
      </c>
      <c r="N31" s="85">
        <v>-8016000</v>
      </c>
      <c r="O31" s="85">
        <v>-8016000</v>
      </c>
      <c r="P31" s="85">
        <v>-8016000</v>
      </c>
      <c r="Q31" s="85">
        <v>-8016000</v>
      </c>
      <c r="R31" s="85">
        <v>-8016000</v>
      </c>
      <c r="S31" s="85">
        <v>-8016000</v>
      </c>
      <c r="T31" s="85">
        <v>-8016000</v>
      </c>
      <c r="U31" s="85">
        <v>-8016000</v>
      </c>
      <c r="V31" s="85">
        <v>-8016000</v>
      </c>
      <c r="W31" s="85">
        <v>-40803000</v>
      </c>
    </row>
    <row r="32" spans="1:23">
      <c r="A32" s="84">
        <v>0</v>
      </c>
      <c r="B32" s="84">
        <v>2011</v>
      </c>
      <c r="C32" s="84">
        <v>1200</v>
      </c>
      <c r="D32" s="84">
        <v>280355</v>
      </c>
      <c r="E32" s="84" t="str">
        <f t="shared" si="0"/>
        <v>22835001280355</v>
      </c>
      <c r="F32" s="84" t="str">
        <f>VLOOKUP(E32,zJARS_Allockeys!A:G,7,FALSE)</f>
        <v>NUTIL</v>
      </c>
      <c r="G32" s="84">
        <v>2283500</v>
      </c>
      <c r="H32" s="84">
        <v>1</v>
      </c>
      <c r="I32" s="84">
        <v>280355</v>
      </c>
      <c r="J32" s="84">
        <v>1000</v>
      </c>
      <c r="K32" s="85">
        <v>-990701523.16999996</v>
      </c>
      <c r="L32" s="85">
        <v>-991085666.88</v>
      </c>
      <c r="M32" s="85">
        <v>-991370381.66999996</v>
      </c>
      <c r="N32" s="85">
        <v>-991652886.17999995</v>
      </c>
      <c r="O32" s="85">
        <v>-991754312.03999996</v>
      </c>
      <c r="P32" s="85">
        <v>-991756062.89999998</v>
      </c>
      <c r="Q32" s="85">
        <v>-991756551.09000003</v>
      </c>
      <c r="R32" s="85">
        <v>-991757039.28000009</v>
      </c>
      <c r="S32" s="85">
        <v>-991809138.17000008</v>
      </c>
      <c r="T32" s="85">
        <v>-992857661.66000009</v>
      </c>
      <c r="U32" s="85">
        <v>-992906185.1500001</v>
      </c>
      <c r="V32" s="85">
        <v>-992954708.6400001</v>
      </c>
      <c r="W32" s="85">
        <v>-1029330512.1200001</v>
      </c>
    </row>
    <row r="33" spans="1:23">
      <c r="A33" s="84">
        <v>0</v>
      </c>
      <c r="B33" s="84">
        <v>2011</v>
      </c>
      <c r="C33" s="84">
        <v>1200</v>
      </c>
      <c r="D33" s="84">
        <v>280440</v>
      </c>
      <c r="E33" s="84" t="str">
        <f t="shared" si="0"/>
        <v>22834001280440</v>
      </c>
      <c r="F33" s="84" t="str">
        <f>VLOOKUP(E33,zJARS_Allockeys!A:G,7,FALSE)</f>
        <v>NUTIL</v>
      </c>
      <c r="G33" s="84">
        <v>2283400</v>
      </c>
      <c r="H33" s="84">
        <v>1</v>
      </c>
      <c r="I33" s="84">
        <v>280440</v>
      </c>
      <c r="J33" s="84">
        <v>1000</v>
      </c>
      <c r="K33" s="85">
        <v>0</v>
      </c>
      <c r="L33" s="85">
        <v>0</v>
      </c>
      <c r="M33" s="85">
        <v>0</v>
      </c>
      <c r="N33" s="85">
        <v>0</v>
      </c>
      <c r="O33" s="85">
        <v>0</v>
      </c>
      <c r="P33" s="85">
        <v>0</v>
      </c>
      <c r="Q33" s="85">
        <v>0</v>
      </c>
      <c r="R33" s="85">
        <v>0</v>
      </c>
      <c r="S33" s="85">
        <v>0</v>
      </c>
      <c r="T33" s="85">
        <v>0</v>
      </c>
      <c r="U33" s="85">
        <v>0</v>
      </c>
      <c r="V33" s="85">
        <v>0</v>
      </c>
      <c r="W33" s="85">
        <v>-40910015</v>
      </c>
    </row>
    <row r="34" spans="1:23">
      <c r="A34" s="84">
        <v>0</v>
      </c>
      <c r="B34" s="84">
        <v>2011</v>
      </c>
      <c r="C34" s="84">
        <v>1200</v>
      </c>
      <c r="D34" s="84">
        <v>280454</v>
      </c>
      <c r="E34" s="84" t="str">
        <f t="shared" si="0"/>
        <v>22834001280454</v>
      </c>
      <c r="F34" s="84" t="str">
        <f>VLOOKUP(E34,zJARS_Allockeys!A:G,7,FALSE)</f>
        <v>NUTIL</v>
      </c>
      <c r="G34" s="84">
        <v>2283400</v>
      </c>
      <c r="H34" s="84">
        <v>1</v>
      </c>
      <c r="I34" s="84">
        <v>280454</v>
      </c>
      <c r="J34" s="84">
        <v>1000</v>
      </c>
      <c r="K34" s="85">
        <v>0</v>
      </c>
      <c r="L34" s="85">
        <v>0</v>
      </c>
      <c r="M34" s="85">
        <v>0</v>
      </c>
      <c r="N34" s="85">
        <v>0</v>
      </c>
      <c r="O34" s="85">
        <v>0</v>
      </c>
      <c r="P34" s="85">
        <v>0</v>
      </c>
      <c r="Q34" s="85">
        <v>0</v>
      </c>
      <c r="R34" s="85">
        <v>0</v>
      </c>
      <c r="S34" s="85">
        <v>0</v>
      </c>
      <c r="T34" s="85">
        <v>0</v>
      </c>
      <c r="U34" s="85">
        <v>0</v>
      </c>
      <c r="V34" s="85">
        <v>0</v>
      </c>
      <c r="W34" s="85">
        <v>-41769000</v>
      </c>
    </row>
    <row r="35" spans="1:23">
      <c r="A35" s="84">
        <v>0</v>
      </c>
      <c r="B35" s="84">
        <v>2011</v>
      </c>
      <c r="C35" s="84">
        <v>1200</v>
      </c>
      <c r="D35" s="84">
        <v>280455</v>
      </c>
      <c r="E35" s="84" t="str">
        <f t="shared" si="0"/>
        <v>22834001280455</v>
      </c>
      <c r="F35" s="84" t="str">
        <f>VLOOKUP(E35,zJARS_Allockeys!A:G,7,FALSE)</f>
        <v>NUTIL</v>
      </c>
      <c r="G35" s="84">
        <v>2283400</v>
      </c>
      <c r="H35" s="84">
        <v>1</v>
      </c>
      <c r="I35" s="84">
        <v>280455</v>
      </c>
      <c r="J35" s="84">
        <v>1000</v>
      </c>
      <c r="K35" s="85">
        <v>-679413334.47000003</v>
      </c>
      <c r="L35" s="85">
        <v>-680006251.13999999</v>
      </c>
      <c r="M35" s="85">
        <v>-680831167.80999994</v>
      </c>
      <c r="N35" s="85">
        <v>-681424084.4799999</v>
      </c>
      <c r="O35" s="85">
        <v>-682017001.14999986</v>
      </c>
      <c r="P35" s="85">
        <v>-682609917.81999981</v>
      </c>
      <c r="Q35" s="85">
        <v>-683202834.48999977</v>
      </c>
      <c r="R35" s="85">
        <v>-683795751.15999973</v>
      </c>
      <c r="S35" s="85">
        <v>-684492864.00999975</v>
      </c>
      <c r="T35" s="85">
        <v>-685085780.67999971</v>
      </c>
      <c r="U35" s="85">
        <v>-685678697.34999967</v>
      </c>
      <c r="V35" s="85">
        <v>-686271614.01999962</v>
      </c>
      <c r="W35" s="85">
        <v>-687362530.68999958</v>
      </c>
    </row>
    <row r="36" spans="1:23">
      <c r="A36" s="84">
        <v>0</v>
      </c>
      <c r="B36" s="84">
        <v>2011</v>
      </c>
      <c r="C36" s="84">
        <v>1200</v>
      </c>
      <c r="D36" s="84">
        <v>280456</v>
      </c>
      <c r="E36" s="84" t="str">
        <f t="shared" si="0"/>
        <v>22834001280456</v>
      </c>
      <c r="F36" s="84" t="str">
        <f>VLOOKUP(E36,zJARS_Allockeys!A:G,7,FALSE)</f>
        <v>NUTIL</v>
      </c>
      <c r="G36" s="84">
        <v>2283400</v>
      </c>
      <c r="H36" s="84">
        <v>1</v>
      </c>
      <c r="I36" s="84">
        <v>280456</v>
      </c>
      <c r="J36" s="84">
        <v>1000</v>
      </c>
      <c r="K36" s="85">
        <v>-10093000</v>
      </c>
      <c r="L36" s="85">
        <v>-10325000</v>
      </c>
      <c r="M36" s="85">
        <v>-10557000</v>
      </c>
      <c r="N36" s="85">
        <v>-10789000</v>
      </c>
      <c r="O36" s="85">
        <v>-11021000</v>
      </c>
      <c r="P36" s="85">
        <v>-11263279.59</v>
      </c>
      <c r="Q36" s="85">
        <v>-11533927.07</v>
      </c>
      <c r="R36" s="85">
        <v>-11768927.07</v>
      </c>
      <c r="S36" s="85">
        <v>-12004927.07</v>
      </c>
      <c r="T36" s="85">
        <v>-12240927.07</v>
      </c>
      <c r="U36" s="85">
        <v>-12471927.07</v>
      </c>
      <c r="V36" s="85">
        <v>-12702927.07</v>
      </c>
      <c r="W36" s="85">
        <v>-12933927.07</v>
      </c>
    </row>
    <row r="37" spans="1:23">
      <c r="A37" s="84">
        <v>0</v>
      </c>
      <c r="B37" s="84">
        <v>2011</v>
      </c>
      <c r="C37" s="84">
        <v>1200</v>
      </c>
      <c r="D37" s="84">
        <v>280457</v>
      </c>
      <c r="E37" s="84" t="str">
        <f t="shared" si="0"/>
        <v>22834001280457</v>
      </c>
      <c r="F37" s="84" t="str">
        <f>VLOOKUP(E37,zJARS_Allockeys!A:G,7,FALSE)</f>
        <v>NUTIL</v>
      </c>
      <c r="G37" s="84">
        <v>2283400</v>
      </c>
      <c r="H37" s="84">
        <v>1</v>
      </c>
      <c r="I37" s="84">
        <v>280457</v>
      </c>
      <c r="J37" s="84">
        <v>1000</v>
      </c>
      <c r="K37" s="85">
        <v>-45433523</v>
      </c>
      <c r="L37" s="85">
        <v>-45433523</v>
      </c>
      <c r="M37" s="85">
        <v>-45433523</v>
      </c>
      <c r="N37" s="85">
        <v>-45433523</v>
      </c>
      <c r="O37" s="85">
        <v>-45433523</v>
      </c>
      <c r="P37" s="85">
        <v>-45433523</v>
      </c>
      <c r="Q37" s="85">
        <v>-45433523</v>
      </c>
      <c r="R37" s="85">
        <v>-45433523</v>
      </c>
      <c r="S37" s="85">
        <v>-45433523</v>
      </c>
      <c r="T37" s="85">
        <v>-45433523</v>
      </c>
      <c r="U37" s="85">
        <v>-45433523</v>
      </c>
      <c r="V37" s="85">
        <v>-45433523</v>
      </c>
      <c r="W37" s="85">
        <v>-94113523</v>
      </c>
    </row>
    <row r="38" spans="1:23">
      <c r="A38" s="84">
        <v>0</v>
      </c>
      <c r="B38" s="84">
        <v>2011</v>
      </c>
      <c r="C38" s="84">
        <v>1200</v>
      </c>
      <c r="D38" s="84">
        <v>280465</v>
      </c>
      <c r="E38" s="84" t="str">
        <f t="shared" si="0"/>
        <v>22835001280465</v>
      </c>
      <c r="F38" s="84" t="str">
        <f>VLOOKUP(E38,zJARS_Allockeys!A:G,7,FALSE)</f>
        <v>NUTIL</v>
      </c>
      <c r="G38" s="84">
        <v>2283500</v>
      </c>
      <c r="H38" s="84">
        <v>1</v>
      </c>
      <c r="I38" s="84">
        <v>280465</v>
      </c>
      <c r="J38" s="84">
        <v>1000</v>
      </c>
      <c r="K38" s="85">
        <v>-126024725.63</v>
      </c>
      <c r="L38" s="85">
        <v>-126298392.28999999</v>
      </c>
      <c r="M38" s="85">
        <v>-126572058.94999999</v>
      </c>
      <c r="N38" s="85">
        <v>-126845725.60999998</v>
      </c>
      <c r="O38" s="85">
        <v>-127119392.26999998</v>
      </c>
      <c r="P38" s="85">
        <v>-127393058.92999998</v>
      </c>
      <c r="Q38" s="85">
        <v>-127666725.58999997</v>
      </c>
      <c r="R38" s="85">
        <v>-127940392.24999997</v>
      </c>
      <c r="S38" s="85">
        <v>-128214058.90999997</v>
      </c>
      <c r="T38" s="85">
        <v>-128487725.56999996</v>
      </c>
      <c r="U38" s="85">
        <v>-128761392.22999996</v>
      </c>
      <c r="V38" s="85">
        <v>-129035058.88999996</v>
      </c>
      <c r="W38" s="85">
        <v>-132136725.78999996</v>
      </c>
    </row>
    <row r="39" spans="1:23">
      <c r="A39" s="84">
        <v>0</v>
      </c>
      <c r="B39" s="84">
        <v>2011</v>
      </c>
      <c r="C39" s="84">
        <v>1200</v>
      </c>
      <c r="D39" s="84">
        <v>280479</v>
      </c>
      <c r="E39" s="84" t="str">
        <f t="shared" si="0"/>
        <v>22835001280479</v>
      </c>
      <c r="F39" s="84" t="str">
        <f>VLOOKUP(E39,zJARS_Allockeys!A:G,7,FALSE)</f>
        <v>NUTIL</v>
      </c>
      <c r="G39" s="84">
        <v>2283500</v>
      </c>
      <c r="H39" s="84">
        <v>1</v>
      </c>
      <c r="I39" s="84">
        <v>280479</v>
      </c>
      <c r="J39" s="84">
        <v>1000</v>
      </c>
      <c r="K39" s="85">
        <v>-25000</v>
      </c>
      <c r="L39" s="85">
        <v>-25000</v>
      </c>
      <c r="M39" s="85">
        <v>-25000</v>
      </c>
      <c r="N39" s="85">
        <v>-25000</v>
      </c>
      <c r="O39" s="85">
        <v>-25000</v>
      </c>
      <c r="P39" s="85">
        <v>-25000</v>
      </c>
      <c r="Q39" s="85">
        <v>-25000</v>
      </c>
      <c r="R39" s="85">
        <v>-25000</v>
      </c>
      <c r="S39" s="85">
        <v>-25000</v>
      </c>
      <c r="T39" s="85">
        <v>-25000</v>
      </c>
      <c r="U39" s="85">
        <v>-25000</v>
      </c>
      <c r="V39" s="85">
        <v>-25000</v>
      </c>
      <c r="W39" s="85">
        <v>-25000</v>
      </c>
    </row>
    <row r="40" spans="1:23">
      <c r="A40" s="84">
        <v>0</v>
      </c>
      <c r="B40" s="84">
        <v>2011</v>
      </c>
      <c r="C40" s="84">
        <v>1200</v>
      </c>
      <c r="D40" s="84">
        <v>299107</v>
      </c>
      <c r="E40" s="84" t="str">
        <f t="shared" si="0"/>
        <v>219000010</v>
      </c>
      <c r="F40" s="84" t="str">
        <f>VLOOKUP(E40,zJARS_Allockeys!A:G,7,FALSE)</f>
        <v>NUTIL</v>
      </c>
      <c r="G40" s="84">
        <v>2190000</v>
      </c>
      <c r="H40" s="84">
        <v>1</v>
      </c>
      <c r="I40" s="84">
        <v>0</v>
      </c>
      <c r="J40" s="84">
        <v>1000</v>
      </c>
      <c r="K40" s="85">
        <v>-12893109.07</v>
      </c>
      <c r="L40" s="85">
        <v>-12913609.08</v>
      </c>
      <c r="M40" s="85">
        <v>-12934109.09</v>
      </c>
      <c r="N40" s="85">
        <v>-12954609.1</v>
      </c>
      <c r="O40" s="85">
        <v>-12975109.109999999</v>
      </c>
      <c r="P40" s="85">
        <v>-12995609.119999999</v>
      </c>
      <c r="Q40" s="85">
        <v>-13016109.129999999</v>
      </c>
      <c r="R40" s="85">
        <v>-13036609.139999999</v>
      </c>
      <c r="S40" s="85">
        <v>-13057109.149999999</v>
      </c>
      <c r="T40" s="85">
        <v>-13077609.159999998</v>
      </c>
      <c r="U40" s="85">
        <v>-13098109.169999998</v>
      </c>
      <c r="V40" s="85">
        <v>-13118609.179999998</v>
      </c>
      <c r="W40" s="85">
        <v>-13880109.309999999</v>
      </c>
    </row>
    <row r="41" spans="1:23">
      <c r="A41" s="84">
        <v>0</v>
      </c>
      <c r="B41" s="84">
        <v>2011</v>
      </c>
      <c r="C41" s="84">
        <v>1201</v>
      </c>
      <c r="D41" s="84">
        <v>187621</v>
      </c>
      <c r="E41" s="84" t="str">
        <f t="shared" si="0"/>
        <v>18238701114020</v>
      </c>
      <c r="F41" s="84" t="str">
        <f>VLOOKUP(E41,zJARS_Allockeys!A:G,7,FALSE)</f>
        <v>NUTIL</v>
      </c>
      <c r="G41" s="84">
        <v>1823870</v>
      </c>
      <c r="H41" s="84">
        <v>1</v>
      </c>
      <c r="I41" s="84">
        <v>114020</v>
      </c>
      <c r="J41" s="84">
        <v>1000</v>
      </c>
      <c r="K41" s="85">
        <v>-79582204</v>
      </c>
      <c r="L41" s="85">
        <v>-79582204</v>
      </c>
      <c r="M41" s="85">
        <v>-79582204</v>
      </c>
      <c r="N41" s="85">
        <v>-79582204</v>
      </c>
      <c r="O41" s="85">
        <v>-79582204</v>
      </c>
      <c r="P41" s="85">
        <v>-79582204</v>
      </c>
      <c r="Q41" s="85">
        <v>-79582204</v>
      </c>
      <c r="R41" s="85">
        <v>-79582204</v>
      </c>
      <c r="S41" s="85">
        <v>-79582204</v>
      </c>
      <c r="T41" s="85">
        <v>-79582204</v>
      </c>
      <c r="U41" s="85">
        <v>-79582204</v>
      </c>
      <c r="V41" s="85">
        <v>-79582204</v>
      </c>
      <c r="W41" s="85">
        <v>-79582204</v>
      </c>
    </row>
    <row r="42" spans="1:23">
      <c r="A42" s="84">
        <v>0</v>
      </c>
      <c r="B42" s="84">
        <v>2011</v>
      </c>
      <c r="C42" s="84">
        <v>1201</v>
      </c>
      <c r="D42" s="84">
        <v>187621</v>
      </c>
      <c r="E42" s="84" t="str">
        <f t="shared" si="0"/>
        <v>18238701187621</v>
      </c>
      <c r="F42" s="84" t="str">
        <f>VLOOKUP(E42,zJARS_Allockeys!A:G,7,FALSE)</f>
        <v>NUTIL</v>
      </c>
      <c r="G42" s="84">
        <v>1823870</v>
      </c>
      <c r="H42" s="84">
        <v>1</v>
      </c>
      <c r="I42" s="84">
        <v>187621</v>
      </c>
      <c r="J42" s="84">
        <v>1000</v>
      </c>
      <c r="K42" s="85">
        <v>-39791102</v>
      </c>
      <c r="L42" s="85">
        <v>-39791102</v>
      </c>
      <c r="M42" s="85">
        <v>-39791102</v>
      </c>
      <c r="N42" s="85">
        <v>-39791102</v>
      </c>
      <c r="O42" s="85">
        <v>-39791102</v>
      </c>
      <c r="P42" s="85">
        <v>-39791102</v>
      </c>
      <c r="Q42" s="85">
        <v>-39791102</v>
      </c>
      <c r="R42" s="85">
        <v>-39791102</v>
      </c>
      <c r="S42" s="85">
        <v>-39791102</v>
      </c>
      <c r="T42" s="85">
        <v>-39791102</v>
      </c>
      <c r="U42" s="85">
        <v>-39791102</v>
      </c>
      <c r="V42" s="85">
        <v>-39791102</v>
      </c>
      <c r="W42" s="85">
        <v>-39791102</v>
      </c>
    </row>
    <row r="43" spans="1:23">
      <c r="A43" s="84">
        <v>0</v>
      </c>
      <c r="B43" s="84">
        <v>2011</v>
      </c>
      <c r="C43" s="84">
        <v>1201</v>
      </c>
      <c r="D43" s="84">
        <v>187626</v>
      </c>
      <c r="E43" s="84" t="str">
        <f t="shared" si="0"/>
        <v>18231091114020</v>
      </c>
      <c r="F43" s="84" t="str">
        <f>VLOOKUP(E43,zJARS_Allockeys!A:G,7,FALSE)</f>
        <v>NUTIL</v>
      </c>
      <c r="G43" s="84">
        <v>1823109</v>
      </c>
      <c r="H43" s="84">
        <v>1</v>
      </c>
      <c r="I43" s="84">
        <v>114020</v>
      </c>
      <c r="J43" s="84">
        <v>1000</v>
      </c>
      <c r="K43" s="85">
        <v>-39791102</v>
      </c>
      <c r="L43" s="85">
        <v>-39791102</v>
      </c>
      <c r="M43" s="85">
        <v>-39791102</v>
      </c>
      <c r="N43" s="85">
        <v>-39791102</v>
      </c>
      <c r="O43" s="85">
        <v>-39791102</v>
      </c>
      <c r="P43" s="85">
        <v>-39791102</v>
      </c>
      <c r="Q43" s="85">
        <v>-39791102</v>
      </c>
      <c r="R43" s="85">
        <v>-39791102</v>
      </c>
      <c r="S43" s="85">
        <v>-39791102</v>
      </c>
      <c r="T43" s="85">
        <v>-39791102</v>
      </c>
      <c r="U43" s="85">
        <v>-39791102</v>
      </c>
      <c r="V43" s="85">
        <v>-39791102</v>
      </c>
      <c r="W43" s="85">
        <v>-39791102</v>
      </c>
    </row>
    <row r="44" spans="1:23">
      <c r="A44" s="84">
        <v>0</v>
      </c>
      <c r="B44" s="84">
        <v>2011</v>
      </c>
      <c r="C44" s="84">
        <v>1201</v>
      </c>
      <c r="D44" s="84">
        <v>187626</v>
      </c>
      <c r="E44" s="84" t="str">
        <f t="shared" si="0"/>
        <v>18231091187626</v>
      </c>
      <c r="F44" s="84" t="str">
        <f>VLOOKUP(E44,zJARS_Allockeys!A:G,7,FALSE)</f>
        <v>NUTIL</v>
      </c>
      <c r="G44" s="84">
        <v>1823109</v>
      </c>
      <c r="H44" s="84">
        <v>1</v>
      </c>
      <c r="I44" s="84">
        <v>187626</v>
      </c>
      <c r="J44" s="84">
        <v>1000</v>
      </c>
      <c r="K44" s="85">
        <v>-69810810</v>
      </c>
      <c r="L44" s="85">
        <v>-69810810</v>
      </c>
      <c r="M44" s="85">
        <v>-69810810</v>
      </c>
      <c r="N44" s="85">
        <v>-69810810</v>
      </c>
      <c r="O44" s="85">
        <v>-69810810</v>
      </c>
      <c r="P44" s="85">
        <v>-69810810</v>
      </c>
      <c r="Q44" s="85">
        <v>-69810810</v>
      </c>
      <c r="R44" s="85">
        <v>-69810810</v>
      </c>
      <c r="S44" s="85">
        <v>-69810810</v>
      </c>
      <c r="T44" s="85">
        <v>-69810810</v>
      </c>
      <c r="U44" s="85">
        <v>-69810810</v>
      </c>
      <c r="V44" s="85">
        <v>-69810810</v>
      </c>
      <c r="W44" s="85">
        <v>-71014496</v>
      </c>
    </row>
    <row r="45" spans="1:23">
      <c r="A45" s="84">
        <v>0</v>
      </c>
      <c r="B45" s="84">
        <v>2011</v>
      </c>
      <c r="C45" s="84">
        <v>1283</v>
      </c>
      <c r="D45" s="84">
        <v>280328</v>
      </c>
      <c r="E45" s="84" t="str">
        <f t="shared" si="0"/>
        <v>22830000</v>
      </c>
      <c r="F45" s="84" t="e">
        <f>VLOOKUP(E45,zJARS_Allockeys!A:G,7,FALSE)</f>
        <v>#N/A</v>
      </c>
      <c r="G45" s="84">
        <v>2283000</v>
      </c>
      <c r="H45" s="84">
        <v>0</v>
      </c>
      <c r="I45" s="84"/>
      <c r="J45" s="84">
        <v>1000</v>
      </c>
      <c r="K45" s="85">
        <v>-4984523.78</v>
      </c>
      <c r="L45" s="85">
        <v>-4984523.78</v>
      </c>
      <c r="M45" s="85">
        <v>-4984523.78</v>
      </c>
      <c r="N45" s="85">
        <v>-4984523.78</v>
      </c>
      <c r="O45" s="85">
        <v>-4984523.78</v>
      </c>
      <c r="P45" s="85">
        <v>-4984523.78</v>
      </c>
      <c r="Q45" s="85">
        <v>-4984523.78</v>
      </c>
      <c r="R45" s="85">
        <v>-4984523.78</v>
      </c>
      <c r="S45" s="85">
        <v>-4984523.78</v>
      </c>
      <c r="T45" s="85">
        <v>-4984523.78</v>
      </c>
      <c r="U45" s="85">
        <v>-4984523.78</v>
      </c>
      <c r="V45" s="85">
        <v>-4984523.78</v>
      </c>
      <c r="W45" s="85">
        <v>-4984523.78</v>
      </c>
    </row>
    <row r="46" spans="1:23">
      <c r="A46" s="84">
        <v>0</v>
      </c>
      <c r="B46" s="84">
        <v>2011</v>
      </c>
      <c r="C46" s="84">
        <v>1283</v>
      </c>
      <c r="D46" s="84">
        <v>280328</v>
      </c>
      <c r="E46" s="84" t="str">
        <f t="shared" si="0"/>
        <v>2283000122092280328</v>
      </c>
      <c r="F46" s="84" t="str">
        <f>VLOOKUP(E46,zJARS_Allockeys!A:G,7,FALSE)</f>
        <v>NUTIL</v>
      </c>
      <c r="G46" s="84">
        <v>2283000</v>
      </c>
      <c r="H46" s="84">
        <v>122092</v>
      </c>
      <c r="I46" s="84">
        <v>280328</v>
      </c>
      <c r="J46" s="84">
        <v>1000</v>
      </c>
      <c r="K46" s="85">
        <v>-4984523.78</v>
      </c>
      <c r="L46" s="85">
        <v>-4984523.78</v>
      </c>
      <c r="M46" s="85">
        <v>-4984523.78</v>
      </c>
      <c r="N46" s="85">
        <v>-4984523.78</v>
      </c>
      <c r="O46" s="85">
        <v>-4984523.78</v>
      </c>
      <c r="P46" s="85">
        <v>-4984523.78</v>
      </c>
      <c r="Q46" s="85">
        <v>-4984523.78</v>
      </c>
      <c r="R46" s="85">
        <v>-4984523.78</v>
      </c>
      <c r="S46" s="85">
        <v>-4984523.78</v>
      </c>
      <c r="T46" s="85">
        <v>-4984523.78</v>
      </c>
      <c r="U46" s="85">
        <v>-4984523.78</v>
      </c>
      <c r="V46" s="85">
        <v>-4984523.78</v>
      </c>
      <c r="W46" s="85">
        <v>-4984523.78</v>
      </c>
    </row>
    <row r="47" spans="1:23">
      <c r="A47" s="84">
        <v>0</v>
      </c>
      <c r="B47" s="84">
        <v>2011</v>
      </c>
      <c r="C47" s="84">
        <v>1283</v>
      </c>
      <c r="D47" s="84">
        <v>280328</v>
      </c>
      <c r="E47" s="84" t="str">
        <f t="shared" si="0"/>
        <v>22834000</v>
      </c>
      <c r="F47" s="84" t="e">
        <f>VLOOKUP(E47,zJARS_Allockeys!A:G,7,FALSE)</f>
        <v>#N/A</v>
      </c>
      <c r="G47" s="84">
        <v>2283400</v>
      </c>
      <c r="H47" s="84">
        <v>0</v>
      </c>
      <c r="I47" s="84"/>
      <c r="J47" s="84">
        <v>1000</v>
      </c>
      <c r="K47" s="85">
        <v>-2736626.85</v>
      </c>
      <c r="L47" s="85">
        <v>-2736626.85</v>
      </c>
      <c r="M47" s="85">
        <v>-2736626.85</v>
      </c>
      <c r="N47" s="85">
        <v>-2736626.85</v>
      </c>
      <c r="O47" s="85">
        <v>-2736626.85</v>
      </c>
      <c r="P47" s="85">
        <v>-2736626.85</v>
      </c>
      <c r="Q47" s="85">
        <v>-2736626.85</v>
      </c>
      <c r="R47" s="85">
        <v>-2736626.85</v>
      </c>
      <c r="S47" s="85">
        <v>-2736626.85</v>
      </c>
      <c r="T47" s="85">
        <v>-2736626.85</v>
      </c>
      <c r="U47" s="85">
        <v>-2736626.85</v>
      </c>
      <c r="V47" s="85">
        <v>-2736626.85</v>
      </c>
      <c r="W47" s="85">
        <v>-2736626.85</v>
      </c>
    </row>
    <row r="48" spans="1:23">
      <c r="A48" s="84">
        <v>0</v>
      </c>
      <c r="B48" s="84">
        <v>2011</v>
      </c>
      <c r="C48" s="84">
        <v>1283</v>
      </c>
      <c r="D48" s="84">
        <v>280328</v>
      </c>
      <c r="E48" s="84" t="str">
        <f t="shared" si="0"/>
        <v>22834000280328</v>
      </c>
      <c r="F48" s="84" t="e">
        <f>VLOOKUP(E48,zJARS_Allockeys!A:G,7,FALSE)</f>
        <v>#N/A</v>
      </c>
      <c r="G48" s="84">
        <v>2283400</v>
      </c>
      <c r="H48" s="84">
        <v>0</v>
      </c>
      <c r="I48" s="84">
        <v>280328</v>
      </c>
      <c r="J48" s="84">
        <v>1000</v>
      </c>
      <c r="K48" s="85">
        <v>-182433</v>
      </c>
      <c r="L48" s="85">
        <v>-182433</v>
      </c>
      <c r="M48" s="85">
        <v>-182433</v>
      </c>
      <c r="N48" s="85">
        <v>-182433</v>
      </c>
      <c r="O48" s="85">
        <v>-182433</v>
      </c>
      <c r="P48" s="85">
        <v>-182433</v>
      </c>
      <c r="Q48" s="85">
        <v>-182433</v>
      </c>
      <c r="R48" s="85">
        <v>-182433</v>
      </c>
      <c r="S48" s="85">
        <v>-182433</v>
      </c>
      <c r="T48" s="85">
        <v>-182433</v>
      </c>
      <c r="U48" s="85">
        <v>-182433</v>
      </c>
      <c r="V48" s="85">
        <v>-182433</v>
      </c>
      <c r="W48" s="85">
        <v>-182433</v>
      </c>
    </row>
    <row r="49" spans="1:23">
      <c r="A49" s="84">
        <v>0</v>
      </c>
      <c r="B49" s="84">
        <v>2011</v>
      </c>
      <c r="C49" s="84">
        <v>1283</v>
      </c>
      <c r="D49" s="84">
        <v>280328</v>
      </c>
      <c r="E49" s="84" t="str">
        <f t="shared" si="0"/>
        <v>22834001280328</v>
      </c>
      <c r="F49" s="84" t="str">
        <f>VLOOKUP(E49,zJARS_Allockeys!A:G,7,FALSE)</f>
        <v>NUTIL</v>
      </c>
      <c r="G49" s="84">
        <v>2283400</v>
      </c>
      <c r="H49" s="84">
        <v>1</v>
      </c>
      <c r="I49" s="84">
        <v>280328</v>
      </c>
      <c r="J49" s="84">
        <v>1000</v>
      </c>
      <c r="K49" s="85">
        <v>-634889.42000000004</v>
      </c>
      <c r="L49" s="85">
        <v>-634889.42000000004</v>
      </c>
      <c r="M49" s="85">
        <v>-634889.42000000004</v>
      </c>
      <c r="N49" s="85">
        <v>-634889.42000000004</v>
      </c>
      <c r="O49" s="85">
        <v>-634889.42000000004</v>
      </c>
      <c r="P49" s="85">
        <v>-634889.42000000004</v>
      </c>
      <c r="Q49" s="85">
        <v>-634889.42000000004</v>
      </c>
      <c r="R49" s="85">
        <v>-634889.42000000004</v>
      </c>
      <c r="S49" s="85">
        <v>-634889.42000000004</v>
      </c>
      <c r="T49" s="85">
        <v>-634889.42000000004</v>
      </c>
      <c r="U49" s="85">
        <v>-634889.42000000004</v>
      </c>
      <c r="V49" s="85">
        <v>-634889.42000000004</v>
      </c>
      <c r="W49" s="85">
        <v>-634889.42000000004</v>
      </c>
    </row>
    <row r="50" spans="1:23">
      <c r="A50" s="84">
        <v>0</v>
      </c>
      <c r="B50" s="84">
        <v>2011</v>
      </c>
      <c r="C50" s="84">
        <v>1283</v>
      </c>
      <c r="D50" s="84">
        <v>280328</v>
      </c>
      <c r="E50" s="84" t="str">
        <f t="shared" si="0"/>
        <v>2283400122092280328</v>
      </c>
      <c r="F50" s="84" t="str">
        <f>VLOOKUP(E50,zJARS_Allockeys!A:G,7,FALSE)</f>
        <v>NUTIL</v>
      </c>
      <c r="G50" s="84">
        <v>2283400</v>
      </c>
      <c r="H50" s="84">
        <v>122092</v>
      </c>
      <c r="I50" s="84">
        <v>280328</v>
      </c>
      <c r="J50" s="84">
        <v>1000</v>
      </c>
      <c r="K50" s="85">
        <v>-11566.21</v>
      </c>
      <c r="L50" s="85">
        <v>-11566.21</v>
      </c>
      <c r="M50" s="85">
        <v>-11566.21</v>
      </c>
      <c r="N50" s="85">
        <v>-11566.21</v>
      </c>
      <c r="O50" s="85">
        <v>-11566.21</v>
      </c>
      <c r="P50" s="85">
        <v>-11566.21</v>
      </c>
      <c r="Q50" s="85">
        <v>-11566.21</v>
      </c>
      <c r="R50" s="85">
        <v>-11566.21</v>
      </c>
      <c r="S50" s="85">
        <v>-11566.21</v>
      </c>
      <c r="T50" s="85">
        <v>-11566.21</v>
      </c>
      <c r="U50" s="85">
        <v>-11566.21</v>
      </c>
      <c r="V50" s="85">
        <v>-11566.21</v>
      </c>
      <c r="W50" s="85">
        <v>-11566.21</v>
      </c>
    </row>
    <row r="51" spans="1:23">
      <c r="A51" s="84">
        <v>0</v>
      </c>
      <c r="B51" s="84">
        <v>2011</v>
      </c>
      <c r="C51" s="84">
        <v>1283</v>
      </c>
      <c r="D51" s="84">
        <v>280328</v>
      </c>
      <c r="E51" s="84" t="str">
        <f t="shared" si="0"/>
        <v>2283400122092280328</v>
      </c>
      <c r="F51" s="84" t="str">
        <f>VLOOKUP(E51,zJARS_Allockeys!A:G,7,FALSE)</f>
        <v>NUTIL</v>
      </c>
      <c r="G51" s="84">
        <v>2283400</v>
      </c>
      <c r="H51" s="84">
        <v>122092</v>
      </c>
      <c r="I51" s="84">
        <v>280328</v>
      </c>
      <c r="J51" s="84">
        <v>1000</v>
      </c>
      <c r="K51" s="85">
        <v>-5095270.8899999997</v>
      </c>
      <c r="L51" s="85">
        <v>-5095270.8899999997</v>
      </c>
      <c r="M51" s="85">
        <v>-5095270.8899999997</v>
      </c>
      <c r="N51" s="85">
        <v>-5095270.8899999997</v>
      </c>
      <c r="O51" s="85">
        <v>-5095270.8899999997</v>
      </c>
      <c r="P51" s="85">
        <v>-5095270.8899999997</v>
      </c>
      <c r="Q51" s="85">
        <v>-5095270.8899999997</v>
      </c>
      <c r="R51" s="85">
        <v>-5095270.8899999997</v>
      </c>
      <c r="S51" s="85">
        <v>-5095270.8899999997</v>
      </c>
      <c r="T51" s="85">
        <v>-5095270.8899999997</v>
      </c>
      <c r="U51" s="85">
        <v>-5095270.8899999997</v>
      </c>
      <c r="V51" s="85">
        <v>-5095270.8899999997</v>
      </c>
      <c r="W51" s="85">
        <v>-5095270.8899999997</v>
      </c>
    </row>
    <row r="52" spans="1:23">
      <c r="A52" s="84">
        <v>0</v>
      </c>
      <c r="B52" s="84">
        <v>2011</v>
      </c>
      <c r="C52" s="84">
        <v>1283</v>
      </c>
      <c r="D52" s="84">
        <v>280455</v>
      </c>
      <c r="E52" s="84" t="str">
        <f t="shared" si="0"/>
        <v>22834001280455</v>
      </c>
      <c r="F52" s="84" t="str">
        <f>VLOOKUP(E52,zJARS_Allockeys!A:G,7,FALSE)</f>
        <v>NUTIL</v>
      </c>
      <c r="G52" s="84">
        <v>2283400</v>
      </c>
      <c r="H52" s="84">
        <v>1</v>
      </c>
      <c r="I52" s="84">
        <v>280455</v>
      </c>
      <c r="J52" s="84">
        <v>1000</v>
      </c>
      <c r="K52" s="85">
        <v>-579986.66</v>
      </c>
      <c r="L52" s="85">
        <v>-579986.66</v>
      </c>
      <c r="M52" s="85">
        <v>-579986.66</v>
      </c>
      <c r="N52" s="85">
        <v>-579986.66</v>
      </c>
      <c r="O52" s="85">
        <v>-579986.66</v>
      </c>
      <c r="P52" s="85">
        <v>-579986.66</v>
      </c>
      <c r="Q52" s="85">
        <v>-579986.66</v>
      </c>
      <c r="R52" s="85">
        <v>-579986.66</v>
      </c>
      <c r="S52" s="85">
        <v>-579986.66</v>
      </c>
      <c r="T52" s="85">
        <v>-579986.66</v>
      </c>
      <c r="U52" s="85">
        <v>-579986.66</v>
      </c>
      <c r="V52" s="85">
        <v>-579986.66</v>
      </c>
      <c r="W52" s="85">
        <v>-579986.66</v>
      </c>
    </row>
    <row r="53" spans="1:23">
      <c r="A53" s="84">
        <v>0</v>
      </c>
      <c r="B53" s="84">
        <v>2011</v>
      </c>
      <c r="C53" s="84">
        <v>1407</v>
      </c>
      <c r="D53" s="84">
        <v>187602</v>
      </c>
      <c r="E53" s="84" t="str">
        <f t="shared" si="0"/>
        <v>1823870109187602</v>
      </c>
      <c r="F53" s="84" t="str">
        <f>VLOOKUP(E53,zJARS_Allockeys!A:G,7,FALSE)</f>
        <v>NUTIL</v>
      </c>
      <c r="G53" s="84">
        <v>1823870</v>
      </c>
      <c r="H53" s="84">
        <v>109</v>
      </c>
      <c r="I53" s="84">
        <v>187602</v>
      </c>
      <c r="J53" s="84">
        <v>1000</v>
      </c>
      <c r="K53" s="85">
        <v>-53659.18</v>
      </c>
      <c r="L53" s="85">
        <v>-53659.18</v>
      </c>
      <c r="M53" s="85">
        <v>-53659.18</v>
      </c>
      <c r="N53" s="85">
        <v>-53659.18</v>
      </c>
      <c r="O53" s="85">
        <v>-53659.18</v>
      </c>
      <c r="P53" s="85">
        <v>-53659.18</v>
      </c>
      <c r="Q53" s="85">
        <v>-53659.18</v>
      </c>
      <c r="R53" s="85">
        <v>-53659.18</v>
      </c>
      <c r="S53" s="85">
        <v>-53659.18</v>
      </c>
      <c r="T53" s="85">
        <v>-53659.18</v>
      </c>
      <c r="U53" s="85">
        <v>-53659.18</v>
      </c>
      <c r="V53" s="85">
        <v>-53659.18</v>
      </c>
      <c r="W53" s="85">
        <v>-53659.18</v>
      </c>
    </row>
    <row r="54" spans="1:23">
      <c r="A54" s="84">
        <v>0</v>
      </c>
      <c r="B54" s="84">
        <v>2011</v>
      </c>
      <c r="C54" s="84">
        <v>1407</v>
      </c>
      <c r="D54" s="84">
        <v>187624</v>
      </c>
      <c r="E54" s="84" t="str">
        <f t="shared" si="0"/>
        <v>1823870109187624</v>
      </c>
      <c r="F54" s="84" t="str">
        <f>VLOOKUP(E54,zJARS_Allockeys!A:G,7,FALSE)</f>
        <v>NUTIL</v>
      </c>
      <c r="G54" s="84">
        <v>1823870</v>
      </c>
      <c r="H54" s="84">
        <v>109</v>
      </c>
      <c r="I54" s="84">
        <v>187624</v>
      </c>
      <c r="J54" s="84">
        <v>1000</v>
      </c>
      <c r="K54" s="85">
        <v>-296617.34000000003</v>
      </c>
      <c r="L54" s="85">
        <v>-296617.34000000003</v>
      </c>
      <c r="M54" s="85">
        <v>-296617.34000000003</v>
      </c>
      <c r="N54" s="85">
        <v>-296617.34000000003</v>
      </c>
      <c r="O54" s="85">
        <v>-296617.34000000003</v>
      </c>
      <c r="P54" s="85">
        <v>-296617.34000000003</v>
      </c>
      <c r="Q54" s="85">
        <v>-296617.34000000003</v>
      </c>
      <c r="R54" s="85">
        <v>-296617.34000000003</v>
      </c>
      <c r="S54" s="85">
        <v>-296617.34000000003</v>
      </c>
      <c r="T54" s="85">
        <v>-296617.34000000003</v>
      </c>
      <c r="U54" s="85">
        <v>-296617.34000000003</v>
      </c>
      <c r="V54" s="85">
        <v>-296617.34000000003</v>
      </c>
      <c r="W54" s="85">
        <v>-296617.34000000003</v>
      </c>
    </row>
    <row r="55" spans="1:23">
      <c r="A55" s="84">
        <v>0</v>
      </c>
      <c r="B55" s="84">
        <v>2011</v>
      </c>
      <c r="C55" s="84">
        <v>1515</v>
      </c>
      <c r="D55" s="84">
        <v>280328</v>
      </c>
      <c r="E55" s="84" t="str">
        <f t="shared" si="0"/>
        <v>22834001280328</v>
      </c>
      <c r="F55" s="84" t="str">
        <f>VLOOKUP(E55,zJARS_Allockeys!A:G,7,FALSE)</f>
        <v>NUTIL</v>
      </c>
      <c r="G55" s="84">
        <v>2283400</v>
      </c>
      <c r="H55" s="84">
        <v>1</v>
      </c>
      <c r="I55" s="84">
        <v>280328</v>
      </c>
      <c r="J55" s="84">
        <v>1000</v>
      </c>
      <c r="K55" s="85">
        <v>-8388137.2800000003</v>
      </c>
      <c r="L55" s="85">
        <v>-8388137.2800000003</v>
      </c>
      <c r="M55" s="85">
        <v>-8388137.2800000003</v>
      </c>
      <c r="N55" s="85">
        <v>-8388137.2800000003</v>
      </c>
      <c r="O55" s="85">
        <v>-8388137.2800000003</v>
      </c>
      <c r="P55" s="85">
        <v>-8388137.2800000003</v>
      </c>
      <c r="Q55" s="85">
        <v>-8388137.2800000003</v>
      </c>
      <c r="R55" s="85">
        <v>-8388137.2800000003</v>
      </c>
      <c r="S55" s="85">
        <v>-8388137.2800000003</v>
      </c>
      <c r="T55" s="85">
        <v>-8388137.2800000003</v>
      </c>
      <c r="U55" s="85">
        <v>-8388137.2800000003</v>
      </c>
      <c r="V55" s="85">
        <v>-8388137.2800000003</v>
      </c>
      <c r="W55" s="85">
        <v>-8388137.2800000003</v>
      </c>
    </row>
    <row r="56" spans="1:23">
      <c r="A56" s="84">
        <v>0</v>
      </c>
      <c r="B56" s="84">
        <v>2011</v>
      </c>
      <c r="C56" s="84" t="s">
        <v>255</v>
      </c>
      <c r="D56" s="84">
        <v>187017</v>
      </c>
      <c r="E56" s="84" t="str">
        <f t="shared" si="0"/>
        <v>18238701187017</v>
      </c>
      <c r="F56" s="84" t="str">
        <f>VLOOKUP(E56,zJARS_Allockeys!A:G,7,FALSE)</f>
        <v>NUTIL</v>
      </c>
      <c r="G56" s="84">
        <v>1823870</v>
      </c>
      <c r="H56" s="84">
        <v>1</v>
      </c>
      <c r="I56" s="84">
        <v>187017</v>
      </c>
      <c r="J56" s="84">
        <v>1000</v>
      </c>
      <c r="K56" s="85">
        <v>-770280483.52999997</v>
      </c>
      <c r="L56" s="85">
        <v>-770280483.52999997</v>
      </c>
      <c r="M56" s="85">
        <v>-770280483.52999997</v>
      </c>
      <c r="N56" s="85">
        <v>-770280483.52999997</v>
      </c>
      <c r="O56" s="85">
        <v>-770280483.52999997</v>
      </c>
      <c r="P56" s="85">
        <v>-770280483.52999997</v>
      </c>
      <c r="Q56" s="85">
        <v>-770280483.52999997</v>
      </c>
      <c r="R56" s="85">
        <v>-770280483.52999997</v>
      </c>
      <c r="S56" s="85">
        <v>-770280483.52999997</v>
      </c>
      <c r="T56" s="85">
        <v>-770280483.52999997</v>
      </c>
      <c r="U56" s="85">
        <v>-770280483.52999997</v>
      </c>
      <c r="V56" s="85">
        <v>-770280483.52999997</v>
      </c>
      <c r="W56" s="85">
        <v>-770280483.52999997</v>
      </c>
    </row>
    <row r="57" spans="1:23">
      <c r="A57" s="84">
        <v>0</v>
      </c>
      <c r="B57" s="84">
        <v>2011</v>
      </c>
      <c r="C57" s="84" t="s">
        <v>255</v>
      </c>
      <c r="D57" s="84">
        <v>187621</v>
      </c>
      <c r="E57" s="84" t="str">
        <f t="shared" si="0"/>
        <v>18238701187621</v>
      </c>
      <c r="F57" s="84" t="str">
        <f>VLOOKUP(E57,zJARS_Allockeys!A:G,7,FALSE)</f>
        <v>NUTIL</v>
      </c>
      <c r="G57" s="84">
        <v>1823870</v>
      </c>
      <c r="H57" s="84">
        <v>1</v>
      </c>
      <c r="I57" s="84">
        <v>187621</v>
      </c>
      <c r="J57" s="84">
        <v>1000</v>
      </c>
      <c r="K57" s="85">
        <v>-146546744.66999999</v>
      </c>
      <c r="L57" s="85">
        <v>-146546744.66999999</v>
      </c>
      <c r="M57" s="85">
        <v>-146546744.66999999</v>
      </c>
      <c r="N57" s="85">
        <v>-146546744.66999999</v>
      </c>
      <c r="O57" s="85">
        <v>-146546744.66999999</v>
      </c>
      <c r="P57" s="85">
        <v>-146546744.66999999</v>
      </c>
      <c r="Q57" s="85">
        <v>-146546744.66999999</v>
      </c>
      <c r="R57" s="85">
        <v>-146546744.66999999</v>
      </c>
      <c r="S57" s="85">
        <v>-146546744.66999999</v>
      </c>
      <c r="T57" s="85">
        <v>-146546744.66999999</v>
      </c>
      <c r="U57" s="85">
        <v>-146546744.66999999</v>
      </c>
      <c r="V57" s="85">
        <v>-146546744.66999999</v>
      </c>
      <c r="W57" s="85">
        <v>-146546744.66999999</v>
      </c>
    </row>
    <row r="58" spans="1:23">
      <c r="A58" s="84">
        <v>0</v>
      </c>
      <c r="B58" s="84">
        <v>2011</v>
      </c>
      <c r="C58" s="84">
        <v>1042</v>
      </c>
      <c r="D58" s="84">
        <v>280328</v>
      </c>
      <c r="E58" s="84" t="str">
        <f t="shared" si="0"/>
        <v>22834001280328</v>
      </c>
      <c r="F58" s="84" t="str">
        <f>VLOOKUP(E58,zJARS_Allockeys!A:G,7,FALSE)</f>
        <v>NUTIL</v>
      </c>
      <c r="G58" s="84">
        <v>2283400</v>
      </c>
      <c r="H58" s="84">
        <v>1</v>
      </c>
      <c r="I58" s="84">
        <v>280328</v>
      </c>
      <c r="J58" s="84">
        <v>1000</v>
      </c>
      <c r="K58" s="85">
        <v>21773274.109999999</v>
      </c>
      <c r="L58" s="85">
        <v>21773274.109999999</v>
      </c>
      <c r="M58" s="85">
        <v>21773274.109999999</v>
      </c>
      <c r="N58" s="85">
        <v>21773274.109999999</v>
      </c>
      <c r="O58" s="85">
        <v>21773274.109999999</v>
      </c>
      <c r="P58" s="85">
        <v>21773274.109999999</v>
      </c>
      <c r="Q58" s="85">
        <v>22067375.620000001</v>
      </c>
      <c r="R58" s="85">
        <v>22067375.620000001</v>
      </c>
      <c r="S58" s="85">
        <v>22067375.620000001</v>
      </c>
      <c r="T58" s="85">
        <v>22067375.620000001</v>
      </c>
      <c r="U58" s="85">
        <v>22067375.620000001</v>
      </c>
      <c r="V58" s="85">
        <v>22067375.620000001</v>
      </c>
      <c r="W58" s="85">
        <v>22067375.620000001</v>
      </c>
    </row>
    <row r="59" spans="1:23">
      <c r="A59" s="84">
        <v>0</v>
      </c>
      <c r="B59" s="84">
        <v>2011</v>
      </c>
      <c r="C59" s="84">
        <v>1042</v>
      </c>
      <c r="D59" s="84">
        <v>280328</v>
      </c>
      <c r="E59" s="84" t="str">
        <f t="shared" si="0"/>
        <v>2283400122092280328</v>
      </c>
      <c r="F59" s="84" t="str">
        <f>VLOOKUP(E59,zJARS_Allockeys!A:G,7,FALSE)</f>
        <v>NUTIL</v>
      </c>
      <c r="G59" s="84">
        <v>2283400</v>
      </c>
      <c r="H59" s="84">
        <v>122092</v>
      </c>
      <c r="I59" s="84">
        <v>280328</v>
      </c>
      <c r="J59" s="84">
        <v>1000</v>
      </c>
      <c r="K59" s="85">
        <v>1386319.98</v>
      </c>
      <c r="L59" s="85">
        <v>1386319.98</v>
      </c>
      <c r="M59" s="85">
        <v>1386319.98</v>
      </c>
      <c r="N59" s="85">
        <v>1386319.98</v>
      </c>
      <c r="O59" s="85">
        <v>1386319.98</v>
      </c>
      <c r="P59" s="85">
        <v>1386319.98</v>
      </c>
      <c r="Q59" s="85">
        <v>1386319.98</v>
      </c>
      <c r="R59" s="85">
        <v>1386319.98</v>
      </c>
      <c r="S59" s="85">
        <v>1386319.98</v>
      </c>
      <c r="T59" s="85">
        <v>1386319.98</v>
      </c>
      <c r="U59" s="85">
        <v>1386319.98</v>
      </c>
      <c r="V59" s="85">
        <v>1386319.98</v>
      </c>
      <c r="W59" s="85">
        <v>1386319.98</v>
      </c>
    </row>
    <row r="60" spans="1:23">
      <c r="A60" s="84">
        <v>0</v>
      </c>
      <c r="B60" s="84">
        <v>2011</v>
      </c>
      <c r="C60" s="84">
        <v>1042</v>
      </c>
      <c r="D60" s="84">
        <v>280328</v>
      </c>
      <c r="E60" s="84" t="str">
        <f t="shared" si="0"/>
        <v>22840000</v>
      </c>
      <c r="F60" s="84" t="e">
        <f>VLOOKUP(E60,zJARS_Allockeys!A:G,7,FALSE)</f>
        <v>#N/A</v>
      </c>
      <c r="G60" s="84">
        <v>2284000</v>
      </c>
      <c r="H60" s="84">
        <v>0</v>
      </c>
      <c r="I60" s="84"/>
      <c r="J60" s="84">
        <v>1000</v>
      </c>
      <c r="K60" s="85">
        <v>12312.58</v>
      </c>
      <c r="L60" s="85">
        <v>12312.58</v>
      </c>
      <c r="M60" s="85">
        <v>12312.58</v>
      </c>
      <c r="N60" s="85">
        <v>12312.58</v>
      </c>
      <c r="O60" s="85">
        <v>12312.58</v>
      </c>
      <c r="P60" s="85">
        <v>12312.58</v>
      </c>
      <c r="Q60" s="85">
        <v>12312.58</v>
      </c>
      <c r="R60" s="85">
        <v>12312.58</v>
      </c>
      <c r="S60" s="85">
        <v>12312.58</v>
      </c>
      <c r="T60" s="85">
        <v>12312.58</v>
      </c>
      <c r="U60" s="85">
        <v>12312.58</v>
      </c>
      <c r="V60" s="85">
        <v>12312.58</v>
      </c>
      <c r="W60" s="85">
        <v>12312.58</v>
      </c>
    </row>
    <row r="61" spans="1:23">
      <c r="A61" s="84">
        <v>0</v>
      </c>
      <c r="B61" s="84">
        <v>2011</v>
      </c>
      <c r="C61" s="84">
        <v>1042</v>
      </c>
      <c r="D61" s="84">
        <v>280328</v>
      </c>
      <c r="E61" s="84" t="str">
        <f t="shared" si="0"/>
        <v>2284000122092280328</v>
      </c>
      <c r="F61" s="84" t="str">
        <f>VLOOKUP(E61,zJARS_Allockeys!A:G,7,FALSE)</f>
        <v>NUTIL</v>
      </c>
      <c r="G61" s="84">
        <v>2284000</v>
      </c>
      <c r="H61" s="84">
        <v>122092</v>
      </c>
      <c r="I61" s="84">
        <v>280328</v>
      </c>
      <c r="J61" s="84">
        <v>1000</v>
      </c>
      <c r="K61" s="85">
        <v>12312.58</v>
      </c>
      <c r="L61" s="85">
        <v>12312.58</v>
      </c>
      <c r="M61" s="85">
        <v>12312.58</v>
      </c>
      <c r="N61" s="85">
        <v>12312.58</v>
      </c>
      <c r="O61" s="85">
        <v>12312.58</v>
      </c>
      <c r="P61" s="85">
        <v>12312.58</v>
      </c>
      <c r="Q61" s="85">
        <v>12312.58</v>
      </c>
      <c r="R61" s="85">
        <v>12312.58</v>
      </c>
      <c r="S61" s="85">
        <v>12312.58</v>
      </c>
      <c r="T61" s="85">
        <v>12312.58</v>
      </c>
      <c r="U61" s="85">
        <v>12312.58</v>
      </c>
      <c r="V61" s="85">
        <v>12312.58</v>
      </c>
      <c r="W61" s="85">
        <v>12312.58</v>
      </c>
    </row>
    <row r="62" spans="1:23">
      <c r="A62" s="84">
        <v>0</v>
      </c>
      <c r="B62" s="84">
        <v>2011</v>
      </c>
      <c r="C62" s="84">
        <v>1042</v>
      </c>
      <c r="D62" s="84">
        <v>280355</v>
      </c>
      <c r="E62" s="84" t="str">
        <f t="shared" si="0"/>
        <v>22835001280355</v>
      </c>
      <c r="F62" s="84" t="str">
        <f>VLOOKUP(E62,zJARS_Allockeys!A:G,7,FALSE)</f>
        <v>NUTIL</v>
      </c>
      <c r="G62" s="84">
        <v>2283500</v>
      </c>
      <c r="H62" s="84">
        <v>1</v>
      </c>
      <c r="I62" s="84">
        <v>280355</v>
      </c>
      <c r="J62" s="84">
        <v>1000</v>
      </c>
      <c r="K62" s="85">
        <v>191034259</v>
      </c>
      <c r="L62" s="85">
        <v>204134259</v>
      </c>
      <c r="M62" s="85">
        <v>217234259</v>
      </c>
      <c r="N62" s="85">
        <v>230334259</v>
      </c>
      <c r="O62" s="85">
        <v>303834259</v>
      </c>
      <c r="P62" s="85">
        <v>303834259</v>
      </c>
      <c r="Q62" s="85">
        <v>303834259</v>
      </c>
      <c r="R62" s="85">
        <v>303834259</v>
      </c>
      <c r="S62" s="85">
        <v>303834259</v>
      </c>
      <c r="T62" s="85">
        <v>303834259</v>
      </c>
      <c r="U62" s="85">
        <v>303834259</v>
      </c>
      <c r="V62" s="85">
        <v>303834259</v>
      </c>
      <c r="W62" s="85">
        <v>303834259</v>
      </c>
    </row>
    <row r="63" spans="1:23">
      <c r="A63" s="84">
        <v>0</v>
      </c>
      <c r="B63" s="84">
        <v>2011</v>
      </c>
      <c r="C63" s="84">
        <v>1042</v>
      </c>
      <c r="D63" s="84">
        <v>280455</v>
      </c>
      <c r="E63" s="84" t="str">
        <f t="shared" si="0"/>
        <v>22834001280455</v>
      </c>
      <c r="F63" s="84" t="str">
        <f>VLOOKUP(E63,zJARS_Allockeys!A:G,7,FALSE)</f>
        <v>NUTIL</v>
      </c>
      <c r="G63" s="84">
        <v>2283400</v>
      </c>
      <c r="H63" s="84">
        <v>1</v>
      </c>
      <c r="I63" s="84">
        <v>280455</v>
      </c>
      <c r="J63" s="84">
        <v>1000</v>
      </c>
      <c r="K63" s="85">
        <v>3589984.62</v>
      </c>
      <c r="L63" s="85">
        <v>3590751.3000000003</v>
      </c>
      <c r="M63" s="85">
        <v>3590751.3000000003</v>
      </c>
      <c r="N63" s="85">
        <v>3949709.47</v>
      </c>
      <c r="O63" s="85">
        <v>3951712.2800000003</v>
      </c>
      <c r="P63" s="85">
        <v>3951712.2800000003</v>
      </c>
      <c r="Q63" s="85">
        <v>4328728.9700000007</v>
      </c>
      <c r="R63" s="85">
        <v>4328728.9700000007</v>
      </c>
      <c r="S63" s="85">
        <v>4329804.99</v>
      </c>
      <c r="T63" s="85">
        <v>4739892.6900000004</v>
      </c>
      <c r="U63" s="85">
        <v>4739892.6900000004</v>
      </c>
      <c r="V63" s="85">
        <v>4741121.6500000004</v>
      </c>
      <c r="W63" s="85">
        <v>5086394.83</v>
      </c>
    </row>
    <row r="64" spans="1:23">
      <c r="A64" s="84">
        <v>0</v>
      </c>
      <c r="B64" s="84">
        <v>2011</v>
      </c>
      <c r="C64" s="84">
        <v>1042</v>
      </c>
      <c r="D64" s="84">
        <v>280465</v>
      </c>
      <c r="E64" s="84" t="str">
        <f t="shared" si="0"/>
        <v>22835001280465</v>
      </c>
      <c r="F64" s="84" t="str">
        <f>VLOOKUP(E64,zJARS_Allockeys!A:G,7,FALSE)</f>
        <v>NUTIL</v>
      </c>
      <c r="G64" s="84">
        <v>2283500</v>
      </c>
      <c r="H64" s="84">
        <v>1</v>
      </c>
      <c r="I64" s="84">
        <v>280465</v>
      </c>
      <c r="J64" s="84">
        <v>1000</v>
      </c>
      <c r="K64" s="85">
        <v>12354769.550000001</v>
      </c>
      <c r="L64" s="85">
        <v>12696638.930000002</v>
      </c>
      <c r="M64" s="85">
        <v>13055377.990000002</v>
      </c>
      <c r="N64" s="85">
        <v>13405682.210000003</v>
      </c>
      <c r="O64" s="85">
        <v>13755986.430000003</v>
      </c>
      <c r="P64" s="85">
        <v>14106290.650000004</v>
      </c>
      <c r="Q64" s="85">
        <v>14456594.870000005</v>
      </c>
      <c r="R64" s="85">
        <v>14806899.090000005</v>
      </c>
      <c r="S64" s="85">
        <v>15157203.310000006</v>
      </c>
      <c r="T64" s="85">
        <v>15507507.530000007</v>
      </c>
      <c r="U64" s="85">
        <v>15857811.750000007</v>
      </c>
      <c r="V64" s="85">
        <v>16208115.970000008</v>
      </c>
      <c r="W64" s="85">
        <v>16558420.190000009</v>
      </c>
    </row>
    <row r="65" spans="1:23">
      <c r="A65" s="84">
        <v>0</v>
      </c>
      <c r="B65" s="84">
        <v>2011</v>
      </c>
      <c r="C65" s="84">
        <v>1170</v>
      </c>
      <c r="D65" s="84">
        <v>280479</v>
      </c>
      <c r="E65" s="84" t="str">
        <f t="shared" si="0"/>
        <v>22835001034280479</v>
      </c>
      <c r="F65" s="84" t="str">
        <f>VLOOKUP(E65,zJARS_Allockeys!A:G,7,FALSE)</f>
        <v>NUTIL</v>
      </c>
      <c r="G65" s="84">
        <v>2283500</v>
      </c>
      <c r="H65" s="84">
        <v>1034</v>
      </c>
      <c r="I65" s="84">
        <v>280479</v>
      </c>
      <c r="J65" s="84">
        <v>1000</v>
      </c>
      <c r="K65" s="85">
        <v>136531000</v>
      </c>
      <c r="L65" s="85">
        <v>140624000</v>
      </c>
      <c r="M65" s="85">
        <v>144717000</v>
      </c>
      <c r="N65" s="85">
        <v>148810000</v>
      </c>
      <c r="O65" s="85">
        <v>152794000</v>
      </c>
      <c r="P65" s="85">
        <v>156778000</v>
      </c>
      <c r="Q65" s="85">
        <v>160762000</v>
      </c>
      <c r="R65" s="85">
        <v>164746000</v>
      </c>
      <c r="S65" s="85">
        <v>168730000</v>
      </c>
      <c r="T65" s="85">
        <v>172714000</v>
      </c>
      <c r="U65" s="85">
        <v>176698000</v>
      </c>
      <c r="V65" s="85">
        <v>180682000</v>
      </c>
      <c r="W65" s="85">
        <v>184768000</v>
      </c>
    </row>
    <row r="66" spans="1:23">
      <c r="A66" s="84">
        <v>0</v>
      </c>
      <c r="B66" s="84">
        <v>2011</v>
      </c>
      <c r="C66" s="84">
        <v>1170</v>
      </c>
      <c r="D66" s="84">
        <v>280479</v>
      </c>
      <c r="E66" s="84" t="str">
        <f t="shared" si="0"/>
        <v>242000010340</v>
      </c>
      <c r="F66" s="84" t="str">
        <f>VLOOKUP(E66,zJARS_Allockeys!A:G,7,FALSE)</f>
        <v>NUTIL</v>
      </c>
      <c r="G66" s="84">
        <v>2420000</v>
      </c>
      <c r="H66" s="84">
        <v>1034</v>
      </c>
      <c r="I66" s="84">
        <v>0</v>
      </c>
      <c r="J66" s="84">
        <v>1000</v>
      </c>
      <c r="K66" s="85">
        <v>16000000</v>
      </c>
      <c r="L66" s="85">
        <v>16000000</v>
      </c>
      <c r="M66" s="85">
        <v>16000000</v>
      </c>
      <c r="N66" s="85">
        <v>16000000</v>
      </c>
      <c r="O66" s="85">
        <v>16000000</v>
      </c>
      <c r="P66" s="85">
        <v>16000000</v>
      </c>
      <c r="Q66" s="85">
        <v>16000000</v>
      </c>
      <c r="R66" s="85">
        <v>16000000</v>
      </c>
      <c r="S66" s="85">
        <v>16000000</v>
      </c>
      <c r="T66" s="85">
        <v>16000000</v>
      </c>
      <c r="U66" s="85">
        <v>16000000</v>
      </c>
      <c r="V66" s="85">
        <v>16000000</v>
      </c>
      <c r="W66" s="85">
        <v>16000000</v>
      </c>
    </row>
    <row r="67" spans="1:23">
      <c r="A67" s="84">
        <v>0</v>
      </c>
      <c r="B67" s="84">
        <v>2011</v>
      </c>
      <c r="C67" s="84">
        <v>1196</v>
      </c>
      <c r="D67" s="84">
        <v>280328</v>
      </c>
      <c r="E67" s="84" t="str">
        <f t="shared" ref="E67:E130" si="1">+G67&amp;H67&amp;I67</f>
        <v>22834001280328</v>
      </c>
      <c r="F67" s="84" t="str">
        <f>VLOOKUP(E67,zJARS_Allockeys!A:G,7,FALSE)</f>
        <v>NUTIL</v>
      </c>
      <c r="G67" s="84">
        <v>2283400</v>
      </c>
      <c r="H67" s="84">
        <v>1</v>
      </c>
      <c r="I67" s="84">
        <v>280328</v>
      </c>
      <c r="J67" s="84">
        <v>1000</v>
      </c>
      <c r="K67" s="85">
        <v>94320.05</v>
      </c>
      <c r="L67" s="85">
        <v>94320.05</v>
      </c>
      <c r="M67" s="85">
        <v>94320.05</v>
      </c>
      <c r="N67" s="85">
        <v>94320.05</v>
      </c>
      <c r="O67" s="85">
        <v>94320.05</v>
      </c>
      <c r="P67" s="85">
        <v>94320.05</v>
      </c>
      <c r="Q67" s="85">
        <v>94320.05</v>
      </c>
      <c r="R67" s="85">
        <v>94320.05</v>
      </c>
      <c r="S67" s="85">
        <v>94320.05</v>
      </c>
      <c r="T67" s="85">
        <v>94320.05</v>
      </c>
      <c r="U67" s="85">
        <v>94320.05</v>
      </c>
      <c r="V67" s="85">
        <v>94320.05</v>
      </c>
      <c r="W67" s="85">
        <v>94320.05</v>
      </c>
    </row>
    <row r="68" spans="1:23">
      <c r="A68" s="84">
        <v>0</v>
      </c>
      <c r="B68" s="84">
        <v>2011</v>
      </c>
      <c r="C68" s="84">
        <v>1200</v>
      </c>
      <c r="D68" s="84">
        <v>187017</v>
      </c>
      <c r="E68" s="84" t="str">
        <f t="shared" si="1"/>
        <v>18238701111610</v>
      </c>
      <c r="F68" s="84" t="str">
        <f>VLOOKUP(E68,zJARS_Allockeys!A:G,7,FALSE)</f>
        <v>NUTIL</v>
      </c>
      <c r="G68" s="84">
        <v>1823870</v>
      </c>
      <c r="H68" s="84">
        <v>1</v>
      </c>
      <c r="I68" s="84">
        <v>111610</v>
      </c>
      <c r="J68" s="84">
        <v>1000</v>
      </c>
      <c r="K68" s="85">
        <v>409985025.17000002</v>
      </c>
      <c r="L68" s="85">
        <v>409985025.17000002</v>
      </c>
      <c r="M68" s="85">
        <v>409985025.17000002</v>
      </c>
      <c r="N68" s="85">
        <v>409985025.17000002</v>
      </c>
      <c r="O68" s="85">
        <v>409985025.17000002</v>
      </c>
      <c r="P68" s="85">
        <v>409985025.17000002</v>
      </c>
      <c r="Q68" s="85">
        <v>409985025.17000002</v>
      </c>
      <c r="R68" s="85">
        <v>409985025.17000002</v>
      </c>
      <c r="S68" s="85">
        <v>409985025.17000002</v>
      </c>
      <c r="T68" s="85">
        <v>409985025.17000002</v>
      </c>
      <c r="U68" s="85">
        <v>409985025.17000002</v>
      </c>
      <c r="V68" s="85">
        <v>409985025.17000002</v>
      </c>
      <c r="W68" s="85">
        <v>409985025.17000002</v>
      </c>
    </row>
    <row r="69" spans="1:23">
      <c r="A69" s="84">
        <v>0</v>
      </c>
      <c r="B69" s="84">
        <v>2011</v>
      </c>
      <c r="C69" s="84">
        <v>1200</v>
      </c>
      <c r="D69" s="84">
        <v>187017</v>
      </c>
      <c r="E69" s="84" t="str">
        <f t="shared" si="1"/>
        <v>18238701187017</v>
      </c>
      <c r="F69" s="84" t="str">
        <f>VLOOKUP(E69,zJARS_Allockeys!A:G,7,FALSE)</f>
        <v>NUTIL</v>
      </c>
      <c r="G69" s="84">
        <v>1823870</v>
      </c>
      <c r="H69" s="84">
        <v>1</v>
      </c>
      <c r="I69" s="84">
        <v>187017</v>
      </c>
      <c r="J69" s="84">
        <v>1000</v>
      </c>
      <c r="K69" s="85">
        <v>982405394.25999999</v>
      </c>
      <c r="L69" s="85">
        <v>984494167.22000003</v>
      </c>
      <c r="M69" s="85">
        <v>984506940.18000007</v>
      </c>
      <c r="N69" s="85">
        <v>984520658.20000005</v>
      </c>
      <c r="O69" s="85">
        <v>984533903.69000006</v>
      </c>
      <c r="P69" s="85">
        <v>984550904.55000007</v>
      </c>
      <c r="Q69" s="85">
        <v>984566642.74000013</v>
      </c>
      <c r="R69" s="85">
        <v>984582380.93000019</v>
      </c>
      <c r="S69" s="85">
        <v>984881708.11000013</v>
      </c>
      <c r="T69" s="85">
        <v>984892267.95000017</v>
      </c>
      <c r="U69" s="85">
        <v>984902827.7900002</v>
      </c>
      <c r="V69" s="85">
        <v>984913387.63000023</v>
      </c>
      <c r="W69" s="85">
        <v>1021250947.5000002</v>
      </c>
    </row>
    <row r="70" spans="1:23">
      <c r="A70" s="84">
        <v>0</v>
      </c>
      <c r="B70" s="84">
        <v>2011</v>
      </c>
      <c r="C70" s="84">
        <v>1200</v>
      </c>
      <c r="D70" s="84">
        <v>187600</v>
      </c>
      <c r="E70" s="84" t="str">
        <f t="shared" si="1"/>
        <v>18238701187600</v>
      </c>
      <c r="F70" s="84" t="str">
        <f>VLOOKUP(E70,zJARS_Allockeys!A:G,7,FALSE)</f>
        <v>NUTIL</v>
      </c>
      <c r="G70" s="84">
        <v>1823870</v>
      </c>
      <c r="H70" s="84">
        <v>1</v>
      </c>
      <c r="I70" s="84">
        <v>187600</v>
      </c>
      <c r="J70" s="84">
        <v>1000</v>
      </c>
      <c r="K70" s="85">
        <v>3004972.32</v>
      </c>
      <c r="L70" s="85">
        <v>3394408.1199999996</v>
      </c>
      <c r="M70" s="85">
        <v>3478960.9199999995</v>
      </c>
      <c r="N70" s="85">
        <v>3563513.7199999993</v>
      </c>
      <c r="O70" s="85">
        <v>3648066.5199999991</v>
      </c>
      <c r="P70" s="85">
        <v>3732619.3099999991</v>
      </c>
      <c r="Q70" s="85">
        <v>3817172.1099999989</v>
      </c>
      <c r="R70" s="85">
        <v>3901724.9099999988</v>
      </c>
      <c r="S70" s="85">
        <v>3986277.7099999986</v>
      </c>
      <c r="T70" s="85">
        <v>4070830.4999999986</v>
      </c>
      <c r="U70" s="85">
        <v>4155383.2999999984</v>
      </c>
      <c r="V70" s="85">
        <v>4239936.0999999987</v>
      </c>
      <c r="W70" s="85">
        <v>4324488.8999999985</v>
      </c>
    </row>
    <row r="71" spans="1:23">
      <c r="A71" s="84">
        <v>0</v>
      </c>
      <c r="B71" s="84">
        <v>2011</v>
      </c>
      <c r="C71" s="84">
        <v>1200</v>
      </c>
      <c r="D71" s="84">
        <v>187602</v>
      </c>
      <c r="E71" s="84" t="str">
        <f t="shared" si="1"/>
        <v>18238701187602</v>
      </c>
      <c r="F71" s="84" t="str">
        <f>VLOOKUP(E71,zJARS_Allockeys!A:G,7,FALSE)</f>
        <v>NUTIL</v>
      </c>
      <c r="G71" s="84">
        <v>1823870</v>
      </c>
      <c r="H71" s="84">
        <v>1</v>
      </c>
      <c r="I71" s="84">
        <v>187602</v>
      </c>
      <c r="J71" s="84">
        <v>1000</v>
      </c>
      <c r="K71" s="85">
        <v>2893084.59</v>
      </c>
      <c r="L71" s="85">
        <v>2893084.59</v>
      </c>
      <c r="M71" s="85">
        <v>2893084.59</v>
      </c>
      <c r="N71" s="85">
        <v>2893084.59</v>
      </c>
      <c r="O71" s="85">
        <v>2893084.59</v>
      </c>
      <c r="P71" s="85">
        <v>2893084.59</v>
      </c>
      <c r="Q71" s="85">
        <v>2893084.59</v>
      </c>
      <c r="R71" s="85">
        <v>2893084.59</v>
      </c>
      <c r="S71" s="85">
        <v>2893084.59</v>
      </c>
      <c r="T71" s="85">
        <v>2893084.59</v>
      </c>
      <c r="U71" s="85">
        <v>2893084.59</v>
      </c>
      <c r="V71" s="85">
        <v>2893084.59</v>
      </c>
      <c r="W71" s="85">
        <v>2893084.59</v>
      </c>
    </row>
    <row r="72" spans="1:23">
      <c r="A72" s="84">
        <v>0</v>
      </c>
      <c r="B72" s="84">
        <v>2011</v>
      </c>
      <c r="C72" s="84">
        <v>1200</v>
      </c>
      <c r="D72" s="84">
        <v>187604</v>
      </c>
      <c r="E72" s="84" t="str">
        <f t="shared" si="1"/>
        <v>18238701187604</v>
      </c>
      <c r="F72" s="84" t="str">
        <f>VLOOKUP(E72,zJARS_Allockeys!A:G,7,FALSE)</f>
        <v>NUTIL</v>
      </c>
      <c r="G72" s="84">
        <v>1823870</v>
      </c>
      <c r="H72" s="84">
        <v>1</v>
      </c>
      <c r="I72" s="84">
        <v>187604</v>
      </c>
      <c r="J72" s="84">
        <v>1000</v>
      </c>
      <c r="K72" s="85">
        <v>259872.53</v>
      </c>
      <c r="L72" s="85">
        <v>266932.40000000002</v>
      </c>
      <c r="M72" s="85">
        <v>274488.96000000002</v>
      </c>
      <c r="N72" s="85">
        <v>282045.52</v>
      </c>
      <c r="O72" s="85">
        <v>289602.08</v>
      </c>
      <c r="P72" s="85">
        <v>297158.63</v>
      </c>
      <c r="Q72" s="85">
        <v>304715.19</v>
      </c>
      <c r="R72" s="85">
        <v>312271.75</v>
      </c>
      <c r="S72" s="85">
        <v>319828.31</v>
      </c>
      <c r="T72" s="85">
        <v>327384.86</v>
      </c>
      <c r="U72" s="85">
        <v>334941.42</v>
      </c>
      <c r="V72" s="85">
        <v>342497.98</v>
      </c>
      <c r="W72" s="85">
        <v>350054.54</v>
      </c>
    </row>
    <row r="73" spans="1:23">
      <c r="A73" s="84">
        <v>0</v>
      </c>
      <c r="B73" s="84">
        <v>2011</v>
      </c>
      <c r="C73" s="84">
        <v>1200</v>
      </c>
      <c r="D73" s="84">
        <v>187605</v>
      </c>
      <c r="E73" s="84" t="str">
        <f t="shared" si="1"/>
        <v>18238701187605</v>
      </c>
      <c r="F73" s="84" t="str">
        <f>VLOOKUP(E73,zJARS_Allockeys!A:G,7,FALSE)</f>
        <v>NUTIL</v>
      </c>
      <c r="G73" s="84">
        <v>1823870</v>
      </c>
      <c r="H73" s="84">
        <v>1</v>
      </c>
      <c r="I73" s="84">
        <v>187605</v>
      </c>
      <c r="J73" s="84">
        <v>1000</v>
      </c>
      <c r="K73" s="85">
        <v>3425803.59</v>
      </c>
      <c r="L73" s="85">
        <v>3506386.92</v>
      </c>
      <c r="M73" s="85">
        <v>3591217.17</v>
      </c>
      <c r="N73" s="85">
        <v>3676047.42</v>
      </c>
      <c r="O73" s="85">
        <v>3760877.67</v>
      </c>
      <c r="P73" s="85">
        <v>3845707.91</v>
      </c>
      <c r="Q73" s="85">
        <v>3930538.16</v>
      </c>
      <c r="R73" s="85">
        <v>4015368.41</v>
      </c>
      <c r="S73" s="85">
        <v>4100198.66</v>
      </c>
      <c r="T73" s="85">
        <v>4185028.9000000004</v>
      </c>
      <c r="U73" s="85">
        <v>4269859.1500000004</v>
      </c>
      <c r="V73" s="85">
        <v>4354689.4000000004</v>
      </c>
      <c r="W73" s="85">
        <v>4439519.6500000004</v>
      </c>
    </row>
    <row r="74" spans="1:23">
      <c r="A74" s="84">
        <v>0</v>
      </c>
      <c r="B74" s="84">
        <v>2011</v>
      </c>
      <c r="C74" s="84">
        <v>1200</v>
      </c>
      <c r="D74" s="84">
        <v>187621</v>
      </c>
      <c r="E74" s="84" t="str">
        <f t="shared" si="1"/>
        <v>18238701114020</v>
      </c>
      <c r="F74" s="84" t="str">
        <f>VLOOKUP(E74,zJARS_Allockeys!A:G,7,FALSE)</f>
        <v>NUTIL</v>
      </c>
      <c r="G74" s="84">
        <v>1823870</v>
      </c>
      <c r="H74" s="84">
        <v>1</v>
      </c>
      <c r="I74" s="84">
        <v>114020</v>
      </c>
      <c r="J74" s="84">
        <v>1000</v>
      </c>
      <c r="K74" s="85">
        <v>206435569.09</v>
      </c>
      <c r="L74" s="85">
        <v>206435569.09</v>
      </c>
      <c r="M74" s="85">
        <v>206435569.09</v>
      </c>
      <c r="N74" s="85">
        <v>206435569.09</v>
      </c>
      <c r="O74" s="85">
        <v>206435569.09</v>
      </c>
      <c r="P74" s="85">
        <v>206435569.09</v>
      </c>
      <c r="Q74" s="85">
        <v>206435569.09</v>
      </c>
      <c r="R74" s="85">
        <v>206435569.09</v>
      </c>
      <c r="S74" s="85">
        <v>206435569.09</v>
      </c>
      <c r="T74" s="85">
        <v>206435569.09</v>
      </c>
      <c r="U74" s="85">
        <v>206435569.09</v>
      </c>
      <c r="V74" s="85">
        <v>206435569.09</v>
      </c>
      <c r="W74" s="85">
        <v>206435569.09</v>
      </c>
    </row>
    <row r="75" spans="1:23">
      <c r="A75" s="84">
        <v>0</v>
      </c>
      <c r="B75" s="84">
        <v>2011</v>
      </c>
      <c r="C75" s="84">
        <v>1200</v>
      </c>
      <c r="D75" s="84">
        <v>187621</v>
      </c>
      <c r="E75" s="84" t="str">
        <f t="shared" si="1"/>
        <v>18238701187621</v>
      </c>
      <c r="F75" s="84" t="str">
        <f>VLOOKUP(E75,zJARS_Allockeys!A:G,7,FALSE)</f>
        <v>NUTIL</v>
      </c>
      <c r="G75" s="84">
        <v>1823870</v>
      </c>
      <c r="H75" s="84">
        <v>1</v>
      </c>
      <c r="I75" s="84">
        <v>187621</v>
      </c>
      <c r="J75" s="84">
        <v>1000</v>
      </c>
      <c r="K75" s="85">
        <v>290808881.74000001</v>
      </c>
      <c r="L75" s="85">
        <v>290808881.74000001</v>
      </c>
      <c r="M75" s="85">
        <v>290808881.74000001</v>
      </c>
      <c r="N75" s="85">
        <v>290808881.74000001</v>
      </c>
      <c r="O75" s="85">
        <v>290808881.74000001</v>
      </c>
      <c r="P75" s="85">
        <v>290808881.74000001</v>
      </c>
      <c r="Q75" s="85">
        <v>290808881.74000001</v>
      </c>
      <c r="R75" s="85">
        <v>290808881.74000001</v>
      </c>
      <c r="S75" s="85">
        <v>291018518.88999999</v>
      </c>
      <c r="T75" s="85">
        <v>291018518.88999999</v>
      </c>
      <c r="U75" s="85">
        <v>291018518.88999999</v>
      </c>
      <c r="V75" s="85">
        <v>291018518.88999999</v>
      </c>
      <c r="W75" s="85">
        <v>302492518.88</v>
      </c>
    </row>
    <row r="76" spans="1:23">
      <c r="A76" s="84">
        <v>0</v>
      </c>
      <c r="B76" s="84">
        <v>2011</v>
      </c>
      <c r="C76" s="84">
        <v>1200</v>
      </c>
      <c r="D76" s="84">
        <v>187622</v>
      </c>
      <c r="E76" s="84" t="str">
        <f t="shared" si="1"/>
        <v>18238701187622</v>
      </c>
      <c r="F76" s="84" t="str">
        <f>VLOOKUP(E76,zJARS_Allockeys!A:G,7,FALSE)</f>
        <v>NUTIL</v>
      </c>
      <c r="G76" s="84">
        <v>1823870</v>
      </c>
      <c r="H76" s="84">
        <v>1</v>
      </c>
      <c r="I76" s="84">
        <v>187622</v>
      </c>
      <c r="J76" s="84">
        <v>1000</v>
      </c>
      <c r="K76" s="85">
        <v>1992967.36</v>
      </c>
      <c r="L76" s="85">
        <v>1999751.1700000002</v>
      </c>
      <c r="M76" s="85">
        <v>1999751.1700000002</v>
      </c>
      <c r="N76" s="85">
        <v>1999751.1700000002</v>
      </c>
      <c r="O76" s="85">
        <v>1999751.1700000002</v>
      </c>
      <c r="P76" s="85">
        <v>1999751.1700000002</v>
      </c>
      <c r="Q76" s="85">
        <v>1999751.1700000002</v>
      </c>
      <c r="R76" s="85">
        <v>1999751.1700000002</v>
      </c>
      <c r="S76" s="85">
        <v>1999751.1700000002</v>
      </c>
      <c r="T76" s="85">
        <v>1999751.1700000002</v>
      </c>
      <c r="U76" s="85">
        <v>1999751.1700000002</v>
      </c>
      <c r="V76" s="85">
        <v>1999751.1700000002</v>
      </c>
      <c r="W76" s="85">
        <v>1999751.1700000002</v>
      </c>
    </row>
    <row r="77" spans="1:23">
      <c r="A77" s="84">
        <v>0</v>
      </c>
      <c r="B77" s="84">
        <v>2011</v>
      </c>
      <c r="C77" s="84">
        <v>1200</v>
      </c>
      <c r="D77" s="84">
        <v>187624</v>
      </c>
      <c r="E77" s="84" t="str">
        <f t="shared" si="1"/>
        <v>18238701187624</v>
      </c>
      <c r="F77" s="84" t="str">
        <f>VLOOKUP(E77,zJARS_Allockeys!A:G,7,FALSE)</f>
        <v>NUTIL</v>
      </c>
      <c r="G77" s="84">
        <v>1823870</v>
      </c>
      <c r="H77" s="84">
        <v>1</v>
      </c>
      <c r="I77" s="84">
        <v>187624</v>
      </c>
      <c r="J77" s="84">
        <v>1000</v>
      </c>
      <c r="K77" s="85">
        <v>2846825.24</v>
      </c>
      <c r="L77" s="85">
        <v>2846825.24</v>
      </c>
      <c r="M77" s="85">
        <v>2846825.24</v>
      </c>
      <c r="N77" s="85">
        <v>2846825.24</v>
      </c>
      <c r="O77" s="85">
        <v>2846825.24</v>
      </c>
      <c r="P77" s="85">
        <v>2846825.24</v>
      </c>
      <c r="Q77" s="85">
        <v>2846825.24</v>
      </c>
      <c r="R77" s="85">
        <v>2846825.24</v>
      </c>
      <c r="S77" s="85">
        <v>2846825.24</v>
      </c>
      <c r="T77" s="85">
        <v>2846825.24</v>
      </c>
      <c r="U77" s="85">
        <v>2846825.24</v>
      </c>
      <c r="V77" s="85">
        <v>2846825.24</v>
      </c>
      <c r="W77" s="85">
        <v>2846825.24</v>
      </c>
    </row>
    <row r="78" spans="1:23">
      <c r="A78" s="84">
        <v>0</v>
      </c>
      <c r="B78" s="84">
        <v>2011</v>
      </c>
      <c r="C78" s="84">
        <v>1200</v>
      </c>
      <c r="D78" s="84">
        <v>187627</v>
      </c>
      <c r="E78" s="84" t="str">
        <f t="shared" si="1"/>
        <v>18238701187627</v>
      </c>
      <c r="F78" s="84" t="str">
        <f>VLOOKUP(E78,zJARS_Allockeys!A:G,7,FALSE)</f>
        <v>NUTIL</v>
      </c>
      <c r="G78" s="84">
        <v>1823870</v>
      </c>
      <c r="H78" s="84">
        <v>1</v>
      </c>
      <c r="I78" s="84">
        <v>187627</v>
      </c>
      <c r="J78" s="84">
        <v>1000</v>
      </c>
      <c r="K78" s="85">
        <v>172353.49</v>
      </c>
      <c r="L78" s="85">
        <v>172353.49</v>
      </c>
      <c r="M78" s="85">
        <v>172353.49</v>
      </c>
      <c r="N78" s="85">
        <v>172353.49</v>
      </c>
      <c r="O78" s="85">
        <v>172353.49</v>
      </c>
      <c r="P78" s="85">
        <v>172353.49</v>
      </c>
      <c r="Q78" s="85">
        <v>172353.49</v>
      </c>
      <c r="R78" s="85">
        <v>172353.49</v>
      </c>
      <c r="S78" s="85">
        <v>172353.49</v>
      </c>
      <c r="T78" s="85">
        <v>172353.49</v>
      </c>
      <c r="U78" s="85">
        <v>172353.49</v>
      </c>
      <c r="V78" s="85">
        <v>172353.49</v>
      </c>
      <c r="W78" s="85">
        <v>172353.49</v>
      </c>
    </row>
    <row r="79" spans="1:23">
      <c r="A79" s="84">
        <v>0</v>
      </c>
      <c r="B79" s="84">
        <v>2011</v>
      </c>
      <c r="C79" s="84">
        <v>1200</v>
      </c>
      <c r="D79" s="84">
        <v>280328</v>
      </c>
      <c r="E79" s="84" t="str">
        <f t="shared" si="1"/>
        <v>22834000</v>
      </c>
      <c r="F79" s="84" t="e">
        <f>VLOOKUP(E79,zJARS_Allockeys!A:G,7,FALSE)</f>
        <v>#N/A</v>
      </c>
      <c r="G79" s="84">
        <v>2283400</v>
      </c>
      <c r="H79" s="84">
        <v>0</v>
      </c>
      <c r="I79" s="84"/>
      <c r="J79" s="84">
        <v>1000</v>
      </c>
      <c r="K79" s="85">
        <v>2753875.33</v>
      </c>
      <c r="L79" s="85">
        <v>2753875.33</v>
      </c>
      <c r="M79" s="85">
        <v>2753875.33</v>
      </c>
      <c r="N79" s="85">
        <v>2753875.33</v>
      </c>
      <c r="O79" s="85">
        <v>2753875.33</v>
      </c>
      <c r="P79" s="85">
        <v>2753875.33</v>
      </c>
      <c r="Q79" s="85">
        <v>2753875.33</v>
      </c>
      <c r="R79" s="85">
        <v>2753875.33</v>
      </c>
      <c r="S79" s="85">
        <v>2753875.33</v>
      </c>
      <c r="T79" s="85">
        <v>2753875.33</v>
      </c>
      <c r="U79" s="85">
        <v>2753875.33</v>
      </c>
      <c r="V79" s="85">
        <v>2753875.33</v>
      </c>
      <c r="W79" s="85">
        <v>2753875.33</v>
      </c>
    </row>
    <row r="80" spans="1:23">
      <c r="A80" s="84">
        <v>0</v>
      </c>
      <c r="B80" s="84">
        <v>2011</v>
      </c>
      <c r="C80" s="84">
        <v>1200</v>
      </c>
      <c r="D80" s="84">
        <v>280328</v>
      </c>
      <c r="E80" s="84" t="str">
        <f t="shared" si="1"/>
        <v>22834000280328</v>
      </c>
      <c r="F80" s="84" t="e">
        <f>VLOOKUP(E80,zJARS_Allockeys!A:G,7,FALSE)</f>
        <v>#N/A</v>
      </c>
      <c r="G80" s="84">
        <v>2283400</v>
      </c>
      <c r="H80" s="84">
        <v>0</v>
      </c>
      <c r="I80" s="84">
        <v>280328</v>
      </c>
      <c r="J80" s="84">
        <v>1000</v>
      </c>
      <c r="K80" s="85">
        <v>182433</v>
      </c>
      <c r="L80" s="85">
        <v>182433</v>
      </c>
      <c r="M80" s="85">
        <v>182433</v>
      </c>
      <c r="N80" s="85">
        <v>182433</v>
      </c>
      <c r="O80" s="85">
        <v>182433</v>
      </c>
      <c r="P80" s="85">
        <v>182433</v>
      </c>
      <c r="Q80" s="85">
        <v>182433</v>
      </c>
      <c r="R80" s="85">
        <v>182433</v>
      </c>
      <c r="S80" s="85">
        <v>182433</v>
      </c>
      <c r="T80" s="85">
        <v>182433</v>
      </c>
      <c r="U80" s="85">
        <v>182433</v>
      </c>
      <c r="V80" s="85">
        <v>182433</v>
      </c>
      <c r="W80" s="85">
        <v>182433</v>
      </c>
    </row>
    <row r="81" spans="1:23">
      <c r="A81" s="84">
        <v>0</v>
      </c>
      <c r="B81" s="84">
        <v>2011</v>
      </c>
      <c r="C81" s="84">
        <v>1200</v>
      </c>
      <c r="D81" s="84">
        <v>280328</v>
      </c>
      <c r="E81" s="84" t="str">
        <f t="shared" si="1"/>
        <v>22834001280328</v>
      </c>
      <c r="F81" s="84" t="str">
        <f>VLOOKUP(E81,zJARS_Allockeys!A:G,7,FALSE)</f>
        <v>NUTIL</v>
      </c>
      <c r="G81" s="84">
        <v>2283400</v>
      </c>
      <c r="H81" s="84">
        <v>1</v>
      </c>
      <c r="I81" s="84">
        <v>280328</v>
      </c>
      <c r="J81" s="84">
        <v>1000</v>
      </c>
      <c r="K81" s="85">
        <v>67753.06</v>
      </c>
      <c r="L81" s="85">
        <v>67753.06</v>
      </c>
      <c r="M81" s="85">
        <v>67753.06</v>
      </c>
      <c r="N81" s="85">
        <v>67753.06</v>
      </c>
      <c r="O81" s="85">
        <v>67753.06</v>
      </c>
      <c r="P81" s="85">
        <v>67753.06</v>
      </c>
      <c r="Q81" s="85">
        <v>67753.06</v>
      </c>
      <c r="R81" s="85">
        <v>67753.06</v>
      </c>
      <c r="S81" s="85">
        <v>67753.06</v>
      </c>
      <c r="T81" s="85">
        <v>67753.06</v>
      </c>
      <c r="U81" s="85">
        <v>67753.06</v>
      </c>
      <c r="V81" s="85">
        <v>67753.06</v>
      </c>
      <c r="W81" s="85">
        <v>67753.06</v>
      </c>
    </row>
    <row r="82" spans="1:23">
      <c r="A82" s="84">
        <v>0</v>
      </c>
      <c r="B82" s="84">
        <v>2011</v>
      </c>
      <c r="C82" s="84">
        <v>1200</v>
      </c>
      <c r="D82" s="84">
        <v>280328</v>
      </c>
      <c r="E82" s="84" t="str">
        <f t="shared" si="1"/>
        <v>22834001280328</v>
      </c>
      <c r="F82" s="84" t="str">
        <f>VLOOKUP(E82,zJARS_Allockeys!A:G,7,FALSE)</f>
        <v>NUTIL</v>
      </c>
      <c r="G82" s="84">
        <v>2283400</v>
      </c>
      <c r="H82" s="84">
        <v>1</v>
      </c>
      <c r="I82" s="84">
        <v>280328</v>
      </c>
      <c r="J82" s="84">
        <v>1000</v>
      </c>
      <c r="K82" s="85">
        <v>42293380.729999997</v>
      </c>
      <c r="L82" s="85">
        <v>42956974.189999998</v>
      </c>
      <c r="M82" s="85">
        <v>43717618.979999997</v>
      </c>
      <c r="N82" s="85">
        <v>44432558.989999995</v>
      </c>
      <c r="O82" s="85">
        <v>45162147.939999998</v>
      </c>
      <c r="P82" s="85">
        <v>45878142.769999996</v>
      </c>
      <c r="Q82" s="85">
        <v>48582946.039999999</v>
      </c>
      <c r="R82" s="85">
        <v>49321547.269999996</v>
      </c>
      <c r="S82" s="85">
        <v>50052734.949999996</v>
      </c>
      <c r="T82" s="85">
        <v>51213097.939999998</v>
      </c>
      <c r="U82" s="85">
        <v>51912060.439999998</v>
      </c>
      <c r="V82" s="85">
        <v>52604342.649999999</v>
      </c>
      <c r="W82" s="85">
        <v>59089571.829999998</v>
      </c>
    </row>
    <row r="83" spans="1:23">
      <c r="A83" s="84">
        <v>0</v>
      </c>
      <c r="B83" s="84">
        <v>2011</v>
      </c>
      <c r="C83" s="84">
        <v>1200</v>
      </c>
      <c r="D83" s="84">
        <v>280328</v>
      </c>
      <c r="E83" s="84" t="str">
        <f t="shared" si="1"/>
        <v>2283400122092280328</v>
      </c>
      <c r="F83" s="84" t="str">
        <f>VLOOKUP(E83,zJARS_Allockeys!A:G,7,FALSE)</f>
        <v>NUTIL</v>
      </c>
      <c r="G83" s="84">
        <v>2283400</v>
      </c>
      <c r="H83" s="84">
        <v>122092</v>
      </c>
      <c r="I83" s="84">
        <v>280328</v>
      </c>
      <c r="J83" s="84">
        <v>1000</v>
      </c>
      <c r="K83" s="85">
        <v>11566.21</v>
      </c>
      <c r="L83" s="85">
        <v>11566.21</v>
      </c>
      <c r="M83" s="85">
        <v>11566.21</v>
      </c>
      <c r="N83" s="85">
        <v>11566.21</v>
      </c>
      <c r="O83" s="85">
        <v>11566.21</v>
      </c>
      <c r="P83" s="85">
        <v>11566.21</v>
      </c>
      <c r="Q83" s="85">
        <v>11566.21</v>
      </c>
      <c r="R83" s="85">
        <v>11566.21</v>
      </c>
      <c r="S83" s="85">
        <v>11566.21</v>
      </c>
      <c r="T83" s="85">
        <v>11566.21</v>
      </c>
      <c r="U83" s="85">
        <v>11566.21</v>
      </c>
      <c r="V83" s="85">
        <v>11566.21</v>
      </c>
      <c r="W83" s="85">
        <v>11566.21</v>
      </c>
    </row>
    <row r="84" spans="1:23">
      <c r="A84" s="84">
        <v>0</v>
      </c>
      <c r="B84" s="84">
        <v>2011</v>
      </c>
      <c r="C84" s="84">
        <v>1200</v>
      </c>
      <c r="D84" s="84">
        <v>280328</v>
      </c>
      <c r="E84" s="84" t="str">
        <f t="shared" si="1"/>
        <v>2283400122092280328</v>
      </c>
      <c r="F84" s="84" t="str">
        <f>VLOOKUP(E84,zJARS_Allockeys!A:G,7,FALSE)</f>
        <v>NUTIL</v>
      </c>
      <c r="G84" s="84">
        <v>2283400</v>
      </c>
      <c r="H84" s="84">
        <v>122092</v>
      </c>
      <c r="I84" s="84">
        <v>280328</v>
      </c>
      <c r="J84" s="84">
        <v>1000</v>
      </c>
      <c r="K84" s="85">
        <v>162492.54999999999</v>
      </c>
      <c r="L84" s="85">
        <v>162492.54999999999</v>
      </c>
      <c r="M84" s="85">
        <v>162492.54999999999</v>
      </c>
      <c r="N84" s="85">
        <v>162492.54999999999</v>
      </c>
      <c r="O84" s="85">
        <v>162492.54999999999</v>
      </c>
      <c r="P84" s="85">
        <v>162492.54999999999</v>
      </c>
      <c r="Q84" s="85">
        <v>162492.54999999999</v>
      </c>
      <c r="R84" s="85">
        <v>162492.54999999999</v>
      </c>
      <c r="S84" s="85">
        <v>162492.54999999999</v>
      </c>
      <c r="T84" s="85">
        <v>162492.54999999999</v>
      </c>
      <c r="U84" s="85">
        <v>162492.54999999999</v>
      </c>
      <c r="V84" s="85">
        <v>162492.54999999999</v>
      </c>
      <c r="W84" s="85">
        <v>162492.54999999999</v>
      </c>
    </row>
    <row r="85" spans="1:23">
      <c r="A85" s="84">
        <v>0</v>
      </c>
      <c r="B85" s="84">
        <v>2011</v>
      </c>
      <c r="C85" s="84">
        <v>1200</v>
      </c>
      <c r="D85" s="84">
        <v>280328</v>
      </c>
      <c r="E85" s="84" t="str">
        <f t="shared" si="1"/>
        <v>22840000</v>
      </c>
      <c r="F85" s="84" t="e">
        <f>VLOOKUP(E85,zJARS_Allockeys!A:G,7,FALSE)</f>
        <v>#N/A</v>
      </c>
      <c r="G85" s="84">
        <v>2284000</v>
      </c>
      <c r="H85" s="84">
        <v>0</v>
      </c>
      <c r="I85" s="84"/>
      <c r="J85" s="84">
        <v>1000</v>
      </c>
      <c r="K85" s="85">
        <v>12312.58</v>
      </c>
      <c r="L85" s="85">
        <v>12312.58</v>
      </c>
      <c r="M85" s="85">
        <v>12312.58</v>
      </c>
      <c r="N85" s="85">
        <v>12312.58</v>
      </c>
      <c r="O85" s="85">
        <v>12312.58</v>
      </c>
      <c r="P85" s="85">
        <v>12312.58</v>
      </c>
      <c r="Q85" s="85">
        <v>12312.58</v>
      </c>
      <c r="R85" s="85">
        <v>12312.58</v>
      </c>
      <c r="S85" s="85">
        <v>12312.58</v>
      </c>
      <c r="T85" s="85">
        <v>12312.58</v>
      </c>
      <c r="U85" s="85">
        <v>12312.58</v>
      </c>
      <c r="V85" s="85">
        <v>12312.58</v>
      </c>
      <c r="W85" s="85">
        <v>12312.58</v>
      </c>
    </row>
    <row r="86" spans="1:23">
      <c r="A86" s="84">
        <v>0</v>
      </c>
      <c r="B86" s="84">
        <v>2011</v>
      </c>
      <c r="C86" s="84">
        <v>1200</v>
      </c>
      <c r="D86" s="84">
        <v>280329</v>
      </c>
      <c r="E86" s="84" t="str">
        <f t="shared" si="1"/>
        <v>22834001280329</v>
      </c>
      <c r="F86" s="84" t="str">
        <f>VLOOKUP(E86,zJARS_Allockeys!A:G,7,FALSE)</f>
        <v>NUTIL</v>
      </c>
      <c r="G86" s="84">
        <v>2283400</v>
      </c>
      <c r="H86" s="84">
        <v>1</v>
      </c>
      <c r="I86" s="84">
        <v>280329</v>
      </c>
      <c r="J86" s="84">
        <v>1000</v>
      </c>
      <c r="K86" s="85">
        <v>58427000</v>
      </c>
      <c r="L86" s="85">
        <v>58427000</v>
      </c>
      <c r="M86" s="85">
        <v>58427000</v>
      </c>
      <c r="N86" s="85">
        <v>58427000</v>
      </c>
      <c r="O86" s="85">
        <v>58427000</v>
      </c>
      <c r="P86" s="85">
        <v>58427000</v>
      </c>
      <c r="Q86" s="85">
        <v>58427000</v>
      </c>
      <c r="R86" s="85">
        <v>58427000</v>
      </c>
      <c r="S86" s="85">
        <v>58427000</v>
      </c>
      <c r="T86" s="85">
        <v>58427000</v>
      </c>
      <c r="U86" s="85">
        <v>58427000</v>
      </c>
      <c r="V86" s="85">
        <v>58427000</v>
      </c>
      <c r="W86" s="85">
        <v>99337015</v>
      </c>
    </row>
    <row r="87" spans="1:23">
      <c r="A87" s="84">
        <v>0</v>
      </c>
      <c r="B87" s="84">
        <v>2011</v>
      </c>
      <c r="C87" s="84">
        <v>1200</v>
      </c>
      <c r="D87" s="84">
        <v>280355</v>
      </c>
      <c r="E87" s="84" t="str">
        <f t="shared" si="1"/>
        <v>22835001280355</v>
      </c>
      <c r="F87" s="84" t="str">
        <f>VLOOKUP(E87,zJARS_Allockeys!A:G,7,FALSE)</f>
        <v>NUTIL</v>
      </c>
      <c r="G87" s="84">
        <v>2283500</v>
      </c>
      <c r="H87" s="84">
        <v>1</v>
      </c>
      <c r="I87" s="84">
        <v>280355</v>
      </c>
      <c r="J87" s="84">
        <v>1000</v>
      </c>
      <c r="K87" s="85">
        <v>555880637.16999996</v>
      </c>
      <c r="L87" s="85">
        <v>570165114.20999992</v>
      </c>
      <c r="M87" s="85">
        <v>570167591.24999988</v>
      </c>
      <c r="N87" s="85">
        <v>570171333.50999987</v>
      </c>
      <c r="O87" s="85">
        <v>570173338.01999986</v>
      </c>
      <c r="P87" s="85">
        <v>570237232.44999981</v>
      </c>
      <c r="Q87" s="85">
        <v>570295220.63999987</v>
      </c>
      <c r="R87" s="85">
        <v>570353208.82999992</v>
      </c>
      <c r="S87" s="85">
        <v>570884252.15999997</v>
      </c>
      <c r="T87" s="85">
        <v>571884525.64999998</v>
      </c>
      <c r="U87" s="85">
        <v>571884799.13999999</v>
      </c>
      <c r="V87" s="85">
        <v>571885072.63</v>
      </c>
      <c r="W87" s="85">
        <v>581171346.12</v>
      </c>
    </row>
    <row r="88" spans="1:23">
      <c r="A88" s="84">
        <v>0</v>
      </c>
      <c r="B88" s="84">
        <v>2011</v>
      </c>
      <c r="C88" s="84">
        <v>1200</v>
      </c>
      <c r="D88" s="84">
        <v>280440</v>
      </c>
      <c r="E88" s="84" t="str">
        <f t="shared" si="1"/>
        <v>22834001280440</v>
      </c>
      <c r="F88" s="84" t="str">
        <f>VLOOKUP(E88,zJARS_Allockeys!A:G,7,FALSE)</f>
        <v>NUTIL</v>
      </c>
      <c r="G88" s="84">
        <v>2283400</v>
      </c>
      <c r="H88" s="84">
        <v>1</v>
      </c>
      <c r="I88" s="84">
        <v>280440</v>
      </c>
      <c r="J88" s="84">
        <v>1000</v>
      </c>
      <c r="K88" s="85">
        <v>0</v>
      </c>
      <c r="L88" s="85">
        <v>0</v>
      </c>
      <c r="M88" s="85">
        <v>0</v>
      </c>
      <c r="N88" s="85">
        <v>0</v>
      </c>
      <c r="O88" s="85">
        <v>0</v>
      </c>
      <c r="P88" s="85">
        <v>0</v>
      </c>
      <c r="Q88" s="85">
        <v>0</v>
      </c>
      <c r="R88" s="85">
        <v>0</v>
      </c>
      <c r="S88" s="85">
        <v>0</v>
      </c>
      <c r="T88" s="85">
        <v>0</v>
      </c>
      <c r="U88" s="85">
        <v>0</v>
      </c>
      <c r="V88" s="85">
        <v>0</v>
      </c>
      <c r="W88" s="85">
        <v>2603000</v>
      </c>
    </row>
    <row r="89" spans="1:23">
      <c r="A89" s="84">
        <v>0</v>
      </c>
      <c r="B89" s="84">
        <v>2011</v>
      </c>
      <c r="C89" s="84">
        <v>1200</v>
      </c>
      <c r="D89" s="84">
        <v>280454</v>
      </c>
      <c r="E89" s="84" t="str">
        <f t="shared" si="1"/>
        <v>22834001280454</v>
      </c>
      <c r="F89" s="84" t="str">
        <f>VLOOKUP(E89,zJARS_Allockeys!A:G,7,FALSE)</f>
        <v>NUTIL</v>
      </c>
      <c r="G89" s="84">
        <v>2283400</v>
      </c>
      <c r="H89" s="84">
        <v>1</v>
      </c>
      <c r="I89" s="84">
        <v>280454</v>
      </c>
      <c r="J89" s="84">
        <v>1000</v>
      </c>
      <c r="K89" s="85">
        <v>0</v>
      </c>
      <c r="L89" s="85">
        <v>0</v>
      </c>
      <c r="M89" s="85">
        <v>0</v>
      </c>
      <c r="N89" s="85">
        <v>0</v>
      </c>
      <c r="O89" s="85">
        <v>0</v>
      </c>
      <c r="P89" s="85">
        <v>0</v>
      </c>
      <c r="Q89" s="85">
        <v>0</v>
      </c>
      <c r="R89" s="85">
        <v>0</v>
      </c>
      <c r="S89" s="85">
        <v>0</v>
      </c>
      <c r="T89" s="85">
        <v>0</v>
      </c>
      <c r="U89" s="85">
        <v>0</v>
      </c>
      <c r="V89" s="85">
        <v>0</v>
      </c>
      <c r="W89" s="85">
        <v>8844000</v>
      </c>
    </row>
    <row r="90" spans="1:23">
      <c r="A90" s="84">
        <v>0</v>
      </c>
      <c r="B90" s="84">
        <v>2011</v>
      </c>
      <c r="C90" s="84">
        <v>1200</v>
      </c>
      <c r="D90" s="84">
        <v>280455</v>
      </c>
      <c r="E90" s="84" t="str">
        <f t="shared" si="1"/>
        <v>22834001280455</v>
      </c>
      <c r="F90" s="84" t="str">
        <f>VLOOKUP(E90,zJARS_Allockeys!A:G,7,FALSE)</f>
        <v>NUTIL</v>
      </c>
      <c r="G90" s="84">
        <v>2283400</v>
      </c>
      <c r="H90" s="84">
        <v>1</v>
      </c>
      <c r="I90" s="84">
        <v>280455</v>
      </c>
      <c r="J90" s="84">
        <v>1000</v>
      </c>
      <c r="K90" s="85">
        <v>405806307.08999997</v>
      </c>
      <c r="L90" s="85">
        <v>405853448.61999995</v>
      </c>
      <c r="M90" s="85">
        <v>406117773.98999995</v>
      </c>
      <c r="N90" s="85">
        <v>412233168.34999996</v>
      </c>
      <c r="O90" s="85">
        <v>412292838.53999996</v>
      </c>
      <c r="P90" s="85">
        <v>412349279.20999998</v>
      </c>
      <c r="Q90" s="85">
        <v>418426040.83999997</v>
      </c>
      <c r="R90" s="85">
        <v>418488246.20999998</v>
      </c>
      <c r="S90" s="85">
        <v>418652826.64999998</v>
      </c>
      <c r="T90" s="85">
        <v>424383904.71999997</v>
      </c>
      <c r="U90" s="85">
        <v>424445711.08999997</v>
      </c>
      <c r="V90" s="85">
        <v>424500333.5</v>
      </c>
      <c r="W90" s="85">
        <v>489369039.60000002</v>
      </c>
    </row>
    <row r="91" spans="1:23">
      <c r="A91" s="84">
        <v>0</v>
      </c>
      <c r="B91" s="84">
        <v>2011</v>
      </c>
      <c r="C91" s="84">
        <v>1200</v>
      </c>
      <c r="D91" s="84">
        <v>280456</v>
      </c>
      <c r="E91" s="84" t="str">
        <f t="shared" si="1"/>
        <v>22834001280456</v>
      </c>
      <c r="F91" s="84" t="str">
        <f>VLOOKUP(E91,zJARS_Allockeys!A:G,7,FALSE)</f>
        <v>NUTIL</v>
      </c>
      <c r="G91" s="84">
        <v>2283400</v>
      </c>
      <c r="H91" s="84">
        <v>1</v>
      </c>
      <c r="I91" s="84">
        <v>280456</v>
      </c>
      <c r="J91" s="84">
        <v>1000</v>
      </c>
      <c r="K91" s="85">
        <v>0</v>
      </c>
      <c r="L91" s="85">
        <v>51466.48</v>
      </c>
      <c r="M91" s="85">
        <v>51466.48</v>
      </c>
      <c r="N91" s="85">
        <v>51466.48</v>
      </c>
      <c r="O91" s="85">
        <v>51466.48</v>
      </c>
      <c r="P91" s="85">
        <v>51466.48</v>
      </c>
      <c r="Q91" s="85">
        <v>51466.48</v>
      </c>
      <c r="R91" s="85">
        <v>51466.48</v>
      </c>
      <c r="S91" s="85">
        <v>98370.22</v>
      </c>
      <c r="T91" s="85">
        <v>98370.22</v>
      </c>
      <c r="U91" s="85">
        <v>121614.63</v>
      </c>
      <c r="V91" s="85">
        <v>121614.63</v>
      </c>
      <c r="W91" s="85">
        <v>121927.07</v>
      </c>
    </row>
    <row r="92" spans="1:23">
      <c r="A92" s="84">
        <v>0</v>
      </c>
      <c r="B92" s="84">
        <v>2011</v>
      </c>
      <c r="C92" s="84">
        <v>1200</v>
      </c>
      <c r="D92" s="84">
        <v>280457</v>
      </c>
      <c r="E92" s="84" t="str">
        <f t="shared" si="1"/>
        <v>22834001280457</v>
      </c>
      <c r="F92" s="84" t="str">
        <f>VLOOKUP(E92,zJARS_Allockeys!A:G,7,FALSE)</f>
        <v>NUTIL</v>
      </c>
      <c r="G92" s="84">
        <v>2283400</v>
      </c>
      <c r="H92" s="84">
        <v>1</v>
      </c>
      <c r="I92" s="84">
        <v>280457</v>
      </c>
      <c r="J92" s="84">
        <v>1000</v>
      </c>
      <c r="K92" s="85">
        <v>83309523</v>
      </c>
      <c r="L92" s="85">
        <v>83309523</v>
      </c>
      <c r="M92" s="85">
        <v>83309523</v>
      </c>
      <c r="N92" s="85">
        <v>83309523</v>
      </c>
      <c r="O92" s="85">
        <v>83309523</v>
      </c>
      <c r="P92" s="85">
        <v>83309523</v>
      </c>
      <c r="Q92" s="85">
        <v>83309523</v>
      </c>
      <c r="R92" s="85">
        <v>83309523</v>
      </c>
      <c r="S92" s="85">
        <v>83309523</v>
      </c>
      <c r="T92" s="85">
        <v>83309523</v>
      </c>
      <c r="U92" s="85">
        <v>83309523</v>
      </c>
      <c r="V92" s="85">
        <v>83309523</v>
      </c>
      <c r="W92" s="85">
        <v>125096523</v>
      </c>
    </row>
    <row r="93" spans="1:23">
      <c r="A93" s="84">
        <v>0</v>
      </c>
      <c r="B93" s="84">
        <v>2011</v>
      </c>
      <c r="C93" s="84">
        <v>1200</v>
      </c>
      <c r="D93" s="84">
        <v>280465</v>
      </c>
      <c r="E93" s="84" t="str">
        <f t="shared" si="1"/>
        <v>22835001280465</v>
      </c>
      <c r="F93" s="84" t="str">
        <f>VLOOKUP(E93,zJARS_Allockeys!A:G,7,FALSE)</f>
        <v>NUTIL</v>
      </c>
      <c r="G93" s="84">
        <v>2283500</v>
      </c>
      <c r="H93" s="84">
        <v>1</v>
      </c>
      <c r="I93" s="84">
        <v>280465</v>
      </c>
      <c r="J93" s="84">
        <v>1000</v>
      </c>
      <c r="K93" s="85">
        <v>62989677.950000003</v>
      </c>
      <c r="L93" s="85">
        <v>62993113.950000003</v>
      </c>
      <c r="M93" s="85">
        <v>62993276.950000003</v>
      </c>
      <c r="N93" s="85">
        <v>62994186.950000003</v>
      </c>
      <c r="O93" s="85">
        <v>63007523.950000003</v>
      </c>
      <c r="P93" s="85">
        <v>63007933.950000003</v>
      </c>
      <c r="Q93" s="85">
        <v>63007933.950000003</v>
      </c>
      <c r="R93" s="85">
        <v>63008960.950000003</v>
      </c>
      <c r="S93" s="85">
        <v>63009327.950000003</v>
      </c>
      <c r="T93" s="85">
        <v>63009555.950000003</v>
      </c>
      <c r="U93" s="85">
        <v>63009783.950000003</v>
      </c>
      <c r="V93" s="85">
        <v>63010011.950000003</v>
      </c>
      <c r="W93" s="85">
        <v>63754234.060000002</v>
      </c>
    </row>
    <row r="94" spans="1:23">
      <c r="A94" s="84">
        <v>0</v>
      </c>
      <c r="B94" s="84">
        <v>2011</v>
      </c>
      <c r="C94" s="84">
        <v>1200</v>
      </c>
      <c r="D94" s="84">
        <v>280479</v>
      </c>
      <c r="E94" s="84" t="str">
        <f t="shared" si="1"/>
        <v>22835001280479</v>
      </c>
      <c r="F94" s="84" t="str">
        <f>VLOOKUP(E94,zJARS_Allockeys!A:G,7,FALSE)</f>
        <v>NUTIL</v>
      </c>
      <c r="G94" s="84">
        <v>2283500</v>
      </c>
      <c r="H94" s="84">
        <v>1</v>
      </c>
      <c r="I94" s="84">
        <v>280479</v>
      </c>
      <c r="J94" s="84">
        <v>1000</v>
      </c>
      <c r="K94" s="85">
        <v>25000</v>
      </c>
      <c r="L94" s="85">
        <v>25000</v>
      </c>
      <c r="M94" s="85">
        <v>25000</v>
      </c>
      <c r="N94" s="85">
        <v>25000</v>
      </c>
      <c r="O94" s="85">
        <v>25000</v>
      </c>
      <c r="P94" s="85">
        <v>25000</v>
      </c>
      <c r="Q94" s="85">
        <v>25000</v>
      </c>
      <c r="R94" s="85">
        <v>25000</v>
      </c>
      <c r="S94" s="85">
        <v>25000</v>
      </c>
      <c r="T94" s="85">
        <v>25000</v>
      </c>
      <c r="U94" s="85">
        <v>25000</v>
      </c>
      <c r="V94" s="85">
        <v>25000</v>
      </c>
      <c r="W94" s="85">
        <v>25000</v>
      </c>
    </row>
    <row r="95" spans="1:23">
      <c r="A95" s="84">
        <v>0</v>
      </c>
      <c r="B95" s="84">
        <v>2011</v>
      </c>
      <c r="C95" s="84">
        <v>1200</v>
      </c>
      <c r="D95" s="84">
        <v>299107</v>
      </c>
      <c r="E95" s="84" t="str">
        <f t="shared" si="1"/>
        <v>219000010</v>
      </c>
      <c r="F95" s="84" t="str">
        <f>VLOOKUP(E95,zJARS_Allockeys!A:G,7,FALSE)</f>
        <v>NUTIL</v>
      </c>
      <c r="G95" s="84">
        <v>2190000</v>
      </c>
      <c r="H95" s="84">
        <v>1</v>
      </c>
      <c r="I95" s="84">
        <v>0</v>
      </c>
      <c r="J95" s="84">
        <v>1000</v>
      </c>
      <c r="K95" s="85">
        <v>22272109.07</v>
      </c>
      <c r="L95" s="85">
        <v>22272109.07</v>
      </c>
      <c r="M95" s="85">
        <v>22272109.07</v>
      </c>
      <c r="N95" s="85">
        <v>22272109.07</v>
      </c>
      <c r="O95" s="85">
        <v>22272109.07</v>
      </c>
      <c r="P95" s="85">
        <v>22272109.07</v>
      </c>
      <c r="Q95" s="85">
        <v>22272109.07</v>
      </c>
      <c r="R95" s="85">
        <v>22272109.07</v>
      </c>
      <c r="S95" s="85">
        <v>22272109.07</v>
      </c>
      <c r="T95" s="85">
        <v>22272109.07</v>
      </c>
      <c r="U95" s="85">
        <v>22272109.07</v>
      </c>
      <c r="V95" s="85">
        <v>22272109.07</v>
      </c>
      <c r="W95" s="85">
        <v>25100109.310000002</v>
      </c>
    </row>
    <row r="96" spans="1:23">
      <c r="A96" s="84">
        <v>0</v>
      </c>
      <c r="B96" s="84">
        <v>2011</v>
      </c>
      <c r="C96" s="84">
        <v>1201</v>
      </c>
      <c r="D96" s="84">
        <v>187621</v>
      </c>
      <c r="E96" s="84" t="str">
        <f t="shared" si="1"/>
        <v>18238701114020</v>
      </c>
      <c r="F96" s="84" t="str">
        <f>VLOOKUP(E96,zJARS_Allockeys!A:G,7,FALSE)</f>
        <v>NUTIL</v>
      </c>
      <c r="G96" s="84">
        <v>1823870</v>
      </c>
      <c r="H96" s="84">
        <v>1</v>
      </c>
      <c r="I96" s="84">
        <v>114020</v>
      </c>
      <c r="J96" s="84">
        <v>1000</v>
      </c>
      <c r="K96" s="85">
        <v>79582204</v>
      </c>
      <c r="L96" s="85">
        <v>79582204</v>
      </c>
      <c r="M96" s="85">
        <v>79582204</v>
      </c>
      <c r="N96" s="85">
        <v>79582204</v>
      </c>
      <c r="O96" s="85">
        <v>79582204</v>
      </c>
      <c r="P96" s="85">
        <v>79582204</v>
      </c>
      <c r="Q96" s="85">
        <v>79582204</v>
      </c>
      <c r="R96" s="85">
        <v>79582204</v>
      </c>
      <c r="S96" s="85">
        <v>79582204</v>
      </c>
      <c r="T96" s="85">
        <v>79582204</v>
      </c>
      <c r="U96" s="85">
        <v>79582204</v>
      </c>
      <c r="V96" s="85">
        <v>79582204</v>
      </c>
      <c r="W96" s="85">
        <v>79582204</v>
      </c>
    </row>
    <row r="97" spans="1:23">
      <c r="A97" s="84">
        <v>0</v>
      </c>
      <c r="B97" s="84">
        <v>2011</v>
      </c>
      <c r="C97" s="84">
        <v>1201</v>
      </c>
      <c r="D97" s="84">
        <v>187621</v>
      </c>
      <c r="E97" s="84" t="str">
        <f t="shared" si="1"/>
        <v>18238701187621</v>
      </c>
      <c r="F97" s="84" t="str">
        <f>VLOOKUP(E97,zJARS_Allockeys!A:G,7,FALSE)</f>
        <v>NUTIL</v>
      </c>
      <c r="G97" s="84">
        <v>1823870</v>
      </c>
      <c r="H97" s="84">
        <v>1</v>
      </c>
      <c r="I97" s="84">
        <v>187621</v>
      </c>
      <c r="J97" s="84">
        <v>1000</v>
      </c>
      <c r="K97" s="85">
        <v>39791102</v>
      </c>
      <c r="L97" s="85">
        <v>39791102</v>
      </c>
      <c r="M97" s="85">
        <v>39791102</v>
      </c>
      <c r="N97" s="85">
        <v>39791102</v>
      </c>
      <c r="O97" s="85">
        <v>39791102</v>
      </c>
      <c r="P97" s="85">
        <v>39791102</v>
      </c>
      <c r="Q97" s="85">
        <v>39791102</v>
      </c>
      <c r="R97" s="85">
        <v>39791102</v>
      </c>
      <c r="S97" s="85">
        <v>39791102</v>
      </c>
      <c r="T97" s="85">
        <v>39791102</v>
      </c>
      <c r="U97" s="85">
        <v>39791102</v>
      </c>
      <c r="V97" s="85">
        <v>39791102</v>
      </c>
      <c r="W97" s="85">
        <v>39791102</v>
      </c>
    </row>
    <row r="98" spans="1:23">
      <c r="A98" s="84">
        <v>0</v>
      </c>
      <c r="B98" s="84">
        <v>2011</v>
      </c>
      <c r="C98" s="84">
        <v>1201</v>
      </c>
      <c r="D98" s="84">
        <v>187626</v>
      </c>
      <c r="E98" s="84" t="str">
        <f t="shared" si="1"/>
        <v>18231091114020</v>
      </c>
      <c r="F98" s="84" t="str">
        <f>VLOOKUP(E98,zJARS_Allockeys!A:G,7,FALSE)</f>
        <v>NUTIL</v>
      </c>
      <c r="G98" s="84">
        <v>1823109</v>
      </c>
      <c r="H98" s="84">
        <v>1</v>
      </c>
      <c r="I98" s="84">
        <v>114020</v>
      </c>
      <c r="J98" s="84">
        <v>1000</v>
      </c>
      <c r="K98" s="85">
        <v>39791102</v>
      </c>
      <c r="L98" s="85">
        <v>39791102</v>
      </c>
      <c r="M98" s="85">
        <v>39791102</v>
      </c>
      <c r="N98" s="85">
        <v>39791102</v>
      </c>
      <c r="O98" s="85">
        <v>39791102</v>
      </c>
      <c r="P98" s="85">
        <v>39791102</v>
      </c>
      <c r="Q98" s="85">
        <v>39791102</v>
      </c>
      <c r="R98" s="85">
        <v>39791102</v>
      </c>
      <c r="S98" s="85">
        <v>39791102</v>
      </c>
      <c r="T98" s="85">
        <v>39791102</v>
      </c>
      <c r="U98" s="85">
        <v>39791102</v>
      </c>
      <c r="V98" s="85">
        <v>39791102</v>
      </c>
      <c r="W98" s="85">
        <v>39791102</v>
      </c>
    </row>
    <row r="99" spans="1:23">
      <c r="A99" s="84">
        <v>0</v>
      </c>
      <c r="B99" s="84">
        <v>2011</v>
      </c>
      <c r="C99" s="84">
        <v>1201</v>
      </c>
      <c r="D99" s="84">
        <v>187626</v>
      </c>
      <c r="E99" s="84" t="str">
        <f t="shared" si="1"/>
        <v>18231091187626</v>
      </c>
      <c r="F99" s="84" t="str">
        <f>VLOOKUP(E99,zJARS_Allockeys!A:G,7,FALSE)</f>
        <v>NUTIL</v>
      </c>
      <c r="G99" s="84">
        <v>1823109</v>
      </c>
      <c r="H99" s="84">
        <v>1</v>
      </c>
      <c r="I99" s="84">
        <v>187626</v>
      </c>
      <c r="J99" s="84">
        <v>1000</v>
      </c>
      <c r="K99" s="85">
        <v>46644730</v>
      </c>
      <c r="L99" s="85">
        <v>46644730</v>
      </c>
      <c r="M99" s="85">
        <v>46644730</v>
      </c>
      <c r="N99" s="85">
        <v>69810810</v>
      </c>
      <c r="O99" s="85">
        <v>69810810</v>
      </c>
      <c r="P99" s="85">
        <v>69810810</v>
      </c>
      <c r="Q99" s="85">
        <v>69810810</v>
      </c>
      <c r="R99" s="85">
        <v>69810810</v>
      </c>
      <c r="S99" s="85">
        <v>69810810</v>
      </c>
      <c r="T99" s="85">
        <v>69810810</v>
      </c>
      <c r="U99" s="85">
        <v>69810810</v>
      </c>
      <c r="V99" s="85">
        <v>69810810</v>
      </c>
      <c r="W99" s="85">
        <v>72202280</v>
      </c>
    </row>
    <row r="100" spans="1:23">
      <c r="A100" s="84">
        <v>0</v>
      </c>
      <c r="B100" s="84">
        <v>2011</v>
      </c>
      <c r="C100" s="84">
        <v>1283</v>
      </c>
      <c r="D100" s="84">
        <v>280328</v>
      </c>
      <c r="E100" s="84" t="str">
        <f t="shared" si="1"/>
        <v>22830000</v>
      </c>
      <c r="F100" s="84" t="e">
        <f>VLOOKUP(E100,zJARS_Allockeys!A:G,7,FALSE)</f>
        <v>#N/A</v>
      </c>
      <c r="G100" s="84">
        <v>2283000</v>
      </c>
      <c r="H100" s="84">
        <v>0</v>
      </c>
      <c r="I100" s="84"/>
      <c r="J100" s="84">
        <v>1000</v>
      </c>
      <c r="K100" s="85">
        <v>4984523.78</v>
      </c>
      <c r="L100" s="85">
        <v>4984523.78</v>
      </c>
      <c r="M100" s="85">
        <v>4984523.78</v>
      </c>
      <c r="N100" s="85">
        <v>4984523.78</v>
      </c>
      <c r="O100" s="85">
        <v>4984523.78</v>
      </c>
      <c r="P100" s="85">
        <v>4984523.78</v>
      </c>
      <c r="Q100" s="85">
        <v>4984523.78</v>
      </c>
      <c r="R100" s="85">
        <v>4984523.78</v>
      </c>
      <c r="S100" s="85">
        <v>4984523.78</v>
      </c>
      <c r="T100" s="85">
        <v>4984523.78</v>
      </c>
      <c r="U100" s="85">
        <v>4984523.78</v>
      </c>
      <c r="V100" s="85">
        <v>4984523.78</v>
      </c>
      <c r="W100" s="85">
        <v>4984523.78</v>
      </c>
    </row>
    <row r="101" spans="1:23">
      <c r="A101" s="84">
        <v>0</v>
      </c>
      <c r="B101" s="84">
        <v>2011</v>
      </c>
      <c r="C101" s="84">
        <v>1283</v>
      </c>
      <c r="D101" s="84">
        <v>280328</v>
      </c>
      <c r="E101" s="84" t="str">
        <f t="shared" si="1"/>
        <v>2283000122092280328</v>
      </c>
      <c r="F101" s="84" t="str">
        <f>VLOOKUP(E101,zJARS_Allockeys!A:G,7,FALSE)</f>
        <v>NUTIL</v>
      </c>
      <c r="G101" s="84">
        <v>2283000</v>
      </c>
      <c r="H101" s="84">
        <v>122092</v>
      </c>
      <c r="I101" s="84">
        <v>280328</v>
      </c>
      <c r="J101" s="84">
        <v>1000</v>
      </c>
      <c r="K101" s="85">
        <v>4984523.78</v>
      </c>
      <c r="L101" s="85">
        <v>4984523.78</v>
      </c>
      <c r="M101" s="85">
        <v>4984523.78</v>
      </c>
      <c r="N101" s="85">
        <v>4984523.78</v>
      </c>
      <c r="O101" s="85">
        <v>4984523.78</v>
      </c>
      <c r="P101" s="85">
        <v>4984523.78</v>
      </c>
      <c r="Q101" s="85">
        <v>4984523.78</v>
      </c>
      <c r="R101" s="85">
        <v>4984523.78</v>
      </c>
      <c r="S101" s="85">
        <v>4984523.78</v>
      </c>
      <c r="T101" s="85">
        <v>4984523.78</v>
      </c>
      <c r="U101" s="85">
        <v>4984523.78</v>
      </c>
      <c r="V101" s="85">
        <v>4984523.78</v>
      </c>
      <c r="W101" s="85">
        <v>4984523.78</v>
      </c>
    </row>
    <row r="102" spans="1:23">
      <c r="A102" s="84">
        <v>0</v>
      </c>
      <c r="B102" s="84">
        <v>2011</v>
      </c>
      <c r="C102" s="84">
        <v>1283</v>
      </c>
      <c r="D102" s="84">
        <v>280328</v>
      </c>
      <c r="E102" s="84" t="str">
        <f t="shared" si="1"/>
        <v>22834000</v>
      </c>
      <c r="F102" s="84" t="e">
        <f>VLOOKUP(E102,zJARS_Allockeys!A:G,7,FALSE)</f>
        <v>#N/A</v>
      </c>
      <c r="G102" s="84">
        <v>2283400</v>
      </c>
      <c r="H102" s="84">
        <v>0</v>
      </c>
      <c r="I102" s="84"/>
      <c r="J102" s="84">
        <v>1000</v>
      </c>
      <c r="K102" s="85">
        <v>2736626.85</v>
      </c>
      <c r="L102" s="85">
        <v>2736626.85</v>
      </c>
      <c r="M102" s="85">
        <v>2736626.85</v>
      </c>
      <c r="N102" s="85">
        <v>2736626.85</v>
      </c>
      <c r="O102" s="85">
        <v>2736626.85</v>
      </c>
      <c r="P102" s="85">
        <v>2736626.85</v>
      </c>
      <c r="Q102" s="85">
        <v>2736626.85</v>
      </c>
      <c r="R102" s="85">
        <v>2736626.85</v>
      </c>
      <c r="S102" s="85">
        <v>2736626.85</v>
      </c>
      <c r="T102" s="85">
        <v>2736626.85</v>
      </c>
      <c r="U102" s="85">
        <v>2736626.85</v>
      </c>
      <c r="V102" s="85">
        <v>2736626.85</v>
      </c>
      <c r="W102" s="85">
        <v>2736626.85</v>
      </c>
    </row>
    <row r="103" spans="1:23">
      <c r="A103" s="84">
        <v>0</v>
      </c>
      <c r="B103" s="84">
        <v>2011</v>
      </c>
      <c r="C103" s="84">
        <v>1283</v>
      </c>
      <c r="D103" s="84">
        <v>280328</v>
      </c>
      <c r="E103" s="84" t="str">
        <f t="shared" si="1"/>
        <v>22834000280328</v>
      </c>
      <c r="F103" s="84" t="e">
        <f>VLOOKUP(E103,zJARS_Allockeys!A:G,7,FALSE)</f>
        <v>#N/A</v>
      </c>
      <c r="G103" s="84">
        <v>2283400</v>
      </c>
      <c r="H103" s="84">
        <v>0</v>
      </c>
      <c r="I103" s="84">
        <v>280328</v>
      </c>
      <c r="J103" s="84">
        <v>1000</v>
      </c>
      <c r="K103" s="85">
        <v>182433</v>
      </c>
      <c r="L103" s="85">
        <v>182433</v>
      </c>
      <c r="M103" s="85">
        <v>182433</v>
      </c>
      <c r="N103" s="85">
        <v>182433</v>
      </c>
      <c r="O103" s="85">
        <v>182433</v>
      </c>
      <c r="P103" s="85">
        <v>182433</v>
      </c>
      <c r="Q103" s="85">
        <v>182433</v>
      </c>
      <c r="R103" s="85">
        <v>182433</v>
      </c>
      <c r="S103" s="85">
        <v>182433</v>
      </c>
      <c r="T103" s="85">
        <v>182433</v>
      </c>
      <c r="U103" s="85">
        <v>182433</v>
      </c>
      <c r="V103" s="85">
        <v>182433</v>
      </c>
      <c r="W103" s="85">
        <v>182433</v>
      </c>
    </row>
    <row r="104" spans="1:23">
      <c r="A104" s="84">
        <v>0</v>
      </c>
      <c r="B104" s="84">
        <v>2011</v>
      </c>
      <c r="C104" s="84">
        <v>1283</v>
      </c>
      <c r="D104" s="84">
        <v>280328</v>
      </c>
      <c r="E104" s="84" t="str">
        <f t="shared" si="1"/>
        <v>22834001280328</v>
      </c>
      <c r="F104" s="84" t="str">
        <f>VLOOKUP(E104,zJARS_Allockeys!A:G,7,FALSE)</f>
        <v>NUTIL</v>
      </c>
      <c r="G104" s="84">
        <v>2283400</v>
      </c>
      <c r="H104" s="84">
        <v>1</v>
      </c>
      <c r="I104" s="84">
        <v>280328</v>
      </c>
      <c r="J104" s="84">
        <v>1000</v>
      </c>
      <c r="K104" s="85">
        <v>56060.46</v>
      </c>
      <c r="L104" s="85">
        <v>56060.46</v>
      </c>
      <c r="M104" s="85">
        <v>56060.46</v>
      </c>
      <c r="N104" s="85">
        <v>56060.46</v>
      </c>
      <c r="O104" s="85">
        <v>56060.46</v>
      </c>
      <c r="P104" s="85">
        <v>56060.46</v>
      </c>
      <c r="Q104" s="85">
        <v>56060.46</v>
      </c>
      <c r="R104" s="85">
        <v>56060.46</v>
      </c>
      <c r="S104" s="85">
        <v>56060.46</v>
      </c>
      <c r="T104" s="85">
        <v>56060.46</v>
      </c>
      <c r="U104" s="85">
        <v>56060.46</v>
      </c>
      <c r="V104" s="85">
        <v>56060.46</v>
      </c>
      <c r="W104" s="85">
        <v>56060.46</v>
      </c>
    </row>
    <row r="105" spans="1:23">
      <c r="A105" s="84">
        <v>0</v>
      </c>
      <c r="B105" s="84">
        <v>2011</v>
      </c>
      <c r="C105" s="84">
        <v>1283</v>
      </c>
      <c r="D105" s="84">
        <v>280328</v>
      </c>
      <c r="E105" s="84" t="str">
        <f t="shared" si="1"/>
        <v>22834001280328</v>
      </c>
      <c r="F105" s="84" t="str">
        <f>VLOOKUP(E105,zJARS_Allockeys!A:G,7,FALSE)</f>
        <v>NUTIL</v>
      </c>
      <c r="G105" s="84">
        <v>2283400</v>
      </c>
      <c r="H105" s="84">
        <v>1</v>
      </c>
      <c r="I105" s="84">
        <v>280328</v>
      </c>
      <c r="J105" s="84">
        <v>1000</v>
      </c>
      <c r="K105" s="85">
        <v>287234.31</v>
      </c>
      <c r="L105" s="85">
        <v>287234.31</v>
      </c>
      <c r="M105" s="85">
        <v>287234.31</v>
      </c>
      <c r="N105" s="85">
        <v>287234.31</v>
      </c>
      <c r="O105" s="85">
        <v>287234.31</v>
      </c>
      <c r="P105" s="85">
        <v>287234.31</v>
      </c>
      <c r="Q105" s="85">
        <v>287234.31</v>
      </c>
      <c r="R105" s="85">
        <v>287234.31</v>
      </c>
      <c r="S105" s="85">
        <v>287234.31</v>
      </c>
      <c r="T105" s="85">
        <v>287234.31</v>
      </c>
      <c r="U105" s="85">
        <v>287234.31</v>
      </c>
      <c r="V105" s="85">
        <v>287234.31</v>
      </c>
      <c r="W105" s="85">
        <v>287234.31</v>
      </c>
    </row>
    <row r="106" spans="1:23">
      <c r="A106" s="84">
        <v>0</v>
      </c>
      <c r="B106" s="84">
        <v>2011</v>
      </c>
      <c r="C106" s="84">
        <v>1283</v>
      </c>
      <c r="D106" s="84">
        <v>280328</v>
      </c>
      <c r="E106" s="84" t="str">
        <f t="shared" si="1"/>
        <v>2283400122092280328</v>
      </c>
      <c r="F106" s="84" t="str">
        <f>VLOOKUP(E106,zJARS_Allockeys!A:G,7,FALSE)</f>
        <v>NUTIL</v>
      </c>
      <c r="G106" s="84">
        <v>2283400</v>
      </c>
      <c r="H106" s="84">
        <v>122092</v>
      </c>
      <c r="I106" s="84">
        <v>280328</v>
      </c>
      <c r="J106" s="84">
        <v>1000</v>
      </c>
      <c r="K106" s="85">
        <v>120727.86</v>
      </c>
      <c r="L106" s="85">
        <v>120727.86</v>
      </c>
      <c r="M106" s="85">
        <v>120727.86</v>
      </c>
      <c r="N106" s="85">
        <v>120727.86</v>
      </c>
      <c r="O106" s="85">
        <v>120727.86</v>
      </c>
      <c r="P106" s="85">
        <v>120727.86</v>
      </c>
      <c r="Q106" s="85">
        <v>120727.86</v>
      </c>
      <c r="R106" s="85">
        <v>120727.86</v>
      </c>
      <c r="S106" s="85">
        <v>120727.86</v>
      </c>
      <c r="T106" s="85">
        <v>120727.86</v>
      </c>
      <c r="U106" s="85">
        <v>120727.86</v>
      </c>
      <c r="V106" s="85">
        <v>120727.86</v>
      </c>
      <c r="W106" s="85">
        <v>120727.86</v>
      </c>
    </row>
    <row r="107" spans="1:23">
      <c r="A107" s="84">
        <v>0</v>
      </c>
      <c r="B107" s="84">
        <v>2011</v>
      </c>
      <c r="C107" s="84">
        <v>1283</v>
      </c>
      <c r="D107" s="84">
        <v>280328</v>
      </c>
      <c r="E107" s="84" t="str">
        <f t="shared" si="1"/>
        <v>2283400122092280328</v>
      </c>
      <c r="F107" s="84" t="str">
        <f>VLOOKUP(E107,zJARS_Allockeys!A:G,7,FALSE)</f>
        <v>NUTIL</v>
      </c>
      <c r="G107" s="84">
        <v>2283400</v>
      </c>
      <c r="H107" s="84">
        <v>122092</v>
      </c>
      <c r="I107" s="84">
        <v>280328</v>
      </c>
      <c r="J107" s="84">
        <v>1000</v>
      </c>
      <c r="K107" s="85">
        <v>4968644.67</v>
      </c>
      <c r="L107" s="85">
        <v>4968644.67</v>
      </c>
      <c r="M107" s="85">
        <v>4968644.67</v>
      </c>
      <c r="N107" s="85">
        <v>4968644.67</v>
      </c>
      <c r="O107" s="85">
        <v>4968644.67</v>
      </c>
      <c r="P107" s="85">
        <v>4968644.67</v>
      </c>
      <c r="Q107" s="85">
        <v>4968644.67</v>
      </c>
      <c r="R107" s="85">
        <v>4968644.67</v>
      </c>
      <c r="S107" s="85">
        <v>4968644.67</v>
      </c>
      <c r="T107" s="85">
        <v>4968644.67</v>
      </c>
      <c r="U107" s="85">
        <v>4968644.67</v>
      </c>
      <c r="V107" s="85">
        <v>4968644.67</v>
      </c>
      <c r="W107" s="85">
        <v>4968644.67</v>
      </c>
    </row>
    <row r="108" spans="1:23">
      <c r="A108" s="84">
        <v>0</v>
      </c>
      <c r="B108" s="84">
        <v>2011</v>
      </c>
      <c r="C108" s="84">
        <v>1283</v>
      </c>
      <c r="D108" s="84">
        <v>280455</v>
      </c>
      <c r="E108" s="84" t="str">
        <f t="shared" si="1"/>
        <v>22834001280455</v>
      </c>
      <c r="F108" s="84" t="str">
        <f>VLOOKUP(E108,zJARS_Allockeys!A:G,7,FALSE)</f>
        <v>NUTIL</v>
      </c>
      <c r="G108" s="84">
        <v>2283400</v>
      </c>
      <c r="H108" s="84">
        <v>1</v>
      </c>
      <c r="I108" s="84">
        <v>280455</v>
      </c>
      <c r="J108" s="84">
        <v>1000</v>
      </c>
      <c r="K108" s="85">
        <v>579986.66</v>
      </c>
      <c r="L108" s="85">
        <v>579986.66</v>
      </c>
      <c r="M108" s="85">
        <v>579986.66</v>
      </c>
      <c r="N108" s="85">
        <v>579986.66</v>
      </c>
      <c r="O108" s="85">
        <v>579986.66</v>
      </c>
      <c r="P108" s="85">
        <v>579986.66</v>
      </c>
      <c r="Q108" s="85">
        <v>579986.66</v>
      </c>
      <c r="R108" s="85">
        <v>579986.66</v>
      </c>
      <c r="S108" s="85">
        <v>579986.66</v>
      </c>
      <c r="T108" s="85">
        <v>579986.66</v>
      </c>
      <c r="U108" s="85">
        <v>579986.66</v>
      </c>
      <c r="V108" s="85">
        <v>579986.66</v>
      </c>
      <c r="W108" s="85">
        <v>579986.66</v>
      </c>
    </row>
    <row r="109" spans="1:23">
      <c r="A109" s="84">
        <v>0</v>
      </c>
      <c r="B109" s="84">
        <v>2011</v>
      </c>
      <c r="C109" s="84">
        <v>1407</v>
      </c>
      <c r="D109" s="84">
        <v>187624</v>
      </c>
      <c r="E109" s="84" t="str">
        <f t="shared" si="1"/>
        <v>1823870109187624</v>
      </c>
      <c r="F109" s="84" t="str">
        <f>VLOOKUP(E109,zJARS_Allockeys!A:G,7,FALSE)</f>
        <v>NUTIL</v>
      </c>
      <c r="G109" s="84">
        <v>1823870</v>
      </c>
      <c r="H109" s="84">
        <v>109</v>
      </c>
      <c r="I109" s="84">
        <v>187624</v>
      </c>
      <c r="J109" s="84">
        <v>1000</v>
      </c>
      <c r="K109" s="85">
        <v>243815.43</v>
      </c>
      <c r="L109" s="85">
        <v>243815.43</v>
      </c>
      <c r="M109" s="85">
        <v>243815.43</v>
      </c>
      <c r="N109" s="85">
        <v>243815.43</v>
      </c>
      <c r="O109" s="85">
        <v>243815.43</v>
      </c>
      <c r="P109" s="85">
        <v>243815.43</v>
      </c>
      <c r="Q109" s="85">
        <v>243815.43</v>
      </c>
      <c r="R109" s="85">
        <v>243815.43</v>
      </c>
      <c r="S109" s="85">
        <v>243815.43</v>
      </c>
      <c r="T109" s="85">
        <v>243815.43</v>
      </c>
      <c r="U109" s="85">
        <v>243815.43</v>
      </c>
      <c r="V109" s="85">
        <v>243815.43</v>
      </c>
      <c r="W109" s="85">
        <v>243815.43</v>
      </c>
    </row>
    <row r="110" spans="1:23">
      <c r="A110" s="84">
        <v>0</v>
      </c>
      <c r="B110" s="84">
        <v>2011</v>
      </c>
      <c r="C110" s="84">
        <v>1515</v>
      </c>
      <c r="D110" s="84">
        <v>280328</v>
      </c>
      <c r="E110" s="84" t="str">
        <f t="shared" si="1"/>
        <v>22834001280328</v>
      </c>
      <c r="F110" s="84" t="str">
        <f>VLOOKUP(E110,zJARS_Allockeys!A:G,7,FALSE)</f>
        <v>NUTIL</v>
      </c>
      <c r="G110" s="84">
        <v>2283400</v>
      </c>
      <c r="H110" s="84">
        <v>1</v>
      </c>
      <c r="I110" s="84">
        <v>280328</v>
      </c>
      <c r="J110" s="84">
        <v>1000</v>
      </c>
      <c r="K110" s="85">
        <v>8388137.2800000003</v>
      </c>
      <c r="L110" s="85">
        <v>8388137.2800000003</v>
      </c>
      <c r="M110" s="85">
        <v>8388137.2800000003</v>
      </c>
      <c r="N110" s="85">
        <v>8388137.2800000003</v>
      </c>
      <c r="O110" s="85">
        <v>8388137.2800000003</v>
      </c>
      <c r="P110" s="85">
        <v>8388137.2800000003</v>
      </c>
      <c r="Q110" s="85">
        <v>8388137.2800000003</v>
      </c>
      <c r="R110" s="85">
        <v>8388137.2800000003</v>
      </c>
      <c r="S110" s="85">
        <v>8388137.2800000003</v>
      </c>
      <c r="T110" s="85">
        <v>8388137.2800000003</v>
      </c>
      <c r="U110" s="85">
        <v>8388137.2800000003</v>
      </c>
      <c r="V110" s="85">
        <v>8388137.2800000003</v>
      </c>
      <c r="W110" s="85">
        <v>8388137.2800000003</v>
      </c>
    </row>
    <row r="111" spans="1:23">
      <c r="A111" s="84">
        <v>0</v>
      </c>
      <c r="B111" s="84">
        <v>2011</v>
      </c>
      <c r="C111" s="84" t="s">
        <v>255</v>
      </c>
      <c r="D111" s="84">
        <v>187017</v>
      </c>
      <c r="E111" s="84" t="str">
        <f t="shared" si="1"/>
        <v>18238701187017</v>
      </c>
      <c r="F111" s="84" t="str">
        <f>VLOOKUP(E111,zJARS_Allockeys!A:G,7,FALSE)</f>
        <v>NUTIL</v>
      </c>
      <c r="G111" s="84">
        <v>1823870</v>
      </c>
      <c r="H111" s="84">
        <v>1</v>
      </c>
      <c r="I111" s="84">
        <v>187017</v>
      </c>
      <c r="J111" s="84">
        <v>1000</v>
      </c>
      <c r="K111" s="85">
        <v>689506483.52999997</v>
      </c>
      <c r="L111" s="85">
        <v>770280483.52999997</v>
      </c>
      <c r="M111" s="85">
        <v>770280483.52999997</v>
      </c>
      <c r="N111" s="85">
        <v>770280483.52999997</v>
      </c>
      <c r="O111" s="85">
        <v>770280483.52999997</v>
      </c>
      <c r="P111" s="85">
        <v>770280483.52999997</v>
      </c>
      <c r="Q111" s="85">
        <v>770280483.52999997</v>
      </c>
      <c r="R111" s="85">
        <v>770280483.52999997</v>
      </c>
      <c r="S111" s="85">
        <v>770280483.52999997</v>
      </c>
      <c r="T111" s="85">
        <v>770280483.52999997</v>
      </c>
      <c r="U111" s="85">
        <v>770280483.52999997</v>
      </c>
      <c r="V111" s="85">
        <v>770280483.52999997</v>
      </c>
      <c r="W111" s="85">
        <v>770280483.52999997</v>
      </c>
    </row>
    <row r="112" spans="1:23">
      <c r="A112" s="84">
        <v>0</v>
      </c>
      <c r="B112" s="84">
        <v>2011</v>
      </c>
      <c r="C112" s="84" t="s">
        <v>255</v>
      </c>
      <c r="D112" s="84">
        <v>187621</v>
      </c>
      <c r="E112" s="84" t="str">
        <f t="shared" si="1"/>
        <v>18238701187621</v>
      </c>
      <c r="F112" s="84" t="str">
        <f>VLOOKUP(E112,zJARS_Allockeys!A:G,7,FALSE)</f>
        <v>NUTIL</v>
      </c>
      <c r="G112" s="84">
        <v>1823870</v>
      </c>
      <c r="H112" s="84">
        <v>1</v>
      </c>
      <c r="I112" s="84">
        <v>187621</v>
      </c>
      <c r="J112" s="84">
        <v>1000</v>
      </c>
      <c r="K112" s="85">
        <v>146443744.66999999</v>
      </c>
      <c r="L112" s="85">
        <v>146546744.66999999</v>
      </c>
      <c r="M112" s="85">
        <v>146546744.66999999</v>
      </c>
      <c r="N112" s="85">
        <v>146546744.66999999</v>
      </c>
      <c r="O112" s="85">
        <v>146546744.66999999</v>
      </c>
      <c r="P112" s="85">
        <v>146546744.66999999</v>
      </c>
      <c r="Q112" s="85">
        <v>146546744.66999999</v>
      </c>
      <c r="R112" s="85">
        <v>146546744.66999999</v>
      </c>
      <c r="S112" s="85">
        <v>146546744.66999999</v>
      </c>
      <c r="T112" s="85">
        <v>146546744.66999999</v>
      </c>
      <c r="U112" s="85">
        <v>146546744.66999999</v>
      </c>
      <c r="V112" s="85">
        <v>146546744.66999999</v>
      </c>
      <c r="W112" s="85">
        <v>146546744.66999999</v>
      </c>
    </row>
    <row r="113" spans="1:23">
      <c r="A113" s="84">
        <v>0</v>
      </c>
      <c r="B113" s="84">
        <v>2012</v>
      </c>
      <c r="C113" s="84">
        <v>1042</v>
      </c>
      <c r="D113" s="84">
        <v>280328</v>
      </c>
      <c r="E113" s="84" t="str">
        <f t="shared" si="1"/>
        <v>22834001280328</v>
      </c>
      <c r="F113" s="84" t="str">
        <f>VLOOKUP(E113,zJARS_Allockeys!A:G,7,FALSE)</f>
        <v>NUTIL</v>
      </c>
      <c r="G113" s="84">
        <v>2283400</v>
      </c>
      <c r="H113" s="84">
        <v>1</v>
      </c>
      <c r="I113" s="84">
        <v>280328</v>
      </c>
      <c r="J113" s="84">
        <v>1000</v>
      </c>
      <c r="K113" s="85">
        <v>-56060.46</v>
      </c>
      <c r="L113" s="85">
        <v>-56060.46</v>
      </c>
      <c r="M113" s="85">
        <v>-56060.46</v>
      </c>
      <c r="N113" s="85">
        <v>-56060.46</v>
      </c>
      <c r="O113" s="85">
        <v>-56060.46</v>
      </c>
      <c r="P113" s="85">
        <v>-56060.46</v>
      </c>
      <c r="Q113" s="85">
        <v>-56060.46</v>
      </c>
      <c r="R113" s="85">
        <v>-56060.46</v>
      </c>
      <c r="S113" s="85">
        <v>-56060.46</v>
      </c>
      <c r="T113" s="85">
        <v>-56060.46</v>
      </c>
      <c r="U113" s="85">
        <v>-56060.46</v>
      </c>
      <c r="V113" s="85">
        <v>-56060.46</v>
      </c>
      <c r="W113" s="85">
        <v>-56060.46</v>
      </c>
    </row>
    <row r="114" spans="1:23">
      <c r="A114" s="84">
        <v>0</v>
      </c>
      <c r="B114" s="84">
        <v>2012</v>
      </c>
      <c r="C114" s="84">
        <v>1042</v>
      </c>
      <c r="D114" s="84">
        <v>280328</v>
      </c>
      <c r="E114" s="84" t="str">
        <f t="shared" si="1"/>
        <v>22834001280328</v>
      </c>
      <c r="F114" s="84" t="str">
        <f>VLOOKUP(E114,zJARS_Allockeys!A:G,7,FALSE)</f>
        <v>NUTIL</v>
      </c>
      <c r="G114" s="84">
        <v>2283400</v>
      </c>
      <c r="H114" s="84">
        <v>1</v>
      </c>
      <c r="I114" s="84">
        <v>280328</v>
      </c>
      <c r="J114" s="84">
        <v>1000</v>
      </c>
      <c r="K114" s="85">
        <v>-46319171.119999997</v>
      </c>
      <c r="L114" s="85">
        <v>-46957081.549999997</v>
      </c>
      <c r="M114" s="85">
        <v>-47722045.709999993</v>
      </c>
      <c r="N114" s="85">
        <v>-48419109.129999995</v>
      </c>
      <c r="O114" s="85">
        <v>-49168951.069999993</v>
      </c>
      <c r="P114" s="85">
        <v>-49887381.719999991</v>
      </c>
      <c r="Q114" s="85">
        <v>-50624361.979999989</v>
      </c>
      <c r="R114" s="85">
        <v>-51332835.969999991</v>
      </c>
      <c r="S114" s="85">
        <v>-52033534.61999999</v>
      </c>
      <c r="T114" s="85">
        <v>-52750188.29999999</v>
      </c>
      <c r="U114" s="85">
        <v>-53447422.789999992</v>
      </c>
      <c r="V114" s="85">
        <v>-54142524.289999992</v>
      </c>
      <c r="W114" s="85">
        <v>-54815619.219999991</v>
      </c>
    </row>
    <row r="115" spans="1:23">
      <c r="A115" s="84">
        <v>0</v>
      </c>
      <c r="B115" s="84">
        <v>2012</v>
      </c>
      <c r="C115" s="84">
        <v>1042</v>
      </c>
      <c r="D115" s="84">
        <v>280328</v>
      </c>
      <c r="E115" s="84" t="str">
        <f t="shared" si="1"/>
        <v>2283400122092280328</v>
      </c>
      <c r="F115" s="84" t="str">
        <f>VLOOKUP(E115,zJARS_Allockeys!A:G,7,FALSE)</f>
        <v>NUTIL</v>
      </c>
      <c r="G115" s="84">
        <v>2283400</v>
      </c>
      <c r="H115" s="84">
        <v>122092</v>
      </c>
      <c r="I115" s="84">
        <v>280328</v>
      </c>
      <c r="J115" s="84">
        <v>1000</v>
      </c>
      <c r="K115" s="85">
        <v>-1381167.99</v>
      </c>
      <c r="L115" s="85">
        <v>-1381167.99</v>
      </c>
      <c r="M115" s="85">
        <v>-1381167.99</v>
      </c>
      <c r="N115" s="85">
        <v>-1381167.99</v>
      </c>
      <c r="O115" s="85">
        <v>-1381167.99</v>
      </c>
      <c r="P115" s="85">
        <v>-1381167.99</v>
      </c>
      <c r="Q115" s="85">
        <v>-1381167.99</v>
      </c>
      <c r="R115" s="85">
        <v>-1381167.99</v>
      </c>
      <c r="S115" s="85">
        <v>-1381167.99</v>
      </c>
      <c r="T115" s="85">
        <v>-1381167.99</v>
      </c>
      <c r="U115" s="85">
        <v>-1381167.99</v>
      </c>
      <c r="V115" s="85">
        <v>-1381167.99</v>
      </c>
      <c r="W115" s="85">
        <v>-1381167.99</v>
      </c>
    </row>
    <row r="116" spans="1:23">
      <c r="A116" s="84">
        <v>0</v>
      </c>
      <c r="B116" s="84">
        <v>2012</v>
      </c>
      <c r="C116" s="84">
        <v>1042</v>
      </c>
      <c r="D116" s="84">
        <v>280328</v>
      </c>
      <c r="E116" s="84" t="str">
        <f t="shared" si="1"/>
        <v>22840000</v>
      </c>
      <c r="F116" s="84" t="e">
        <f>VLOOKUP(E116,zJARS_Allockeys!A:G,7,FALSE)</f>
        <v>#N/A</v>
      </c>
      <c r="G116" s="84">
        <v>2284000</v>
      </c>
      <c r="H116" s="84">
        <v>0</v>
      </c>
      <c r="I116" s="84"/>
      <c r="J116" s="84">
        <v>1000</v>
      </c>
      <c r="K116" s="85">
        <v>-12312.58</v>
      </c>
      <c r="L116" s="85">
        <v>-12312.58</v>
      </c>
      <c r="M116" s="85">
        <v>-12312.58</v>
      </c>
      <c r="N116" s="85">
        <v>-12312.58</v>
      </c>
      <c r="O116" s="85">
        <v>-12312.58</v>
      </c>
      <c r="P116" s="85">
        <v>-12312.58</v>
      </c>
      <c r="Q116" s="85">
        <v>-12312.58</v>
      </c>
      <c r="R116" s="85">
        <v>-12312.58</v>
      </c>
      <c r="S116" s="85">
        <v>-12312.58</v>
      </c>
      <c r="T116" s="85">
        <v>-12312.58</v>
      </c>
      <c r="U116" s="85">
        <v>-12312.58</v>
      </c>
      <c r="V116" s="85">
        <v>-12312.58</v>
      </c>
      <c r="W116" s="85">
        <v>-12312.58</v>
      </c>
    </row>
    <row r="117" spans="1:23">
      <c r="A117" s="84">
        <v>0</v>
      </c>
      <c r="B117" s="84">
        <v>2012</v>
      </c>
      <c r="C117" s="84">
        <v>1042</v>
      </c>
      <c r="D117" s="84">
        <v>280355</v>
      </c>
      <c r="E117" s="84" t="str">
        <f t="shared" si="1"/>
        <v>22835001280355</v>
      </c>
      <c r="F117" s="84" t="str">
        <f>VLOOKUP(E117,zJARS_Allockeys!A:G,7,FALSE)</f>
        <v>NUTIL</v>
      </c>
      <c r="G117" s="84">
        <v>2283500</v>
      </c>
      <c r="H117" s="84">
        <v>1</v>
      </c>
      <c r="I117" s="84">
        <v>280355</v>
      </c>
      <c r="J117" s="84">
        <v>1000</v>
      </c>
      <c r="K117" s="85">
        <v>-75843093</v>
      </c>
      <c r="L117" s="85">
        <v>-75843093</v>
      </c>
      <c r="M117" s="85">
        <v>-75843093</v>
      </c>
      <c r="N117" s="85">
        <v>-75843093</v>
      </c>
      <c r="O117" s="85">
        <v>-75843093</v>
      </c>
      <c r="P117" s="85">
        <v>-75843093</v>
      </c>
      <c r="Q117" s="85">
        <v>-75843093</v>
      </c>
      <c r="R117" s="85">
        <v>-75843093</v>
      </c>
      <c r="S117" s="85">
        <v>-75843093</v>
      </c>
      <c r="T117" s="85">
        <v>-75843093</v>
      </c>
      <c r="U117" s="85">
        <v>-75843093</v>
      </c>
      <c r="V117" s="85">
        <v>-75843093</v>
      </c>
      <c r="W117" s="85">
        <v>-75843093</v>
      </c>
    </row>
    <row r="118" spans="1:23">
      <c r="A118" s="84">
        <v>0</v>
      </c>
      <c r="B118" s="84">
        <v>2012</v>
      </c>
      <c r="C118" s="84">
        <v>1042</v>
      </c>
      <c r="D118" s="84">
        <v>280455</v>
      </c>
      <c r="E118" s="84" t="str">
        <f t="shared" si="1"/>
        <v>22834001280455</v>
      </c>
      <c r="F118" s="84" t="str">
        <f>VLOOKUP(E118,zJARS_Allockeys!A:G,7,FALSE)</f>
        <v>NUTIL</v>
      </c>
      <c r="G118" s="84">
        <v>2283400</v>
      </c>
      <c r="H118" s="84">
        <v>1</v>
      </c>
      <c r="I118" s="84">
        <v>280455</v>
      </c>
      <c r="J118" s="84">
        <v>1000</v>
      </c>
      <c r="K118" s="85">
        <v>-4988903.74</v>
      </c>
      <c r="L118" s="85">
        <v>-4993590.78</v>
      </c>
      <c r="M118" s="85">
        <v>-4998091.6000000006</v>
      </c>
      <c r="N118" s="85">
        <v>-5305596.9300000006</v>
      </c>
      <c r="O118" s="85">
        <v>-5312556.6700000009</v>
      </c>
      <c r="P118" s="85">
        <v>-5364947.2800000012</v>
      </c>
      <c r="Q118" s="85">
        <v>-5729549.1400000015</v>
      </c>
      <c r="R118" s="85">
        <v>-5733826.6900000013</v>
      </c>
      <c r="S118" s="85">
        <v>-5740208.290000001</v>
      </c>
      <c r="T118" s="85">
        <v>-6116319.6900000013</v>
      </c>
      <c r="U118" s="85">
        <v>-6120972.8100000015</v>
      </c>
      <c r="V118" s="85">
        <v>-8805007.910000002</v>
      </c>
      <c r="W118" s="85">
        <v>-9222925.3300000019</v>
      </c>
    </row>
    <row r="119" spans="1:23">
      <c r="A119" s="84">
        <v>0</v>
      </c>
      <c r="B119" s="84">
        <v>2012</v>
      </c>
      <c r="C119" s="84">
        <v>1042</v>
      </c>
      <c r="D119" s="84">
        <v>280459</v>
      </c>
      <c r="E119" s="84" t="str">
        <f t="shared" si="1"/>
        <v>22834001280459</v>
      </c>
      <c r="F119" s="84" t="str">
        <f>VLOOKUP(E119,zJARS_Allockeys!A:G,7,FALSE)</f>
        <v>NUTIL</v>
      </c>
      <c r="G119" s="84">
        <v>2283400</v>
      </c>
      <c r="H119" s="84">
        <v>1</v>
      </c>
      <c r="I119" s="84">
        <v>280459</v>
      </c>
      <c r="J119" s="84">
        <v>1000</v>
      </c>
      <c r="K119" s="85">
        <v>0</v>
      </c>
      <c r="L119" s="85">
        <v>0</v>
      </c>
      <c r="M119" s="85">
        <v>0</v>
      </c>
      <c r="N119" s="85">
        <v>0</v>
      </c>
      <c r="O119" s="85">
        <v>0</v>
      </c>
      <c r="P119" s="85">
        <v>0</v>
      </c>
      <c r="Q119" s="85">
        <v>0</v>
      </c>
      <c r="R119" s="85">
        <v>0</v>
      </c>
      <c r="S119" s="85">
        <v>0</v>
      </c>
      <c r="T119" s="85">
        <v>0</v>
      </c>
      <c r="U119" s="85">
        <v>0</v>
      </c>
      <c r="V119" s="85">
        <v>0</v>
      </c>
      <c r="W119" s="85">
        <v>-2774802.91</v>
      </c>
    </row>
    <row r="120" spans="1:23">
      <c r="A120" s="84">
        <v>0</v>
      </c>
      <c r="B120" s="84">
        <v>2012</v>
      </c>
      <c r="C120" s="84">
        <v>1042</v>
      </c>
      <c r="D120" s="84">
        <v>280465</v>
      </c>
      <c r="E120" s="84" t="str">
        <f t="shared" si="1"/>
        <v>22835001280465</v>
      </c>
      <c r="F120" s="84" t="str">
        <f>VLOOKUP(E120,zJARS_Allockeys!A:G,7,FALSE)</f>
        <v>NUTIL</v>
      </c>
      <c r="G120" s="84">
        <v>2283500</v>
      </c>
      <c r="H120" s="84">
        <v>1</v>
      </c>
      <c r="I120" s="84">
        <v>280465</v>
      </c>
      <c r="J120" s="84">
        <v>1000</v>
      </c>
      <c r="K120" s="85">
        <v>-4050376.48</v>
      </c>
      <c r="L120" s="85">
        <v>-4050376.48</v>
      </c>
      <c r="M120" s="85">
        <v>-4050376.48</v>
      </c>
      <c r="N120" s="85">
        <v>-4050376.48</v>
      </c>
      <c r="O120" s="85">
        <v>-4050376.48</v>
      </c>
      <c r="P120" s="85">
        <v>-4050376.48</v>
      </c>
      <c r="Q120" s="85">
        <v>-4050376.48</v>
      </c>
      <c r="R120" s="85">
        <v>-4050376.48</v>
      </c>
      <c r="S120" s="85">
        <v>-4050376.48</v>
      </c>
      <c r="T120" s="85">
        <v>-4050376.48</v>
      </c>
      <c r="U120" s="85">
        <v>-4050376.48</v>
      </c>
      <c r="V120" s="85">
        <v>-4050376.48</v>
      </c>
      <c r="W120" s="85">
        <v>-4050376.48</v>
      </c>
    </row>
    <row r="121" spans="1:23">
      <c r="A121" s="84">
        <v>0</v>
      </c>
      <c r="B121" s="84">
        <v>2012</v>
      </c>
      <c r="C121" s="84">
        <v>1170</v>
      </c>
      <c r="D121" s="84">
        <v>280479</v>
      </c>
      <c r="E121" s="84" t="str">
        <f t="shared" si="1"/>
        <v>22835001034280479</v>
      </c>
      <c r="F121" s="84" t="str">
        <f>VLOOKUP(E121,zJARS_Allockeys!A:G,7,FALSE)</f>
        <v>NUTIL</v>
      </c>
      <c r="G121" s="84">
        <v>2283500</v>
      </c>
      <c r="H121" s="84">
        <v>1034</v>
      </c>
      <c r="I121" s="84">
        <v>280479</v>
      </c>
      <c r="J121" s="84">
        <v>1000</v>
      </c>
      <c r="K121" s="85">
        <v>-180682000</v>
      </c>
      <c r="L121" s="85">
        <v>-184768000</v>
      </c>
      <c r="M121" s="85">
        <v>-188859000</v>
      </c>
      <c r="N121" s="85">
        <v>-192950000</v>
      </c>
      <c r="O121" s="85">
        <v>-197041000</v>
      </c>
      <c r="P121" s="85">
        <v>-201132000</v>
      </c>
      <c r="Q121" s="85">
        <v>-205223000</v>
      </c>
      <c r="R121" s="85">
        <v>-209314000</v>
      </c>
      <c r="S121" s="85">
        <v>-213405000</v>
      </c>
      <c r="T121" s="85">
        <v>-217496000</v>
      </c>
      <c r="U121" s="85">
        <v>-221587000</v>
      </c>
      <c r="V121" s="85">
        <v>-225678000</v>
      </c>
      <c r="W121" s="85">
        <v>-230166664.41999999</v>
      </c>
    </row>
    <row r="122" spans="1:23">
      <c r="A122" s="84">
        <v>0</v>
      </c>
      <c r="B122" s="84">
        <v>2012</v>
      </c>
      <c r="C122" s="84">
        <v>1170</v>
      </c>
      <c r="D122" s="84">
        <v>280479</v>
      </c>
      <c r="E122" s="84" t="str">
        <f t="shared" si="1"/>
        <v>242000010340</v>
      </c>
      <c r="F122" s="84" t="str">
        <f>VLOOKUP(E122,zJARS_Allockeys!A:G,7,FALSE)</f>
        <v>NUTIL</v>
      </c>
      <c r="G122" s="84">
        <v>2420000</v>
      </c>
      <c r="H122" s="84">
        <v>1034</v>
      </c>
      <c r="I122" s="84">
        <v>0</v>
      </c>
      <c r="J122" s="84">
        <v>1000</v>
      </c>
      <c r="K122" s="85">
        <v>-16000000</v>
      </c>
      <c r="L122" s="85">
        <v>-16000000</v>
      </c>
      <c r="M122" s="85">
        <v>-16000000</v>
      </c>
      <c r="N122" s="85">
        <v>-16000000</v>
      </c>
      <c r="O122" s="85">
        <v>-16000000</v>
      </c>
      <c r="P122" s="85">
        <v>-16000000</v>
      </c>
      <c r="Q122" s="85">
        <v>-16000000</v>
      </c>
      <c r="R122" s="85">
        <v>-16000000</v>
      </c>
      <c r="S122" s="85">
        <v>-16000000</v>
      </c>
      <c r="T122" s="85">
        <v>-16000000</v>
      </c>
      <c r="U122" s="85">
        <v>-16000000</v>
      </c>
      <c r="V122" s="85">
        <v>-16000000</v>
      </c>
      <c r="W122" s="85">
        <v>-16000000</v>
      </c>
    </row>
    <row r="123" spans="1:23">
      <c r="A123" s="84">
        <v>0</v>
      </c>
      <c r="B123" s="84">
        <v>2012</v>
      </c>
      <c r="C123" s="84">
        <v>1196</v>
      </c>
      <c r="D123" s="84">
        <v>280328</v>
      </c>
      <c r="E123" s="84" t="str">
        <f t="shared" si="1"/>
        <v>22834001280328</v>
      </c>
      <c r="F123" s="84" t="str">
        <f>VLOOKUP(E123,zJARS_Allockeys!A:G,7,FALSE)</f>
        <v>NUTIL</v>
      </c>
      <c r="G123" s="84">
        <v>2283400</v>
      </c>
      <c r="H123" s="84">
        <v>1</v>
      </c>
      <c r="I123" s="84">
        <v>280328</v>
      </c>
      <c r="J123" s="84">
        <v>1000</v>
      </c>
      <c r="K123" s="85">
        <v>-94320.05</v>
      </c>
      <c r="L123" s="85">
        <v>-94320.05</v>
      </c>
      <c r="M123" s="85">
        <v>-94320.05</v>
      </c>
      <c r="N123" s="85">
        <v>-94320.05</v>
      </c>
      <c r="O123" s="85">
        <v>-94320.05</v>
      </c>
      <c r="P123" s="85">
        <v>-94320.05</v>
      </c>
      <c r="Q123" s="85">
        <v>-94320.05</v>
      </c>
      <c r="R123" s="85">
        <v>-94320.05</v>
      </c>
      <c r="S123" s="85">
        <v>-94320.05</v>
      </c>
      <c r="T123" s="85">
        <v>-94320.05</v>
      </c>
      <c r="U123" s="85">
        <v>-94320.05</v>
      </c>
      <c r="V123" s="85">
        <v>-94320.05</v>
      </c>
      <c r="W123" s="85">
        <v>-94320.05</v>
      </c>
    </row>
    <row r="124" spans="1:23">
      <c r="A124" s="84">
        <v>0</v>
      </c>
      <c r="B124" s="84">
        <v>2012</v>
      </c>
      <c r="C124" s="84">
        <v>1200</v>
      </c>
      <c r="D124" s="84">
        <v>187017</v>
      </c>
      <c r="E124" s="84" t="str">
        <f t="shared" si="1"/>
        <v>18238701111610</v>
      </c>
      <c r="F124" s="84" t="str">
        <f>VLOOKUP(E124,zJARS_Allockeys!A:G,7,FALSE)</f>
        <v>NUTIL</v>
      </c>
      <c r="G124" s="84">
        <v>1823870</v>
      </c>
      <c r="H124" s="84">
        <v>1</v>
      </c>
      <c r="I124" s="84">
        <v>111610</v>
      </c>
      <c r="J124" s="84">
        <v>1000</v>
      </c>
      <c r="K124" s="85">
        <v>-409985025.17000002</v>
      </c>
      <c r="L124" s="85">
        <v>-409985025.17000002</v>
      </c>
      <c r="M124" s="85">
        <v>-409985025.17000002</v>
      </c>
      <c r="N124" s="85">
        <v>-409985025.17000002</v>
      </c>
      <c r="O124" s="85">
        <v>-409985025.17000002</v>
      </c>
      <c r="P124" s="85">
        <v>-409985025.17000002</v>
      </c>
      <c r="Q124" s="85">
        <v>-409985025.17000002</v>
      </c>
      <c r="R124" s="85">
        <v>-409985025.17000002</v>
      </c>
      <c r="S124" s="85">
        <v>-409985025.17000002</v>
      </c>
      <c r="T124" s="85">
        <v>-409985025.17000002</v>
      </c>
      <c r="U124" s="85">
        <v>-409985025.17000002</v>
      </c>
      <c r="V124" s="85">
        <v>-409985025.17000002</v>
      </c>
      <c r="W124" s="85">
        <v>-409985025.17000002</v>
      </c>
    </row>
    <row r="125" spans="1:23">
      <c r="A125" s="84">
        <v>0</v>
      </c>
      <c r="B125" s="84">
        <v>2012</v>
      </c>
      <c r="C125" s="84">
        <v>1200</v>
      </c>
      <c r="D125" s="84">
        <v>187017</v>
      </c>
      <c r="E125" s="84" t="str">
        <f t="shared" si="1"/>
        <v>18238701187017</v>
      </c>
      <c r="F125" s="84" t="str">
        <f>VLOOKUP(E125,zJARS_Allockeys!A:G,7,FALSE)</f>
        <v>NUTIL</v>
      </c>
      <c r="G125" s="84">
        <v>1823870</v>
      </c>
      <c r="H125" s="84">
        <v>1</v>
      </c>
      <c r="I125" s="84">
        <v>187017</v>
      </c>
      <c r="J125" s="84">
        <v>1000</v>
      </c>
      <c r="K125" s="85">
        <v>-574620947.5</v>
      </c>
      <c r="L125" s="85">
        <v>-577047303.29999995</v>
      </c>
      <c r="M125" s="85">
        <v>-579479306.81999993</v>
      </c>
      <c r="N125" s="85">
        <v>-581908486.4799999</v>
      </c>
      <c r="O125" s="85">
        <v>-584337666.13999987</v>
      </c>
      <c r="P125" s="85">
        <v>-586766845.79999983</v>
      </c>
      <c r="Q125" s="85">
        <v>-589196025.4599998</v>
      </c>
      <c r="R125" s="85">
        <v>-591625205.11999977</v>
      </c>
      <c r="S125" s="85">
        <v>-594257711.24999976</v>
      </c>
      <c r="T125" s="85">
        <v>-596809383.89999974</v>
      </c>
      <c r="U125" s="85">
        <v>-599218479.46999979</v>
      </c>
      <c r="V125" s="85">
        <v>-601627575.03999984</v>
      </c>
      <c r="W125" s="85">
        <v>-604036670.6099999</v>
      </c>
    </row>
    <row r="126" spans="1:23">
      <c r="A126" s="84">
        <v>0</v>
      </c>
      <c r="B126" s="84">
        <v>2012</v>
      </c>
      <c r="C126" s="84">
        <v>1200</v>
      </c>
      <c r="D126" s="84">
        <v>187600</v>
      </c>
      <c r="E126" s="84" t="str">
        <f t="shared" si="1"/>
        <v>18238701187600</v>
      </c>
      <c r="F126" s="84" t="str">
        <f>VLOOKUP(E126,zJARS_Allockeys!A:G,7,FALSE)</f>
        <v>NUTIL</v>
      </c>
      <c r="G126" s="84">
        <v>1823870</v>
      </c>
      <c r="H126" s="84">
        <v>1</v>
      </c>
      <c r="I126" s="84">
        <v>187600</v>
      </c>
      <c r="J126" s="84">
        <v>1000</v>
      </c>
      <c r="K126" s="85">
        <v>-12441557.43</v>
      </c>
      <c r="L126" s="85">
        <v>-12441557.43</v>
      </c>
      <c r="M126" s="85">
        <v>-12441557.43</v>
      </c>
      <c r="N126" s="85">
        <v>-12441557.43</v>
      </c>
      <c r="O126" s="85">
        <v>-12441557.43</v>
      </c>
      <c r="P126" s="85">
        <v>-12441557.43</v>
      </c>
      <c r="Q126" s="85">
        <v>-12441557.43</v>
      </c>
      <c r="R126" s="85">
        <v>-12441557.43</v>
      </c>
      <c r="S126" s="85">
        <v>-12441557.43</v>
      </c>
      <c r="T126" s="85">
        <v>-12441557.43</v>
      </c>
      <c r="U126" s="85">
        <v>-12441557.43</v>
      </c>
      <c r="V126" s="85">
        <v>-12441557.43</v>
      </c>
      <c r="W126" s="85">
        <v>-12441557.43</v>
      </c>
    </row>
    <row r="127" spans="1:23">
      <c r="A127" s="84">
        <v>0</v>
      </c>
      <c r="B127" s="84">
        <v>2012</v>
      </c>
      <c r="C127" s="84">
        <v>1200</v>
      </c>
      <c r="D127" s="84">
        <v>187602</v>
      </c>
      <c r="E127" s="84" t="str">
        <f t="shared" si="1"/>
        <v>18238701187602</v>
      </c>
      <c r="F127" s="84" t="str">
        <f>VLOOKUP(E127,zJARS_Allockeys!A:G,7,FALSE)</f>
        <v>NUTIL</v>
      </c>
      <c r="G127" s="84">
        <v>1823870</v>
      </c>
      <c r="H127" s="84">
        <v>1</v>
      </c>
      <c r="I127" s="84">
        <v>187602</v>
      </c>
      <c r="J127" s="84">
        <v>1000</v>
      </c>
      <c r="K127" s="85">
        <v>-857193.56</v>
      </c>
      <c r="L127" s="85">
        <v>-880791.56</v>
      </c>
      <c r="M127" s="85">
        <v>-904389.56</v>
      </c>
      <c r="N127" s="85">
        <v>-927987.56</v>
      </c>
      <c r="O127" s="85">
        <v>-951585.56</v>
      </c>
      <c r="P127" s="85">
        <v>-975183.56</v>
      </c>
      <c r="Q127" s="85">
        <v>-998781.55</v>
      </c>
      <c r="R127" s="85">
        <v>-1022379.55</v>
      </c>
      <c r="S127" s="85">
        <v>-1045977.55</v>
      </c>
      <c r="T127" s="85">
        <v>-1069575.55</v>
      </c>
      <c r="U127" s="85">
        <v>-1093173.55</v>
      </c>
      <c r="V127" s="85">
        <v>-1116771.55</v>
      </c>
      <c r="W127" s="85">
        <v>-1140369.54</v>
      </c>
    </row>
    <row r="128" spans="1:23">
      <c r="A128" s="84">
        <v>0</v>
      </c>
      <c r="B128" s="84">
        <v>2012</v>
      </c>
      <c r="C128" s="84">
        <v>1200</v>
      </c>
      <c r="D128" s="84">
        <v>187604</v>
      </c>
      <c r="E128" s="84" t="str">
        <f t="shared" si="1"/>
        <v>18238701187604</v>
      </c>
      <c r="F128" s="84" t="str">
        <f>VLOOKUP(E128,zJARS_Allockeys!A:G,7,FALSE)</f>
        <v>NUTIL</v>
      </c>
      <c r="G128" s="84">
        <v>1823870</v>
      </c>
      <c r="H128" s="84">
        <v>1</v>
      </c>
      <c r="I128" s="84">
        <v>187604</v>
      </c>
      <c r="J128" s="84">
        <v>1000</v>
      </c>
      <c r="K128" s="85">
        <v>-1075484.04</v>
      </c>
      <c r="L128" s="85">
        <v>-1075484.04</v>
      </c>
      <c r="M128" s="85">
        <v>-1075484.04</v>
      </c>
      <c r="N128" s="85">
        <v>-1075484.04</v>
      </c>
      <c r="O128" s="85">
        <v>-1075484.04</v>
      </c>
      <c r="P128" s="85">
        <v>-1075484.04</v>
      </c>
      <c r="Q128" s="85">
        <v>-1075484.04</v>
      </c>
      <c r="R128" s="85">
        <v>-1075484.04</v>
      </c>
      <c r="S128" s="85">
        <v>-1075484.04</v>
      </c>
      <c r="T128" s="85">
        <v>-1084588.6100000001</v>
      </c>
      <c r="U128" s="85">
        <v>-1084588.6100000001</v>
      </c>
      <c r="V128" s="85">
        <v>-1084588.6100000001</v>
      </c>
      <c r="W128" s="85">
        <v>-1084588.6100000001</v>
      </c>
    </row>
    <row r="129" spans="1:23">
      <c r="A129" s="84">
        <v>0</v>
      </c>
      <c r="B129" s="84">
        <v>2012</v>
      </c>
      <c r="C129" s="84">
        <v>1200</v>
      </c>
      <c r="D129" s="84">
        <v>187605</v>
      </c>
      <c r="E129" s="84" t="str">
        <f t="shared" si="1"/>
        <v>18238701187605</v>
      </c>
      <c r="F129" s="84" t="str">
        <f>VLOOKUP(E129,zJARS_Allockeys!A:G,7,FALSE)</f>
        <v>NUTIL</v>
      </c>
      <c r="G129" s="84">
        <v>1823870</v>
      </c>
      <c r="H129" s="84">
        <v>1</v>
      </c>
      <c r="I129" s="84">
        <v>187605</v>
      </c>
      <c r="J129" s="84">
        <v>1000</v>
      </c>
      <c r="K129" s="85">
        <v>-6475445.5899999999</v>
      </c>
      <c r="L129" s="85">
        <v>-6475445.5899999999</v>
      </c>
      <c r="M129" s="85">
        <v>-6475445.5899999999</v>
      </c>
      <c r="N129" s="85">
        <v>-6475445.5899999999</v>
      </c>
      <c r="O129" s="85">
        <v>-6475445.5899999999</v>
      </c>
      <c r="P129" s="85">
        <v>-6475445.5899999999</v>
      </c>
      <c r="Q129" s="85">
        <v>-6475445.5899999999</v>
      </c>
      <c r="R129" s="85">
        <v>-6475445.5899999999</v>
      </c>
      <c r="S129" s="85">
        <v>-6475445.5899999999</v>
      </c>
      <c r="T129" s="85">
        <v>-6475445.5899999999</v>
      </c>
      <c r="U129" s="85">
        <v>-6475445.5899999999</v>
      </c>
      <c r="V129" s="85">
        <v>-6475445.5899999999</v>
      </c>
      <c r="W129" s="85">
        <v>-6475445.5899999999</v>
      </c>
    </row>
    <row r="130" spans="1:23">
      <c r="A130" s="84">
        <v>0</v>
      </c>
      <c r="B130" s="84">
        <v>2012</v>
      </c>
      <c r="C130" s="84">
        <v>1200</v>
      </c>
      <c r="D130" s="84">
        <v>187621</v>
      </c>
      <c r="E130" s="84" t="str">
        <f t="shared" si="1"/>
        <v>18238701114020</v>
      </c>
      <c r="F130" s="84" t="str">
        <f>VLOOKUP(E130,zJARS_Allockeys!A:G,7,FALSE)</f>
        <v>NUTIL</v>
      </c>
      <c r="G130" s="84">
        <v>1823870</v>
      </c>
      <c r="H130" s="84">
        <v>1</v>
      </c>
      <c r="I130" s="84">
        <v>114020</v>
      </c>
      <c r="J130" s="84">
        <v>1000</v>
      </c>
      <c r="K130" s="85">
        <v>-206435569.09</v>
      </c>
      <c r="L130" s="85">
        <v>-206435569.09</v>
      </c>
      <c r="M130" s="85">
        <v>-206435569.09</v>
      </c>
      <c r="N130" s="85">
        <v>-206435569.09</v>
      </c>
      <c r="O130" s="85">
        <v>-206435569.09</v>
      </c>
      <c r="P130" s="85">
        <v>-206435569.09</v>
      </c>
      <c r="Q130" s="85">
        <v>-206435569.09</v>
      </c>
      <c r="R130" s="85">
        <v>-206435569.09</v>
      </c>
      <c r="S130" s="85">
        <v>-206435569.09</v>
      </c>
      <c r="T130" s="85">
        <v>-206435569.09</v>
      </c>
      <c r="U130" s="85">
        <v>-206435569.09</v>
      </c>
      <c r="V130" s="85">
        <v>-206435569.09</v>
      </c>
      <c r="W130" s="85">
        <v>-206435569.09</v>
      </c>
    </row>
    <row r="131" spans="1:23">
      <c r="A131" s="84">
        <v>0</v>
      </c>
      <c r="B131" s="84">
        <v>2012</v>
      </c>
      <c r="C131" s="84">
        <v>1200</v>
      </c>
      <c r="D131" s="84">
        <v>187621</v>
      </c>
      <c r="E131" s="84" t="str">
        <f t="shared" ref="E131:E194" si="2">+G131&amp;H131&amp;I131</f>
        <v>18238701187621</v>
      </c>
      <c r="F131" s="84" t="str">
        <f>VLOOKUP(E131,zJARS_Allockeys!A:G,7,FALSE)</f>
        <v>NUTIL</v>
      </c>
      <c r="G131" s="84">
        <v>1823870</v>
      </c>
      <c r="H131" s="84">
        <v>1</v>
      </c>
      <c r="I131" s="84">
        <v>187621</v>
      </c>
      <c r="J131" s="84">
        <v>1000</v>
      </c>
      <c r="K131" s="85">
        <v>-141100518.88</v>
      </c>
      <c r="L131" s="85">
        <v>-142620715.78</v>
      </c>
      <c r="M131" s="85">
        <v>-144077321.99000001</v>
      </c>
      <c r="N131" s="85">
        <v>-145529488.66</v>
      </c>
      <c r="O131" s="85">
        <v>-146981655.32999998</v>
      </c>
      <c r="P131" s="85">
        <v>-148433821.99999997</v>
      </c>
      <c r="Q131" s="85">
        <v>-149885988.66999996</v>
      </c>
      <c r="R131" s="85">
        <v>-151338155.33999994</v>
      </c>
      <c r="S131" s="85">
        <v>-152772633.93999994</v>
      </c>
      <c r="T131" s="85">
        <v>-154386786.03999993</v>
      </c>
      <c r="U131" s="85">
        <v>-155838952.69999993</v>
      </c>
      <c r="V131" s="85">
        <v>-157291119.35999992</v>
      </c>
      <c r="W131" s="85">
        <v>-158743286.01999992</v>
      </c>
    </row>
    <row r="132" spans="1:23">
      <c r="A132" s="84">
        <v>0</v>
      </c>
      <c r="B132" s="84">
        <v>2012</v>
      </c>
      <c r="C132" s="84">
        <v>1200</v>
      </c>
      <c r="D132" s="84">
        <v>187622</v>
      </c>
      <c r="E132" s="84" t="str">
        <f t="shared" si="2"/>
        <v>18238701187622</v>
      </c>
      <c r="F132" s="84" t="str">
        <f>VLOOKUP(E132,zJARS_Allockeys!A:G,7,FALSE)</f>
        <v>NUTIL</v>
      </c>
      <c r="G132" s="84">
        <v>1823870</v>
      </c>
      <c r="H132" s="84">
        <v>1</v>
      </c>
      <c r="I132" s="84">
        <v>187622</v>
      </c>
      <c r="J132" s="84">
        <v>1000</v>
      </c>
      <c r="K132" s="85">
        <v>-455473.18</v>
      </c>
      <c r="L132" s="85">
        <v>-471559.39999999997</v>
      </c>
      <c r="M132" s="85">
        <v>-487645.62999999995</v>
      </c>
      <c r="N132" s="85">
        <v>-503731.85999999993</v>
      </c>
      <c r="O132" s="85">
        <v>-519818.08999999991</v>
      </c>
      <c r="P132" s="85">
        <v>-535904.31999999995</v>
      </c>
      <c r="Q132" s="85">
        <v>-551990.54999999993</v>
      </c>
      <c r="R132" s="85">
        <v>-568076.77999999991</v>
      </c>
      <c r="S132" s="85">
        <v>-584163.00999999989</v>
      </c>
      <c r="T132" s="85">
        <v>-600249.23999999987</v>
      </c>
      <c r="U132" s="85">
        <v>-616335.46999999986</v>
      </c>
      <c r="V132" s="85">
        <v>-632421.69999999984</v>
      </c>
      <c r="W132" s="85">
        <v>-648507.92999999982</v>
      </c>
    </row>
    <row r="133" spans="1:23">
      <c r="A133" s="84">
        <v>0</v>
      </c>
      <c r="B133" s="84">
        <v>2012</v>
      </c>
      <c r="C133" s="84">
        <v>1200</v>
      </c>
      <c r="D133" s="84">
        <v>187624</v>
      </c>
      <c r="E133" s="84" t="str">
        <f t="shared" si="2"/>
        <v>18238701187624</v>
      </c>
      <c r="F133" s="84" t="str">
        <f>VLOOKUP(E133,zJARS_Allockeys!A:G,7,FALSE)</f>
        <v>NUTIL</v>
      </c>
      <c r="G133" s="84">
        <v>1823870</v>
      </c>
      <c r="H133" s="84">
        <v>1</v>
      </c>
      <c r="I133" s="84">
        <v>187624</v>
      </c>
      <c r="J133" s="84">
        <v>1000</v>
      </c>
      <c r="K133" s="85">
        <v>-843487.19</v>
      </c>
      <c r="L133" s="85">
        <v>-866707.85</v>
      </c>
      <c r="M133" s="85">
        <v>-889928.52</v>
      </c>
      <c r="N133" s="85">
        <v>-913149.19000000006</v>
      </c>
      <c r="O133" s="85">
        <v>-936369.8600000001</v>
      </c>
      <c r="P133" s="85">
        <v>-959590.53000000014</v>
      </c>
      <c r="Q133" s="85">
        <v>-982811.20000000019</v>
      </c>
      <c r="R133" s="85">
        <v>-1006031.8600000002</v>
      </c>
      <c r="S133" s="85">
        <v>-1029252.5300000003</v>
      </c>
      <c r="T133" s="85">
        <v>-1052473.2000000002</v>
      </c>
      <c r="U133" s="85">
        <v>-1075693.8700000001</v>
      </c>
      <c r="V133" s="85">
        <v>-1098914.54</v>
      </c>
      <c r="W133" s="85">
        <v>-1122135.21</v>
      </c>
    </row>
    <row r="134" spans="1:23">
      <c r="A134" s="84">
        <v>0</v>
      </c>
      <c r="B134" s="84">
        <v>2012</v>
      </c>
      <c r="C134" s="84">
        <v>1200</v>
      </c>
      <c r="D134" s="84">
        <v>187627</v>
      </c>
      <c r="E134" s="84" t="str">
        <f t="shared" si="2"/>
        <v>18238701187627</v>
      </c>
      <c r="F134" s="84" t="str">
        <f>VLOOKUP(E134,zJARS_Allockeys!A:G,7,FALSE)</f>
        <v>NUTIL</v>
      </c>
      <c r="G134" s="84">
        <v>1823870</v>
      </c>
      <c r="H134" s="84">
        <v>1</v>
      </c>
      <c r="I134" s="84">
        <v>187627</v>
      </c>
      <c r="J134" s="84">
        <v>1000</v>
      </c>
      <c r="K134" s="85">
        <v>-34470.699999999997</v>
      </c>
      <c r="L134" s="85">
        <v>-35906.979999999996</v>
      </c>
      <c r="M134" s="85">
        <v>-37343.259999999995</v>
      </c>
      <c r="N134" s="85">
        <v>-38779.539999999994</v>
      </c>
      <c r="O134" s="85">
        <v>-40215.819999999992</v>
      </c>
      <c r="P134" s="85">
        <v>-41652.099999999991</v>
      </c>
      <c r="Q134" s="85">
        <v>-43088.37999999999</v>
      </c>
      <c r="R134" s="85">
        <v>-44524.659999999989</v>
      </c>
      <c r="S134" s="85">
        <v>-45960.939999999988</v>
      </c>
      <c r="T134" s="85">
        <v>-47397.209999999985</v>
      </c>
      <c r="U134" s="85">
        <v>-48833.489999999983</v>
      </c>
      <c r="V134" s="85">
        <v>-50332.919999999984</v>
      </c>
      <c r="W134" s="85">
        <v>-51790.249999999985</v>
      </c>
    </row>
    <row r="135" spans="1:23">
      <c r="A135" s="84">
        <v>0</v>
      </c>
      <c r="B135" s="84">
        <v>2012</v>
      </c>
      <c r="C135" s="84">
        <v>1200</v>
      </c>
      <c r="D135" s="84">
        <v>280328</v>
      </c>
      <c r="E135" s="84" t="str">
        <f t="shared" si="2"/>
        <v>22834000</v>
      </c>
      <c r="F135" s="84" t="e">
        <f>VLOOKUP(E135,zJARS_Allockeys!A:G,7,FALSE)</f>
        <v>#N/A</v>
      </c>
      <c r="G135" s="84">
        <v>2283400</v>
      </c>
      <c r="H135" s="84">
        <v>0</v>
      </c>
      <c r="I135" s="84"/>
      <c r="J135" s="84">
        <v>1000</v>
      </c>
      <c r="K135" s="85">
        <v>-2753875.33</v>
      </c>
      <c r="L135" s="85">
        <v>-2753875.33</v>
      </c>
      <c r="M135" s="85">
        <v>-2753875.33</v>
      </c>
      <c r="N135" s="85">
        <v>-2753875.33</v>
      </c>
      <c r="O135" s="85">
        <v>-2753875.33</v>
      </c>
      <c r="P135" s="85">
        <v>-2753875.33</v>
      </c>
      <c r="Q135" s="85">
        <v>-2753875.33</v>
      </c>
      <c r="R135" s="85">
        <v>-2753875.33</v>
      </c>
      <c r="S135" s="85">
        <v>-2753875.33</v>
      </c>
      <c r="T135" s="85">
        <v>-2753875.33</v>
      </c>
      <c r="U135" s="85">
        <v>-2753875.33</v>
      </c>
      <c r="V135" s="85">
        <v>-2753875.33</v>
      </c>
      <c r="W135" s="85">
        <v>-2753875.33</v>
      </c>
    </row>
    <row r="136" spans="1:23">
      <c r="A136" s="84">
        <v>0</v>
      </c>
      <c r="B136" s="84">
        <v>2012</v>
      </c>
      <c r="C136" s="84">
        <v>1200</v>
      </c>
      <c r="D136" s="84">
        <v>280328</v>
      </c>
      <c r="E136" s="84" t="str">
        <f t="shared" si="2"/>
        <v>22834000280328</v>
      </c>
      <c r="F136" s="84" t="e">
        <f>VLOOKUP(E136,zJARS_Allockeys!A:G,7,FALSE)</f>
        <v>#N/A</v>
      </c>
      <c r="G136" s="84">
        <v>2283400</v>
      </c>
      <c r="H136" s="84">
        <v>0</v>
      </c>
      <c r="I136" s="84">
        <v>280328</v>
      </c>
      <c r="J136" s="84">
        <v>1000</v>
      </c>
      <c r="K136" s="85">
        <v>-182433</v>
      </c>
      <c r="L136" s="85">
        <v>-182433</v>
      </c>
      <c r="M136" s="85">
        <v>-182433</v>
      </c>
      <c r="N136" s="85">
        <v>-182433</v>
      </c>
      <c r="O136" s="85">
        <v>-182433</v>
      </c>
      <c r="P136" s="85">
        <v>-182433</v>
      </c>
      <c r="Q136" s="85">
        <v>-182433</v>
      </c>
      <c r="R136" s="85">
        <v>-182433</v>
      </c>
      <c r="S136" s="85">
        <v>-182433</v>
      </c>
      <c r="T136" s="85">
        <v>-182433</v>
      </c>
      <c r="U136" s="85">
        <v>-182433</v>
      </c>
      <c r="V136" s="85">
        <v>-182433</v>
      </c>
      <c r="W136" s="85">
        <v>-182433</v>
      </c>
    </row>
    <row r="137" spans="1:23">
      <c r="A137" s="84">
        <v>0</v>
      </c>
      <c r="B137" s="84">
        <v>2012</v>
      </c>
      <c r="C137" s="84">
        <v>1200</v>
      </c>
      <c r="D137" s="84">
        <v>280328</v>
      </c>
      <c r="E137" s="84" t="str">
        <f t="shared" si="2"/>
        <v>22834001280328</v>
      </c>
      <c r="F137" s="84" t="str">
        <f>VLOOKUP(E137,zJARS_Allockeys!A:G,7,FALSE)</f>
        <v>NUTIL</v>
      </c>
      <c r="G137" s="84">
        <v>2283400</v>
      </c>
      <c r="H137" s="84">
        <v>1</v>
      </c>
      <c r="I137" s="84">
        <v>280328</v>
      </c>
      <c r="J137" s="84">
        <v>1000</v>
      </c>
      <c r="K137" s="85">
        <v>-56060.46</v>
      </c>
      <c r="L137" s="85">
        <v>-56060.46</v>
      </c>
      <c r="M137" s="85">
        <v>-56060.46</v>
      </c>
      <c r="N137" s="85">
        <v>-56060.46</v>
      </c>
      <c r="O137" s="85">
        <v>-56060.46</v>
      </c>
      <c r="P137" s="85">
        <v>-56060.46</v>
      </c>
      <c r="Q137" s="85">
        <v>-56060.46</v>
      </c>
      <c r="R137" s="85">
        <v>-56060.46</v>
      </c>
      <c r="S137" s="85">
        <v>-56060.46</v>
      </c>
      <c r="T137" s="85">
        <v>-56060.46</v>
      </c>
      <c r="U137" s="85">
        <v>-56060.46</v>
      </c>
      <c r="V137" s="85">
        <v>-56060.46</v>
      </c>
      <c r="W137" s="85">
        <v>-56060.46</v>
      </c>
    </row>
    <row r="138" spans="1:23">
      <c r="A138" s="84">
        <v>0</v>
      </c>
      <c r="B138" s="84">
        <v>2012</v>
      </c>
      <c r="C138" s="84">
        <v>1200</v>
      </c>
      <c r="D138" s="84">
        <v>280328</v>
      </c>
      <c r="E138" s="84" t="str">
        <f t="shared" si="2"/>
        <v>22834001280328</v>
      </c>
      <c r="F138" s="84" t="str">
        <f>VLOOKUP(E138,zJARS_Allockeys!A:G,7,FALSE)</f>
        <v>NUTIL</v>
      </c>
      <c r="G138" s="84">
        <v>2283400</v>
      </c>
      <c r="H138" s="84">
        <v>1</v>
      </c>
      <c r="I138" s="84">
        <v>280328</v>
      </c>
      <c r="J138" s="84">
        <v>1000</v>
      </c>
      <c r="K138" s="85">
        <v>-34506965.810000002</v>
      </c>
      <c r="L138" s="85">
        <v>-34554095.620000005</v>
      </c>
      <c r="M138" s="85">
        <v>-34601245.430000007</v>
      </c>
      <c r="N138" s="85">
        <v>-34648409.260000005</v>
      </c>
      <c r="O138" s="85">
        <v>-34695355.820000008</v>
      </c>
      <c r="P138" s="85">
        <v>-34742556.81000001</v>
      </c>
      <c r="Q138" s="85">
        <v>-34789820.820000008</v>
      </c>
      <c r="R138" s="85">
        <v>-34837326.88000001</v>
      </c>
      <c r="S138" s="85">
        <v>-34884143.13000001</v>
      </c>
      <c r="T138" s="85">
        <v>-64948001.680000007</v>
      </c>
      <c r="U138" s="85">
        <v>-65711530.20000001</v>
      </c>
      <c r="V138" s="85">
        <v>-66455128.110000007</v>
      </c>
      <c r="W138" s="85">
        <v>-66501589.840000004</v>
      </c>
    </row>
    <row r="139" spans="1:23">
      <c r="A139" s="84">
        <v>0</v>
      </c>
      <c r="B139" s="84">
        <v>2012</v>
      </c>
      <c r="C139" s="84">
        <v>1200</v>
      </c>
      <c r="D139" s="84">
        <v>280328</v>
      </c>
      <c r="E139" s="84" t="str">
        <f t="shared" si="2"/>
        <v>2283400122092280328</v>
      </c>
      <c r="F139" s="84" t="str">
        <f>VLOOKUP(E139,zJARS_Allockeys!A:G,7,FALSE)</f>
        <v>NUTIL</v>
      </c>
      <c r="G139" s="84">
        <v>2283400</v>
      </c>
      <c r="H139" s="84">
        <v>122092</v>
      </c>
      <c r="I139" s="84">
        <v>280328</v>
      </c>
      <c r="J139" s="84">
        <v>1000</v>
      </c>
      <c r="K139" s="85">
        <v>-120727.86</v>
      </c>
      <c r="L139" s="85">
        <v>-120727.86</v>
      </c>
      <c r="M139" s="85">
        <v>-120727.86</v>
      </c>
      <c r="N139" s="85">
        <v>-120727.86</v>
      </c>
      <c r="O139" s="85">
        <v>-120727.86</v>
      </c>
      <c r="P139" s="85">
        <v>-120727.86</v>
      </c>
      <c r="Q139" s="85">
        <v>-120727.86</v>
      </c>
      <c r="R139" s="85">
        <v>-120727.86</v>
      </c>
      <c r="S139" s="85">
        <v>-120727.86</v>
      </c>
      <c r="T139" s="85">
        <v>-120727.86</v>
      </c>
      <c r="U139" s="85">
        <v>-120727.86</v>
      </c>
      <c r="V139" s="85">
        <v>-120727.86</v>
      </c>
      <c r="W139" s="85">
        <v>-120727.86</v>
      </c>
    </row>
    <row r="140" spans="1:23">
      <c r="A140" s="84">
        <v>0</v>
      </c>
      <c r="B140" s="84">
        <v>2012</v>
      </c>
      <c r="C140" s="84">
        <v>1200</v>
      </c>
      <c r="D140" s="84">
        <v>280328</v>
      </c>
      <c r="E140" s="84" t="str">
        <f t="shared" si="2"/>
        <v>2283400122092280328</v>
      </c>
      <c r="F140" s="84" t="str">
        <f>VLOOKUP(E140,zJARS_Allockeys!A:G,7,FALSE)</f>
        <v>NUTIL</v>
      </c>
      <c r="G140" s="84">
        <v>2283400</v>
      </c>
      <c r="H140" s="84">
        <v>122092</v>
      </c>
      <c r="I140" s="84">
        <v>280328</v>
      </c>
      <c r="J140" s="84">
        <v>1000</v>
      </c>
      <c r="K140" s="85">
        <v>-35866.33</v>
      </c>
      <c r="L140" s="85">
        <v>-35866.33</v>
      </c>
      <c r="M140" s="85">
        <v>-35866.33</v>
      </c>
      <c r="N140" s="85">
        <v>-35866.33</v>
      </c>
      <c r="O140" s="85">
        <v>-35866.33</v>
      </c>
      <c r="P140" s="85">
        <v>-35866.33</v>
      </c>
      <c r="Q140" s="85">
        <v>-35866.33</v>
      </c>
      <c r="R140" s="85">
        <v>-35866.33</v>
      </c>
      <c r="S140" s="85">
        <v>-35866.33</v>
      </c>
      <c r="T140" s="85">
        <v>-35866.33</v>
      </c>
      <c r="U140" s="85">
        <v>-35866.33</v>
      </c>
      <c r="V140" s="85">
        <v>-35866.33</v>
      </c>
      <c r="W140" s="85">
        <v>-35866.33</v>
      </c>
    </row>
    <row r="141" spans="1:23">
      <c r="A141" s="84">
        <v>0</v>
      </c>
      <c r="B141" s="84">
        <v>2012</v>
      </c>
      <c r="C141" s="84">
        <v>1200</v>
      </c>
      <c r="D141" s="84">
        <v>280328</v>
      </c>
      <c r="E141" s="84" t="str">
        <f t="shared" si="2"/>
        <v>22840000</v>
      </c>
      <c r="F141" s="84" t="e">
        <f>VLOOKUP(E141,zJARS_Allockeys!A:G,7,FALSE)</f>
        <v>#N/A</v>
      </c>
      <c r="G141" s="84">
        <v>2284000</v>
      </c>
      <c r="H141" s="84">
        <v>0</v>
      </c>
      <c r="I141" s="84"/>
      <c r="J141" s="84">
        <v>1000</v>
      </c>
      <c r="K141" s="85">
        <v>-12312.58</v>
      </c>
      <c r="L141" s="85">
        <v>-12312.58</v>
      </c>
      <c r="M141" s="85">
        <v>-12312.58</v>
      </c>
      <c r="N141" s="85">
        <v>-12312.58</v>
      </c>
      <c r="O141" s="85">
        <v>-12312.58</v>
      </c>
      <c r="P141" s="85">
        <v>-12312.58</v>
      </c>
      <c r="Q141" s="85">
        <v>-12312.58</v>
      </c>
      <c r="R141" s="85">
        <v>-12312.58</v>
      </c>
      <c r="S141" s="85">
        <v>-12312.58</v>
      </c>
      <c r="T141" s="85">
        <v>-12312.58</v>
      </c>
      <c r="U141" s="85">
        <v>-12312.58</v>
      </c>
      <c r="V141" s="85">
        <v>-12312.58</v>
      </c>
      <c r="W141" s="85">
        <v>-12312.58</v>
      </c>
    </row>
    <row r="142" spans="1:23">
      <c r="A142" s="84">
        <v>0</v>
      </c>
      <c r="B142" s="84">
        <v>2012</v>
      </c>
      <c r="C142" s="84">
        <v>1200</v>
      </c>
      <c r="D142" s="84">
        <v>280328</v>
      </c>
      <c r="E142" s="84" t="str">
        <f t="shared" si="2"/>
        <v>2284000122092280328</v>
      </c>
      <c r="F142" s="84" t="str">
        <f>VLOOKUP(E142,zJARS_Allockeys!A:G,7,FALSE)</f>
        <v>NUTIL</v>
      </c>
      <c r="G142" s="84">
        <v>2284000</v>
      </c>
      <c r="H142" s="84">
        <v>122092</v>
      </c>
      <c r="I142" s="84">
        <v>280328</v>
      </c>
      <c r="J142" s="84">
        <v>1000</v>
      </c>
      <c r="K142" s="85">
        <v>-12312.58</v>
      </c>
      <c r="L142" s="85">
        <v>-12312.58</v>
      </c>
      <c r="M142" s="85">
        <v>-12312.58</v>
      </c>
      <c r="N142" s="85">
        <v>-12312.58</v>
      </c>
      <c r="O142" s="85">
        <v>-12312.58</v>
      </c>
      <c r="P142" s="85">
        <v>-12312.58</v>
      </c>
      <c r="Q142" s="85">
        <v>-12312.58</v>
      </c>
      <c r="R142" s="85">
        <v>-12312.58</v>
      </c>
      <c r="S142" s="85">
        <v>-12312.58</v>
      </c>
      <c r="T142" s="85">
        <v>-12312.58</v>
      </c>
      <c r="U142" s="85">
        <v>-12312.58</v>
      </c>
      <c r="V142" s="85">
        <v>-12312.58</v>
      </c>
      <c r="W142" s="85">
        <v>-12312.58</v>
      </c>
    </row>
    <row r="143" spans="1:23">
      <c r="A143" s="84">
        <v>0</v>
      </c>
      <c r="B143" s="84">
        <v>2012</v>
      </c>
      <c r="C143" s="84">
        <v>1200</v>
      </c>
      <c r="D143" s="84">
        <v>280329</v>
      </c>
      <c r="E143" s="84" t="str">
        <f t="shared" si="2"/>
        <v>22834001280329</v>
      </c>
      <c r="F143" s="84" t="str">
        <f>VLOOKUP(E143,zJARS_Allockeys!A:G,7,FALSE)</f>
        <v>NUTIL</v>
      </c>
      <c r="G143" s="84">
        <v>2283400</v>
      </c>
      <c r="H143" s="84">
        <v>1</v>
      </c>
      <c r="I143" s="84">
        <v>280329</v>
      </c>
      <c r="J143" s="84">
        <v>1000</v>
      </c>
      <c r="K143" s="85">
        <v>-40803000</v>
      </c>
      <c r="L143" s="85">
        <v>-40803000</v>
      </c>
      <c r="M143" s="85">
        <v>-40803000</v>
      </c>
      <c r="N143" s="85">
        <v>-40803000</v>
      </c>
      <c r="O143" s="85">
        <v>-40803000</v>
      </c>
      <c r="P143" s="85">
        <v>-40803000</v>
      </c>
      <c r="Q143" s="85">
        <v>-40803000</v>
      </c>
      <c r="R143" s="85">
        <v>-40803000</v>
      </c>
      <c r="S143" s="85">
        <v>-40803000</v>
      </c>
      <c r="T143" s="85">
        <v>-40803000</v>
      </c>
      <c r="U143" s="85">
        <v>-40803000</v>
      </c>
      <c r="V143" s="85">
        <v>-40803000</v>
      </c>
      <c r="W143" s="85">
        <v>-40803000</v>
      </c>
    </row>
    <row r="144" spans="1:23">
      <c r="A144" s="84">
        <v>0</v>
      </c>
      <c r="B144" s="84">
        <v>2012</v>
      </c>
      <c r="C144" s="84">
        <v>1200</v>
      </c>
      <c r="D144" s="84">
        <v>280355</v>
      </c>
      <c r="E144" s="84" t="str">
        <f t="shared" si="2"/>
        <v>22835001280355</v>
      </c>
      <c r="F144" s="84" t="str">
        <f>VLOOKUP(E144,zJARS_Allockeys!A:G,7,FALSE)</f>
        <v>NUTIL</v>
      </c>
      <c r="G144" s="84">
        <v>2283500</v>
      </c>
      <c r="H144" s="84">
        <v>1</v>
      </c>
      <c r="I144" s="84">
        <v>280355</v>
      </c>
      <c r="J144" s="84">
        <v>1000</v>
      </c>
      <c r="K144" s="85">
        <v>-1029330512.12</v>
      </c>
      <c r="L144" s="85">
        <v>-1029333512.12</v>
      </c>
      <c r="M144" s="85">
        <v>-1029346144.89</v>
      </c>
      <c r="N144" s="85">
        <v>-1029352324.53</v>
      </c>
      <c r="O144" s="85">
        <v>-1029358504.17</v>
      </c>
      <c r="P144" s="85">
        <v>-1029364683.8099999</v>
      </c>
      <c r="Q144" s="85">
        <v>-1029370863.4499999</v>
      </c>
      <c r="R144" s="85">
        <v>-1029377043.0899999</v>
      </c>
      <c r="S144" s="85">
        <v>-1029441237.3199999</v>
      </c>
      <c r="T144" s="85">
        <v>-1029442138.52</v>
      </c>
      <c r="U144" s="85">
        <v>-1029445067.41</v>
      </c>
      <c r="V144" s="85">
        <v>-1029447996.3</v>
      </c>
      <c r="W144" s="85">
        <v>-1182631025.27</v>
      </c>
    </row>
    <row r="145" spans="1:23">
      <c r="A145" s="84">
        <v>0</v>
      </c>
      <c r="B145" s="84">
        <v>2012</v>
      </c>
      <c r="C145" s="84">
        <v>1200</v>
      </c>
      <c r="D145" s="84">
        <v>280440</v>
      </c>
      <c r="E145" s="84" t="str">
        <f t="shared" si="2"/>
        <v>22834001280440</v>
      </c>
      <c r="F145" s="84" t="str">
        <f>VLOOKUP(E145,zJARS_Allockeys!A:G,7,FALSE)</f>
        <v>NUTIL</v>
      </c>
      <c r="G145" s="84">
        <v>2283400</v>
      </c>
      <c r="H145" s="84">
        <v>1</v>
      </c>
      <c r="I145" s="84">
        <v>280440</v>
      </c>
      <c r="J145" s="84">
        <v>1000</v>
      </c>
      <c r="K145" s="85">
        <v>-40910015</v>
      </c>
      <c r="L145" s="85">
        <v>-40910015</v>
      </c>
      <c r="M145" s="85">
        <v>-40910015</v>
      </c>
      <c r="N145" s="85">
        <v>-40910015</v>
      </c>
      <c r="O145" s="85">
        <v>-40910015</v>
      </c>
      <c r="P145" s="85">
        <v>-40910015</v>
      </c>
      <c r="Q145" s="85">
        <v>-40910015</v>
      </c>
      <c r="R145" s="85">
        <v>-40910015</v>
      </c>
      <c r="S145" s="85">
        <v>-40910015</v>
      </c>
      <c r="T145" s="85">
        <v>-40910015</v>
      </c>
      <c r="U145" s="85">
        <v>-40910015</v>
      </c>
      <c r="V145" s="85">
        <v>-40910015</v>
      </c>
      <c r="W145" s="85">
        <v>-49350167</v>
      </c>
    </row>
    <row r="146" spans="1:23">
      <c r="A146" s="84">
        <v>0</v>
      </c>
      <c r="B146" s="84">
        <v>2012</v>
      </c>
      <c r="C146" s="84">
        <v>1200</v>
      </c>
      <c r="D146" s="84">
        <v>280454</v>
      </c>
      <c r="E146" s="84" t="str">
        <f t="shared" si="2"/>
        <v>22834001280454</v>
      </c>
      <c r="F146" s="84" t="str">
        <f>VLOOKUP(E146,zJARS_Allockeys!A:G,7,FALSE)</f>
        <v>NUTIL</v>
      </c>
      <c r="G146" s="84">
        <v>2283400</v>
      </c>
      <c r="H146" s="84">
        <v>1</v>
      </c>
      <c r="I146" s="84">
        <v>280454</v>
      </c>
      <c r="J146" s="84">
        <v>1000</v>
      </c>
      <c r="K146" s="85">
        <v>-41769000</v>
      </c>
      <c r="L146" s="85">
        <v>-41769000</v>
      </c>
      <c r="M146" s="85">
        <v>-41769000</v>
      </c>
      <c r="N146" s="85">
        <v>-41769000</v>
      </c>
      <c r="O146" s="85">
        <v>-41769000</v>
      </c>
      <c r="P146" s="85">
        <v>-41769000</v>
      </c>
      <c r="Q146" s="85">
        <v>-41769000</v>
      </c>
      <c r="R146" s="85">
        <v>-41769000</v>
      </c>
      <c r="S146" s="85">
        <v>-41769000</v>
      </c>
      <c r="T146" s="85">
        <v>-41769000</v>
      </c>
      <c r="U146" s="85">
        <v>-41769000</v>
      </c>
      <c r="V146" s="85">
        <v>-41769000</v>
      </c>
      <c r="W146" s="85">
        <v>-42600167</v>
      </c>
    </row>
    <row r="147" spans="1:23">
      <c r="A147" s="84">
        <v>0</v>
      </c>
      <c r="B147" s="84">
        <v>2012</v>
      </c>
      <c r="C147" s="84">
        <v>1200</v>
      </c>
      <c r="D147" s="84">
        <v>280455</v>
      </c>
      <c r="E147" s="84" t="str">
        <f t="shared" si="2"/>
        <v>22834001280455</v>
      </c>
      <c r="F147" s="84" t="str">
        <f>VLOOKUP(E147,zJARS_Allockeys!A:G,7,FALSE)</f>
        <v>NUTIL</v>
      </c>
      <c r="G147" s="84">
        <v>2283400</v>
      </c>
      <c r="H147" s="84">
        <v>1</v>
      </c>
      <c r="I147" s="84">
        <v>280455</v>
      </c>
      <c r="J147" s="84">
        <v>1000</v>
      </c>
      <c r="K147" s="85">
        <v>-687362530.69000006</v>
      </c>
      <c r="L147" s="85">
        <v>-688020666.20000005</v>
      </c>
      <c r="M147" s="85">
        <v>-696548310.59000003</v>
      </c>
      <c r="N147" s="85">
        <v>-697175977.25999999</v>
      </c>
      <c r="O147" s="85">
        <v>-697975154.92999995</v>
      </c>
      <c r="P147" s="85">
        <v>-698602821.5999999</v>
      </c>
      <c r="Q147" s="85">
        <v>-699230488.26999986</v>
      </c>
      <c r="R147" s="85">
        <v>-699858154.93999982</v>
      </c>
      <c r="S147" s="85">
        <v>-700478176.3299998</v>
      </c>
      <c r="T147" s="85">
        <v>-701175857.54999983</v>
      </c>
      <c r="U147" s="85">
        <v>-701803524.2099998</v>
      </c>
      <c r="V147" s="85">
        <v>-702431190.86999977</v>
      </c>
      <c r="W147" s="85">
        <v>-717820194.46999979</v>
      </c>
    </row>
    <row r="148" spans="1:23">
      <c r="A148" s="84">
        <v>0</v>
      </c>
      <c r="B148" s="84">
        <v>2012</v>
      </c>
      <c r="C148" s="84">
        <v>1200</v>
      </c>
      <c r="D148" s="84">
        <v>280456</v>
      </c>
      <c r="E148" s="84" t="str">
        <f t="shared" si="2"/>
        <v>22834001280456</v>
      </c>
      <c r="F148" s="84" t="str">
        <f>VLOOKUP(E148,zJARS_Allockeys!A:G,7,FALSE)</f>
        <v>NUTIL</v>
      </c>
      <c r="G148" s="84">
        <v>2283400</v>
      </c>
      <c r="H148" s="84">
        <v>1</v>
      </c>
      <c r="I148" s="84">
        <v>280456</v>
      </c>
      <c r="J148" s="84">
        <v>1000</v>
      </c>
      <c r="K148" s="85">
        <v>-12933927.07</v>
      </c>
      <c r="L148" s="85">
        <v>-13167927.07</v>
      </c>
      <c r="M148" s="85">
        <v>-13401927.07</v>
      </c>
      <c r="N148" s="85">
        <v>-13635927.07</v>
      </c>
      <c r="O148" s="85">
        <v>-13869927.07</v>
      </c>
      <c r="P148" s="85">
        <v>-14143553.07</v>
      </c>
      <c r="Q148" s="85">
        <v>-14376553.07</v>
      </c>
      <c r="R148" s="85">
        <v>-14627206.109999999</v>
      </c>
      <c r="S148" s="85">
        <v>-14860206.109999999</v>
      </c>
      <c r="T148" s="85">
        <v>-15093269.92</v>
      </c>
      <c r="U148" s="85">
        <v>-15324269.92</v>
      </c>
      <c r="V148" s="85">
        <v>-15555269.92</v>
      </c>
      <c r="W148" s="85">
        <v>-15788269.92</v>
      </c>
    </row>
    <row r="149" spans="1:23">
      <c r="A149" s="84">
        <v>0</v>
      </c>
      <c r="B149" s="84">
        <v>2012</v>
      </c>
      <c r="C149" s="84">
        <v>1200</v>
      </c>
      <c r="D149" s="84">
        <v>280457</v>
      </c>
      <c r="E149" s="84" t="str">
        <f t="shared" si="2"/>
        <v>22834001280457</v>
      </c>
      <c r="F149" s="84" t="str">
        <f>VLOOKUP(E149,zJARS_Allockeys!A:G,7,FALSE)</f>
        <v>NUTIL</v>
      </c>
      <c r="G149" s="84">
        <v>2283400</v>
      </c>
      <c r="H149" s="84">
        <v>1</v>
      </c>
      <c r="I149" s="84">
        <v>280457</v>
      </c>
      <c r="J149" s="84">
        <v>1000</v>
      </c>
      <c r="K149" s="85">
        <v>-94113523</v>
      </c>
      <c r="L149" s="85">
        <v>-94113523</v>
      </c>
      <c r="M149" s="85">
        <v>-94113523</v>
      </c>
      <c r="N149" s="85">
        <v>-94113523</v>
      </c>
      <c r="O149" s="85">
        <v>-94113523</v>
      </c>
      <c r="P149" s="85">
        <v>-94113523</v>
      </c>
      <c r="Q149" s="85">
        <v>-94113523</v>
      </c>
      <c r="R149" s="85">
        <v>-94113523</v>
      </c>
      <c r="S149" s="85">
        <v>-94113523</v>
      </c>
      <c r="T149" s="85">
        <v>-94113523</v>
      </c>
      <c r="U149" s="85">
        <v>-94113523</v>
      </c>
      <c r="V149" s="85">
        <v>-94113523</v>
      </c>
      <c r="W149" s="85">
        <v>-146367523</v>
      </c>
    </row>
    <row r="150" spans="1:23">
      <c r="A150" s="84">
        <v>0</v>
      </c>
      <c r="B150" s="84">
        <v>2012</v>
      </c>
      <c r="C150" s="84">
        <v>1200</v>
      </c>
      <c r="D150" s="84">
        <v>280465</v>
      </c>
      <c r="E150" s="84" t="str">
        <f t="shared" si="2"/>
        <v>22835001280465</v>
      </c>
      <c r="F150" s="84" t="str">
        <f>VLOOKUP(E150,zJARS_Allockeys!A:G,7,FALSE)</f>
        <v>NUTIL</v>
      </c>
      <c r="G150" s="84">
        <v>2283500</v>
      </c>
      <c r="H150" s="84">
        <v>1</v>
      </c>
      <c r="I150" s="84">
        <v>280465</v>
      </c>
      <c r="J150" s="84">
        <v>1000</v>
      </c>
      <c r="K150" s="85">
        <v>-132136725.79000001</v>
      </c>
      <c r="L150" s="85">
        <v>-132396027.76000001</v>
      </c>
      <c r="M150" s="85">
        <v>-132652777.75</v>
      </c>
      <c r="N150" s="85">
        <v>-132909527.73999999</v>
      </c>
      <c r="O150" s="85">
        <v>-133166277.72999999</v>
      </c>
      <c r="P150" s="85">
        <v>-133423027.71999998</v>
      </c>
      <c r="Q150" s="85">
        <v>-133679777.70999998</v>
      </c>
      <c r="R150" s="85">
        <v>-133936527.69999997</v>
      </c>
      <c r="S150" s="85">
        <v>-134193277.68999997</v>
      </c>
      <c r="T150" s="85">
        <v>-134450027.67999998</v>
      </c>
      <c r="U150" s="85">
        <v>-134706777.66999999</v>
      </c>
      <c r="V150" s="85">
        <v>-134963527.66</v>
      </c>
      <c r="W150" s="85">
        <v>-138948037.43000001</v>
      </c>
    </row>
    <row r="151" spans="1:23">
      <c r="A151" s="84">
        <v>0</v>
      </c>
      <c r="B151" s="84">
        <v>2012</v>
      </c>
      <c r="C151" s="84">
        <v>1200</v>
      </c>
      <c r="D151" s="84">
        <v>280479</v>
      </c>
      <c r="E151" s="84" t="str">
        <f t="shared" si="2"/>
        <v>22835001280479</v>
      </c>
      <c r="F151" s="84" t="str">
        <f>VLOOKUP(E151,zJARS_Allockeys!A:G,7,FALSE)</f>
        <v>NUTIL</v>
      </c>
      <c r="G151" s="84">
        <v>2283500</v>
      </c>
      <c r="H151" s="84">
        <v>1</v>
      </c>
      <c r="I151" s="84">
        <v>280479</v>
      </c>
      <c r="J151" s="84">
        <v>1000</v>
      </c>
      <c r="K151" s="85">
        <v>-25000</v>
      </c>
      <c r="L151" s="85">
        <v>-25000</v>
      </c>
      <c r="M151" s="85">
        <v>-25000</v>
      </c>
      <c r="N151" s="85">
        <v>-25000</v>
      </c>
      <c r="O151" s="85">
        <v>-25000</v>
      </c>
      <c r="P151" s="85">
        <v>-25000</v>
      </c>
      <c r="Q151" s="85">
        <v>-25000</v>
      </c>
      <c r="R151" s="85">
        <v>-25000</v>
      </c>
      <c r="S151" s="85">
        <v>-25000</v>
      </c>
      <c r="T151" s="85">
        <v>-25000</v>
      </c>
      <c r="U151" s="85">
        <v>-25000</v>
      </c>
      <c r="V151" s="85">
        <v>-25000</v>
      </c>
      <c r="W151" s="85">
        <v>-25000</v>
      </c>
    </row>
    <row r="152" spans="1:23">
      <c r="A152" s="84">
        <v>0</v>
      </c>
      <c r="B152" s="84">
        <v>2012</v>
      </c>
      <c r="C152" s="84">
        <v>1200</v>
      </c>
      <c r="D152" s="84">
        <v>299107</v>
      </c>
      <c r="E152" s="84" t="str">
        <f t="shared" si="2"/>
        <v>219000010</v>
      </c>
      <c r="F152" s="84" t="str">
        <f>VLOOKUP(E152,zJARS_Allockeys!A:G,7,FALSE)</f>
        <v>NUTIL</v>
      </c>
      <c r="G152" s="84">
        <v>2190000</v>
      </c>
      <c r="H152" s="84">
        <v>1</v>
      </c>
      <c r="I152" s="84">
        <v>0</v>
      </c>
      <c r="J152" s="84">
        <v>1000</v>
      </c>
      <c r="K152" s="85">
        <v>-13880109.310000001</v>
      </c>
      <c r="L152" s="85">
        <v>-13909025.98</v>
      </c>
      <c r="M152" s="85">
        <v>-13937942.65</v>
      </c>
      <c r="N152" s="85">
        <v>-13966859.32</v>
      </c>
      <c r="O152" s="85">
        <v>-13995775.99</v>
      </c>
      <c r="P152" s="85">
        <v>-14024692.66</v>
      </c>
      <c r="Q152" s="85">
        <v>-14053609.33</v>
      </c>
      <c r="R152" s="85">
        <v>-14082526</v>
      </c>
      <c r="S152" s="85">
        <v>-14111442.67</v>
      </c>
      <c r="T152" s="85">
        <v>-14140359.34</v>
      </c>
      <c r="U152" s="85">
        <v>-14169276.01</v>
      </c>
      <c r="V152" s="85">
        <v>-14198192.68</v>
      </c>
      <c r="W152" s="85">
        <v>-14227109.35</v>
      </c>
    </row>
    <row r="153" spans="1:23">
      <c r="A153" s="84">
        <v>0</v>
      </c>
      <c r="B153" s="84">
        <v>2012</v>
      </c>
      <c r="C153" s="84">
        <v>1201</v>
      </c>
      <c r="D153" s="84">
        <v>187621</v>
      </c>
      <c r="E153" s="84" t="str">
        <f t="shared" si="2"/>
        <v>18238701114020</v>
      </c>
      <c r="F153" s="84" t="str">
        <f>VLOOKUP(E153,zJARS_Allockeys!A:G,7,FALSE)</f>
        <v>NUTIL</v>
      </c>
      <c r="G153" s="84">
        <v>1823870</v>
      </c>
      <c r="H153" s="84">
        <v>1</v>
      </c>
      <c r="I153" s="84">
        <v>114020</v>
      </c>
      <c r="J153" s="84">
        <v>1000</v>
      </c>
      <c r="K153" s="85">
        <v>-79582204</v>
      </c>
      <c r="L153" s="85">
        <v>-79582204</v>
      </c>
      <c r="M153" s="85">
        <v>-79582204</v>
      </c>
      <c r="N153" s="85">
        <v>-79582204</v>
      </c>
      <c r="O153" s="85">
        <v>-79582204</v>
      </c>
      <c r="P153" s="85">
        <v>-79582204</v>
      </c>
      <c r="Q153" s="85">
        <v>-79582204</v>
      </c>
      <c r="R153" s="85">
        <v>-79582204</v>
      </c>
      <c r="S153" s="85">
        <v>-79582204</v>
      </c>
      <c r="T153" s="85">
        <v>-79582204</v>
      </c>
      <c r="U153" s="85">
        <v>-79582204</v>
      </c>
      <c r="V153" s="85">
        <v>-79582204</v>
      </c>
      <c r="W153" s="85">
        <v>-79582204</v>
      </c>
    </row>
    <row r="154" spans="1:23">
      <c r="A154" s="84">
        <v>0</v>
      </c>
      <c r="B154" s="84">
        <v>2012</v>
      </c>
      <c r="C154" s="84">
        <v>1201</v>
      </c>
      <c r="D154" s="84">
        <v>187621</v>
      </c>
      <c r="E154" s="84" t="str">
        <f t="shared" si="2"/>
        <v>18238701187621</v>
      </c>
      <c r="F154" s="84" t="str">
        <f>VLOOKUP(E154,zJARS_Allockeys!A:G,7,FALSE)</f>
        <v>NUTIL</v>
      </c>
      <c r="G154" s="84">
        <v>1823870</v>
      </c>
      <c r="H154" s="84">
        <v>1</v>
      </c>
      <c r="I154" s="84">
        <v>187621</v>
      </c>
      <c r="J154" s="84">
        <v>1000</v>
      </c>
      <c r="K154" s="85">
        <v>-39791102</v>
      </c>
      <c r="L154" s="85">
        <v>-39791102</v>
      </c>
      <c r="M154" s="85">
        <v>-39791102</v>
      </c>
      <c r="N154" s="85">
        <v>-39791102</v>
      </c>
      <c r="O154" s="85">
        <v>-39791102</v>
      </c>
      <c r="P154" s="85">
        <v>-39791102</v>
      </c>
      <c r="Q154" s="85">
        <v>-39791102</v>
      </c>
      <c r="R154" s="85">
        <v>-39791102</v>
      </c>
      <c r="S154" s="85">
        <v>-39791102</v>
      </c>
      <c r="T154" s="85">
        <v>-39791102</v>
      </c>
      <c r="U154" s="85">
        <v>-39791102</v>
      </c>
      <c r="V154" s="85">
        <v>-39791102</v>
      </c>
      <c r="W154" s="85">
        <v>-39791102</v>
      </c>
    </row>
    <row r="155" spans="1:23">
      <c r="A155" s="84">
        <v>0</v>
      </c>
      <c r="B155" s="84">
        <v>2012</v>
      </c>
      <c r="C155" s="84">
        <v>1201</v>
      </c>
      <c r="D155" s="84">
        <v>187626</v>
      </c>
      <c r="E155" s="84" t="str">
        <f t="shared" si="2"/>
        <v>18231091114020</v>
      </c>
      <c r="F155" s="84" t="str">
        <f>VLOOKUP(E155,zJARS_Allockeys!A:G,7,FALSE)</f>
        <v>NUTIL</v>
      </c>
      <c r="G155" s="84">
        <v>1823109</v>
      </c>
      <c r="H155" s="84">
        <v>1</v>
      </c>
      <c r="I155" s="84">
        <v>114020</v>
      </c>
      <c r="J155" s="84">
        <v>1000</v>
      </c>
      <c r="K155" s="85">
        <v>-39791102</v>
      </c>
      <c r="L155" s="85">
        <v>-39791102</v>
      </c>
      <c r="M155" s="85">
        <v>-39791102</v>
      </c>
      <c r="N155" s="85">
        <v>-39791102</v>
      </c>
      <c r="O155" s="85">
        <v>-39791102</v>
      </c>
      <c r="P155" s="85">
        <v>-39791102</v>
      </c>
      <c r="Q155" s="85">
        <v>-39791102</v>
      </c>
      <c r="R155" s="85">
        <v>-39791102</v>
      </c>
      <c r="S155" s="85">
        <v>-39791102</v>
      </c>
      <c r="T155" s="85">
        <v>-39791102</v>
      </c>
      <c r="U155" s="85">
        <v>-39791102</v>
      </c>
      <c r="V155" s="85">
        <v>-39791102</v>
      </c>
      <c r="W155" s="85">
        <v>-39791102</v>
      </c>
    </row>
    <row r="156" spans="1:23">
      <c r="A156" s="84">
        <v>0</v>
      </c>
      <c r="B156" s="84">
        <v>2012</v>
      </c>
      <c r="C156" s="84">
        <v>1201</v>
      </c>
      <c r="D156" s="84">
        <v>187626</v>
      </c>
      <c r="E156" s="84" t="str">
        <f t="shared" si="2"/>
        <v>18231091187626</v>
      </c>
      <c r="F156" s="84" t="str">
        <f>VLOOKUP(E156,zJARS_Allockeys!A:G,7,FALSE)</f>
        <v>NUTIL</v>
      </c>
      <c r="G156" s="84">
        <v>1823109</v>
      </c>
      <c r="H156" s="84">
        <v>1</v>
      </c>
      <c r="I156" s="84">
        <v>187626</v>
      </c>
      <c r="J156" s="84">
        <v>1000</v>
      </c>
      <c r="K156" s="85">
        <v>-71014496</v>
      </c>
      <c r="L156" s="85">
        <v>-71014496</v>
      </c>
      <c r="M156" s="85">
        <v>-71014496</v>
      </c>
      <c r="N156" s="85">
        <v>-72202280</v>
      </c>
      <c r="O156" s="85">
        <v>-72202280</v>
      </c>
      <c r="P156" s="85">
        <v>-72202280</v>
      </c>
      <c r="Q156" s="85">
        <v>-72202280</v>
      </c>
      <c r="R156" s="85">
        <v>-72202280</v>
      </c>
      <c r="S156" s="85">
        <v>-72202280</v>
      </c>
      <c r="T156" s="85">
        <v>-72202280</v>
      </c>
      <c r="U156" s="85">
        <v>-72202280</v>
      </c>
      <c r="V156" s="85">
        <v>-72202280</v>
      </c>
      <c r="W156" s="85">
        <v>-73761629</v>
      </c>
    </row>
    <row r="157" spans="1:23">
      <c r="A157" s="84">
        <v>0</v>
      </c>
      <c r="B157" s="84">
        <v>2012</v>
      </c>
      <c r="C157" s="84">
        <v>1283</v>
      </c>
      <c r="D157" s="84">
        <v>280328</v>
      </c>
      <c r="E157" s="84" t="str">
        <f t="shared" si="2"/>
        <v>22830000</v>
      </c>
      <c r="F157" s="84" t="e">
        <f>VLOOKUP(E157,zJARS_Allockeys!A:G,7,FALSE)</f>
        <v>#N/A</v>
      </c>
      <c r="G157" s="84">
        <v>2283000</v>
      </c>
      <c r="H157" s="84">
        <v>0</v>
      </c>
      <c r="I157" s="84"/>
      <c r="J157" s="84">
        <v>1000</v>
      </c>
      <c r="K157" s="85">
        <v>-4984523.78</v>
      </c>
      <c r="L157" s="85">
        <v>-4984523.78</v>
      </c>
      <c r="M157" s="85">
        <v>-4984523.78</v>
      </c>
      <c r="N157" s="85">
        <v>-4984523.78</v>
      </c>
      <c r="O157" s="85">
        <v>-4984523.78</v>
      </c>
      <c r="P157" s="85">
        <v>-4984523.78</v>
      </c>
      <c r="Q157" s="85">
        <v>-4984523.78</v>
      </c>
      <c r="R157" s="85">
        <v>-4984523.78</v>
      </c>
      <c r="S157" s="85">
        <v>-4984523.78</v>
      </c>
      <c r="T157" s="85">
        <v>-4984523.78</v>
      </c>
      <c r="U157" s="85">
        <v>-4984523.78</v>
      </c>
      <c r="V157" s="85">
        <v>-4984523.78</v>
      </c>
      <c r="W157" s="85">
        <v>-4984523.78</v>
      </c>
    </row>
    <row r="158" spans="1:23">
      <c r="A158" s="84">
        <v>0</v>
      </c>
      <c r="B158" s="84">
        <v>2012</v>
      </c>
      <c r="C158" s="84">
        <v>1283</v>
      </c>
      <c r="D158" s="84">
        <v>280328</v>
      </c>
      <c r="E158" s="84" t="str">
        <f t="shared" si="2"/>
        <v>2283000122092280328</v>
      </c>
      <c r="F158" s="84" t="str">
        <f>VLOOKUP(E158,zJARS_Allockeys!A:G,7,FALSE)</f>
        <v>NUTIL</v>
      </c>
      <c r="G158" s="84">
        <v>2283000</v>
      </c>
      <c r="H158" s="84">
        <v>122092</v>
      </c>
      <c r="I158" s="84">
        <v>280328</v>
      </c>
      <c r="J158" s="84">
        <v>1000</v>
      </c>
      <c r="K158" s="85">
        <v>-4984523.78</v>
      </c>
      <c r="L158" s="85">
        <v>-4984523.78</v>
      </c>
      <c r="M158" s="85">
        <v>-4984523.78</v>
      </c>
      <c r="N158" s="85">
        <v>-4984523.78</v>
      </c>
      <c r="O158" s="85">
        <v>-4984523.78</v>
      </c>
      <c r="P158" s="85">
        <v>-4984523.78</v>
      </c>
      <c r="Q158" s="85">
        <v>-4984523.78</v>
      </c>
      <c r="R158" s="85">
        <v>-4984523.78</v>
      </c>
      <c r="S158" s="85">
        <v>-4984523.78</v>
      </c>
      <c r="T158" s="85">
        <v>-4984523.78</v>
      </c>
      <c r="U158" s="85">
        <v>-4984523.78</v>
      </c>
      <c r="V158" s="85">
        <v>-4984523.78</v>
      </c>
      <c r="W158" s="85">
        <v>-4984523.78</v>
      </c>
    </row>
    <row r="159" spans="1:23">
      <c r="A159" s="84">
        <v>0</v>
      </c>
      <c r="B159" s="84">
        <v>2012</v>
      </c>
      <c r="C159" s="84">
        <v>1283</v>
      </c>
      <c r="D159" s="84">
        <v>280328</v>
      </c>
      <c r="E159" s="84" t="str">
        <f t="shared" si="2"/>
        <v>22834000</v>
      </c>
      <c r="F159" s="84" t="e">
        <f>VLOOKUP(E159,zJARS_Allockeys!A:G,7,FALSE)</f>
        <v>#N/A</v>
      </c>
      <c r="G159" s="84">
        <v>2283400</v>
      </c>
      <c r="H159" s="84">
        <v>0</v>
      </c>
      <c r="I159" s="84"/>
      <c r="J159" s="84">
        <v>1000</v>
      </c>
      <c r="K159" s="85">
        <v>-2736626.85</v>
      </c>
      <c r="L159" s="85">
        <v>-2736626.85</v>
      </c>
      <c r="M159" s="85">
        <v>-2736626.85</v>
      </c>
      <c r="N159" s="85">
        <v>-2736626.85</v>
      </c>
      <c r="O159" s="85">
        <v>-2736626.85</v>
      </c>
      <c r="P159" s="85">
        <v>-2736626.85</v>
      </c>
      <c r="Q159" s="85">
        <v>-2736626.85</v>
      </c>
      <c r="R159" s="85">
        <v>-2736626.85</v>
      </c>
      <c r="S159" s="85">
        <v>-2736626.85</v>
      </c>
      <c r="T159" s="85">
        <v>-2736626.85</v>
      </c>
      <c r="U159" s="85">
        <v>-2736626.85</v>
      </c>
      <c r="V159" s="85">
        <v>-2736626.85</v>
      </c>
      <c r="W159" s="85">
        <v>-2736626.85</v>
      </c>
    </row>
    <row r="160" spans="1:23">
      <c r="A160" s="84">
        <v>0</v>
      </c>
      <c r="B160" s="84">
        <v>2012</v>
      </c>
      <c r="C160" s="84">
        <v>1283</v>
      </c>
      <c r="D160" s="84">
        <v>280328</v>
      </c>
      <c r="E160" s="84" t="str">
        <f t="shared" si="2"/>
        <v>22834000280328</v>
      </c>
      <c r="F160" s="84" t="e">
        <f>VLOOKUP(E160,zJARS_Allockeys!A:G,7,FALSE)</f>
        <v>#N/A</v>
      </c>
      <c r="G160" s="84">
        <v>2283400</v>
      </c>
      <c r="H160" s="84">
        <v>0</v>
      </c>
      <c r="I160" s="84">
        <v>280328</v>
      </c>
      <c r="J160" s="84">
        <v>1000</v>
      </c>
      <c r="K160" s="85">
        <v>-182433</v>
      </c>
      <c r="L160" s="85">
        <v>-182433</v>
      </c>
      <c r="M160" s="85">
        <v>-182433</v>
      </c>
      <c r="N160" s="85">
        <v>-182433</v>
      </c>
      <c r="O160" s="85">
        <v>-182433</v>
      </c>
      <c r="P160" s="85">
        <v>-182433</v>
      </c>
      <c r="Q160" s="85">
        <v>-182433</v>
      </c>
      <c r="R160" s="85">
        <v>-182433</v>
      </c>
      <c r="S160" s="85">
        <v>-182433</v>
      </c>
      <c r="T160" s="85">
        <v>-182433</v>
      </c>
      <c r="U160" s="85">
        <v>-182433</v>
      </c>
      <c r="V160" s="85">
        <v>-182433</v>
      </c>
      <c r="W160" s="85">
        <v>-182433</v>
      </c>
    </row>
    <row r="161" spans="1:23">
      <c r="A161" s="84">
        <v>0</v>
      </c>
      <c r="B161" s="84">
        <v>2012</v>
      </c>
      <c r="C161" s="84">
        <v>1283</v>
      </c>
      <c r="D161" s="84">
        <v>280328</v>
      </c>
      <c r="E161" s="84" t="str">
        <f t="shared" si="2"/>
        <v>22834001280328</v>
      </c>
      <c r="F161" s="84" t="str">
        <f>VLOOKUP(E161,zJARS_Allockeys!A:G,7,FALSE)</f>
        <v>NUTIL</v>
      </c>
      <c r="G161" s="84">
        <v>2283400</v>
      </c>
      <c r="H161" s="84">
        <v>1</v>
      </c>
      <c r="I161" s="84">
        <v>280328</v>
      </c>
      <c r="J161" s="84">
        <v>1000</v>
      </c>
      <c r="K161" s="85">
        <v>-634889.42000000004</v>
      </c>
      <c r="L161" s="85">
        <v>-634889.42000000004</v>
      </c>
      <c r="M161" s="85">
        <v>-634889.42000000004</v>
      </c>
      <c r="N161" s="85">
        <v>-634889.42000000004</v>
      </c>
      <c r="O161" s="85">
        <v>-634889.42000000004</v>
      </c>
      <c r="P161" s="85">
        <v>-634889.42000000004</v>
      </c>
      <c r="Q161" s="85">
        <v>-634889.42000000004</v>
      </c>
      <c r="R161" s="85">
        <v>-634889.42000000004</v>
      </c>
      <c r="S161" s="85">
        <v>-634889.42000000004</v>
      </c>
      <c r="T161" s="85">
        <v>-634889.42000000004</v>
      </c>
      <c r="U161" s="85">
        <v>-634889.42000000004</v>
      </c>
      <c r="V161" s="85">
        <v>-634889.42000000004</v>
      </c>
      <c r="W161" s="85">
        <v>-634889.42000000004</v>
      </c>
    </row>
    <row r="162" spans="1:23">
      <c r="A162" s="84">
        <v>0</v>
      </c>
      <c r="B162" s="84">
        <v>2012</v>
      </c>
      <c r="C162" s="84">
        <v>1283</v>
      </c>
      <c r="D162" s="84">
        <v>280328</v>
      </c>
      <c r="E162" s="84" t="str">
        <f t="shared" si="2"/>
        <v>2283400122092280328</v>
      </c>
      <c r="F162" s="84" t="str">
        <f>VLOOKUP(E162,zJARS_Allockeys!A:G,7,FALSE)</f>
        <v>NUTIL</v>
      </c>
      <c r="G162" s="84">
        <v>2283400</v>
      </c>
      <c r="H162" s="84">
        <v>122092</v>
      </c>
      <c r="I162" s="84">
        <v>280328</v>
      </c>
      <c r="J162" s="84">
        <v>1000</v>
      </c>
      <c r="K162" s="85">
        <v>-11566.21</v>
      </c>
      <c r="L162" s="85">
        <v>-11566.21</v>
      </c>
      <c r="M162" s="85">
        <v>-11566.21</v>
      </c>
      <c r="N162" s="85">
        <v>-11566.21</v>
      </c>
      <c r="O162" s="85">
        <v>-11566.21</v>
      </c>
      <c r="P162" s="85">
        <v>-11566.21</v>
      </c>
      <c r="Q162" s="85">
        <v>-11566.21</v>
      </c>
      <c r="R162" s="85">
        <v>-11566.21</v>
      </c>
      <c r="S162" s="85">
        <v>-11566.21</v>
      </c>
      <c r="T162" s="85">
        <v>-11566.21</v>
      </c>
      <c r="U162" s="85">
        <v>-11566.21</v>
      </c>
      <c r="V162" s="85">
        <v>-11566.21</v>
      </c>
      <c r="W162" s="85">
        <v>-11566.21</v>
      </c>
    </row>
    <row r="163" spans="1:23">
      <c r="A163" s="84">
        <v>0</v>
      </c>
      <c r="B163" s="84">
        <v>2012</v>
      </c>
      <c r="C163" s="84">
        <v>1283</v>
      </c>
      <c r="D163" s="84">
        <v>280328</v>
      </c>
      <c r="E163" s="84" t="str">
        <f t="shared" si="2"/>
        <v>2283400122092280328</v>
      </c>
      <c r="F163" s="84" t="str">
        <f>VLOOKUP(E163,zJARS_Allockeys!A:G,7,FALSE)</f>
        <v>NUTIL</v>
      </c>
      <c r="G163" s="84">
        <v>2283400</v>
      </c>
      <c r="H163" s="84">
        <v>122092</v>
      </c>
      <c r="I163" s="84">
        <v>280328</v>
      </c>
      <c r="J163" s="84">
        <v>1000</v>
      </c>
      <c r="K163" s="85">
        <v>-5095270.8899999997</v>
      </c>
      <c r="L163" s="85">
        <v>-5095270.8899999997</v>
      </c>
      <c r="M163" s="85">
        <v>-5095270.8899999997</v>
      </c>
      <c r="N163" s="85">
        <v>-5095270.8899999997</v>
      </c>
      <c r="O163" s="85">
        <v>-5095270.8899999997</v>
      </c>
      <c r="P163" s="85">
        <v>-5095270.8899999997</v>
      </c>
      <c r="Q163" s="85">
        <v>-5095270.8899999997</v>
      </c>
      <c r="R163" s="85">
        <v>-5095270.8899999997</v>
      </c>
      <c r="S163" s="85">
        <v>-5095270.8899999997</v>
      </c>
      <c r="T163" s="85">
        <v>-5095270.8899999997</v>
      </c>
      <c r="U163" s="85">
        <v>-5095270.8899999997</v>
      </c>
      <c r="V163" s="85">
        <v>-5095270.8899999997</v>
      </c>
      <c r="W163" s="85">
        <v>-5095270.8899999997</v>
      </c>
    </row>
    <row r="164" spans="1:23">
      <c r="A164" s="84">
        <v>0</v>
      </c>
      <c r="B164" s="84">
        <v>2012</v>
      </c>
      <c r="C164" s="84">
        <v>1283</v>
      </c>
      <c r="D164" s="84">
        <v>280455</v>
      </c>
      <c r="E164" s="84" t="str">
        <f t="shared" si="2"/>
        <v>22834001280455</v>
      </c>
      <c r="F164" s="84" t="str">
        <f>VLOOKUP(E164,zJARS_Allockeys!A:G,7,FALSE)</f>
        <v>NUTIL</v>
      </c>
      <c r="G164" s="84">
        <v>2283400</v>
      </c>
      <c r="H164" s="84">
        <v>1</v>
      </c>
      <c r="I164" s="84">
        <v>280455</v>
      </c>
      <c r="J164" s="84">
        <v>1000</v>
      </c>
      <c r="K164" s="85">
        <v>-579986.66</v>
      </c>
      <c r="L164" s="85">
        <v>-579986.66</v>
      </c>
      <c r="M164" s="85">
        <v>-579986.66</v>
      </c>
      <c r="N164" s="85">
        <v>-579986.66</v>
      </c>
      <c r="O164" s="85">
        <v>-579986.66</v>
      </c>
      <c r="P164" s="85">
        <v>-579986.66</v>
      </c>
      <c r="Q164" s="85">
        <v>-579986.66</v>
      </c>
      <c r="R164" s="85">
        <v>-579986.66</v>
      </c>
      <c r="S164" s="85">
        <v>-579986.66</v>
      </c>
      <c r="T164" s="85">
        <v>-579986.66</v>
      </c>
      <c r="U164" s="85">
        <v>-579986.66</v>
      </c>
      <c r="V164" s="85">
        <v>-579986.66</v>
      </c>
      <c r="W164" s="85">
        <v>-579986.66</v>
      </c>
    </row>
    <row r="165" spans="1:23">
      <c r="A165" s="84">
        <v>0</v>
      </c>
      <c r="B165" s="84">
        <v>2012</v>
      </c>
      <c r="C165" s="84">
        <v>1407</v>
      </c>
      <c r="D165" s="84">
        <v>187602</v>
      </c>
      <c r="E165" s="84" t="str">
        <f t="shared" si="2"/>
        <v>1823870109187602</v>
      </c>
      <c r="F165" s="84" t="str">
        <f>VLOOKUP(E165,zJARS_Allockeys!A:G,7,FALSE)</f>
        <v>NUTIL</v>
      </c>
      <c r="G165" s="84">
        <v>1823870</v>
      </c>
      <c r="H165" s="84">
        <v>109</v>
      </c>
      <c r="I165" s="84">
        <v>187602</v>
      </c>
      <c r="J165" s="84">
        <v>1000</v>
      </c>
      <c r="K165" s="85">
        <v>-53659.18</v>
      </c>
      <c r="L165" s="85">
        <v>-53659.18</v>
      </c>
      <c r="M165" s="85">
        <v>-53659.18</v>
      </c>
      <c r="N165" s="85">
        <v>-53659.18</v>
      </c>
      <c r="O165" s="85">
        <v>-53659.18</v>
      </c>
      <c r="P165" s="85">
        <v>-53659.18</v>
      </c>
      <c r="Q165" s="85">
        <v>-53659.18</v>
      </c>
      <c r="R165" s="85">
        <v>-53659.18</v>
      </c>
      <c r="S165" s="85">
        <v>-53659.18</v>
      </c>
      <c r="T165" s="85">
        <v>-53659.18</v>
      </c>
      <c r="U165" s="85">
        <v>-53659.18</v>
      </c>
      <c r="V165" s="85">
        <v>-53659.18</v>
      </c>
      <c r="W165" s="85">
        <v>-53659.18</v>
      </c>
    </row>
    <row r="166" spans="1:23">
      <c r="A166" s="84">
        <v>0</v>
      </c>
      <c r="B166" s="84">
        <v>2012</v>
      </c>
      <c r="C166" s="84">
        <v>1407</v>
      </c>
      <c r="D166" s="84">
        <v>187624</v>
      </c>
      <c r="E166" s="84" t="str">
        <f t="shared" si="2"/>
        <v>1823870109187624</v>
      </c>
      <c r="F166" s="84" t="str">
        <f>VLOOKUP(E166,zJARS_Allockeys!A:G,7,FALSE)</f>
        <v>NUTIL</v>
      </c>
      <c r="G166" s="84">
        <v>1823870</v>
      </c>
      <c r="H166" s="84">
        <v>109</v>
      </c>
      <c r="I166" s="84">
        <v>187624</v>
      </c>
      <c r="J166" s="84">
        <v>1000</v>
      </c>
      <c r="K166" s="85">
        <v>-296617.34000000003</v>
      </c>
      <c r="L166" s="85">
        <v>-296617.34000000003</v>
      </c>
      <c r="M166" s="85">
        <v>-296617.34000000003</v>
      </c>
      <c r="N166" s="85">
        <v>-296617.34000000003</v>
      </c>
      <c r="O166" s="85">
        <v>-296617.34000000003</v>
      </c>
      <c r="P166" s="85">
        <v>-296617.34000000003</v>
      </c>
      <c r="Q166" s="85">
        <v>-296617.34000000003</v>
      </c>
      <c r="R166" s="85">
        <v>-296617.34000000003</v>
      </c>
      <c r="S166" s="85">
        <v>-296617.34000000003</v>
      </c>
      <c r="T166" s="85">
        <v>-296617.34000000003</v>
      </c>
      <c r="U166" s="85">
        <v>-296617.34000000003</v>
      </c>
      <c r="V166" s="85">
        <v>-296617.34000000003</v>
      </c>
      <c r="W166" s="85">
        <v>-296617.34000000003</v>
      </c>
    </row>
    <row r="167" spans="1:23">
      <c r="A167" s="84">
        <v>0</v>
      </c>
      <c r="B167" s="84">
        <v>2012</v>
      </c>
      <c r="C167" s="84">
        <v>1515</v>
      </c>
      <c r="D167" s="84">
        <v>280328</v>
      </c>
      <c r="E167" s="84" t="str">
        <f t="shared" si="2"/>
        <v>22834001280328</v>
      </c>
      <c r="F167" s="84" t="str">
        <f>VLOOKUP(E167,zJARS_Allockeys!A:G,7,FALSE)</f>
        <v>NUTIL</v>
      </c>
      <c r="G167" s="84">
        <v>2283400</v>
      </c>
      <c r="H167" s="84">
        <v>1</v>
      </c>
      <c r="I167" s="84">
        <v>280328</v>
      </c>
      <c r="J167" s="84">
        <v>1000</v>
      </c>
      <c r="K167" s="85">
        <v>-8388137.2800000003</v>
      </c>
      <c r="L167" s="85">
        <v>-8388137.2800000003</v>
      </c>
      <c r="M167" s="85">
        <v>-8388137.2800000003</v>
      </c>
      <c r="N167" s="85">
        <v>-8388137.2800000003</v>
      </c>
      <c r="O167" s="85">
        <v>-8388137.2800000003</v>
      </c>
      <c r="P167" s="85">
        <v>-8388137.2800000003</v>
      </c>
      <c r="Q167" s="85">
        <v>-8388137.2800000003</v>
      </c>
      <c r="R167" s="85">
        <v>-8388137.2800000003</v>
      </c>
      <c r="S167" s="85">
        <v>-8388137.2800000003</v>
      </c>
      <c r="T167" s="85">
        <v>-8388137.2800000003</v>
      </c>
      <c r="U167" s="85">
        <v>-8388137.2800000003</v>
      </c>
      <c r="V167" s="85">
        <v>-8388137.2800000003</v>
      </c>
      <c r="W167" s="85">
        <v>-8388137.2800000003</v>
      </c>
    </row>
    <row r="168" spans="1:23">
      <c r="A168" s="84">
        <v>0</v>
      </c>
      <c r="B168" s="84">
        <v>2012</v>
      </c>
      <c r="C168" s="84" t="s">
        <v>255</v>
      </c>
      <c r="D168" s="84">
        <v>187017</v>
      </c>
      <c r="E168" s="84" t="str">
        <f t="shared" si="2"/>
        <v>18238701187017</v>
      </c>
      <c r="F168" s="84" t="str">
        <f>VLOOKUP(E168,zJARS_Allockeys!A:G,7,FALSE)</f>
        <v>NUTIL</v>
      </c>
      <c r="G168" s="84">
        <v>1823870</v>
      </c>
      <c r="H168" s="84">
        <v>1</v>
      </c>
      <c r="I168" s="84">
        <v>187017</v>
      </c>
      <c r="J168" s="84">
        <v>1000</v>
      </c>
      <c r="K168" s="85">
        <v>-770280483.52999997</v>
      </c>
      <c r="L168" s="85">
        <v>-770306135.48000002</v>
      </c>
      <c r="M168" s="85">
        <v>-770306135.48000002</v>
      </c>
      <c r="N168" s="85">
        <v>-770306135.48000002</v>
      </c>
      <c r="O168" s="85">
        <v>-770306135.48000002</v>
      </c>
      <c r="P168" s="85">
        <v>-770306135.48000002</v>
      </c>
      <c r="Q168" s="85">
        <v>-770306135.48000002</v>
      </c>
      <c r="R168" s="85">
        <v>-770306135.48000002</v>
      </c>
      <c r="S168" s="85">
        <v>-770306135.48000002</v>
      </c>
      <c r="T168" s="85">
        <v>-770306135.48000002</v>
      </c>
      <c r="U168" s="85">
        <v>-770306135.48000002</v>
      </c>
      <c r="V168" s="85">
        <v>-770306135.48000002</v>
      </c>
      <c r="W168" s="85">
        <v>-770306135.48000002</v>
      </c>
    </row>
    <row r="169" spans="1:23">
      <c r="A169" s="84">
        <v>0</v>
      </c>
      <c r="B169" s="84">
        <v>2012</v>
      </c>
      <c r="C169" s="84" t="s">
        <v>255</v>
      </c>
      <c r="D169" s="84">
        <v>187621</v>
      </c>
      <c r="E169" s="84" t="str">
        <f t="shared" si="2"/>
        <v>18238701187621</v>
      </c>
      <c r="F169" s="84" t="str">
        <f>VLOOKUP(E169,zJARS_Allockeys!A:G,7,FALSE)</f>
        <v>NUTIL</v>
      </c>
      <c r="G169" s="84">
        <v>1823870</v>
      </c>
      <c r="H169" s="84">
        <v>1</v>
      </c>
      <c r="I169" s="84">
        <v>187621</v>
      </c>
      <c r="J169" s="84">
        <v>1000</v>
      </c>
      <c r="K169" s="85">
        <v>-146546744.66999999</v>
      </c>
      <c r="L169" s="85">
        <v>-146546744.66999999</v>
      </c>
      <c r="M169" s="85">
        <v>-146546744.66999999</v>
      </c>
      <c r="N169" s="85">
        <v>-146546744.66999999</v>
      </c>
      <c r="O169" s="85">
        <v>-146546744.66999999</v>
      </c>
      <c r="P169" s="85">
        <v>-146546744.66999999</v>
      </c>
      <c r="Q169" s="85">
        <v>-146546744.66999999</v>
      </c>
      <c r="R169" s="85">
        <v>-146546744.66999999</v>
      </c>
      <c r="S169" s="85">
        <v>-146546744.66999999</v>
      </c>
      <c r="T169" s="85">
        <v>-146546744.66999999</v>
      </c>
      <c r="U169" s="85">
        <v>-146546744.66999999</v>
      </c>
      <c r="V169" s="85">
        <v>-146546744.66999999</v>
      </c>
      <c r="W169" s="85">
        <v>-146546744.66999999</v>
      </c>
    </row>
    <row r="170" spans="1:23">
      <c r="A170" s="84">
        <v>0</v>
      </c>
      <c r="B170" s="84">
        <v>2012</v>
      </c>
      <c r="C170" s="84">
        <v>1042</v>
      </c>
      <c r="D170" s="84">
        <v>280328</v>
      </c>
      <c r="E170" s="84" t="str">
        <f t="shared" si="2"/>
        <v>22834001280328</v>
      </c>
      <c r="F170" s="84" t="str">
        <f>VLOOKUP(E170,zJARS_Allockeys!A:G,7,FALSE)</f>
        <v>NUTIL</v>
      </c>
      <c r="G170" s="84">
        <v>2283400</v>
      </c>
      <c r="H170" s="84">
        <v>1</v>
      </c>
      <c r="I170" s="84">
        <v>280328</v>
      </c>
      <c r="J170" s="84">
        <v>1000</v>
      </c>
      <c r="K170" s="85">
        <v>22067375.620000001</v>
      </c>
      <c r="L170" s="85">
        <v>22067375.620000001</v>
      </c>
      <c r="M170" s="85">
        <v>22067375.620000001</v>
      </c>
      <c r="N170" s="85">
        <v>22067375.620000001</v>
      </c>
      <c r="O170" s="85">
        <v>22067375.620000001</v>
      </c>
      <c r="P170" s="85">
        <v>22067375.620000001</v>
      </c>
      <c r="Q170" s="85">
        <v>22067375.620000001</v>
      </c>
      <c r="R170" s="85">
        <v>22067375.620000001</v>
      </c>
      <c r="S170" s="85">
        <v>22067375.620000001</v>
      </c>
      <c r="T170" s="85">
        <v>52084443.090000004</v>
      </c>
      <c r="U170" s="85">
        <v>52801096.770000003</v>
      </c>
      <c r="V170" s="85">
        <v>53498331.260000005</v>
      </c>
      <c r="W170" s="85">
        <v>53498331.260000005</v>
      </c>
    </row>
    <row r="171" spans="1:23">
      <c r="A171" s="84">
        <v>0</v>
      </c>
      <c r="B171" s="84">
        <v>2012</v>
      </c>
      <c r="C171" s="84">
        <v>1042</v>
      </c>
      <c r="D171" s="84">
        <v>280328</v>
      </c>
      <c r="E171" s="84" t="str">
        <f t="shared" si="2"/>
        <v>2283400122092280328</v>
      </c>
      <c r="F171" s="84" t="str">
        <f>VLOOKUP(E171,zJARS_Allockeys!A:G,7,FALSE)</f>
        <v>NUTIL</v>
      </c>
      <c r="G171" s="84">
        <v>2283400</v>
      </c>
      <c r="H171" s="84">
        <v>122092</v>
      </c>
      <c r="I171" s="84">
        <v>280328</v>
      </c>
      <c r="J171" s="84">
        <v>1000</v>
      </c>
      <c r="K171" s="85">
        <v>1386319.98</v>
      </c>
      <c r="L171" s="85">
        <v>1386319.98</v>
      </c>
      <c r="M171" s="85">
        <v>1386319.98</v>
      </c>
      <c r="N171" s="85">
        <v>1386319.98</v>
      </c>
      <c r="O171" s="85">
        <v>1386319.98</v>
      </c>
      <c r="P171" s="85">
        <v>1386319.98</v>
      </c>
      <c r="Q171" s="85">
        <v>1386319.98</v>
      </c>
      <c r="R171" s="85">
        <v>1386319.98</v>
      </c>
      <c r="S171" s="85">
        <v>1386319.98</v>
      </c>
      <c r="T171" s="85">
        <v>1386319.98</v>
      </c>
      <c r="U171" s="85">
        <v>1386319.98</v>
      </c>
      <c r="V171" s="85">
        <v>1386319.98</v>
      </c>
      <c r="W171" s="85">
        <v>1386319.98</v>
      </c>
    </row>
    <row r="172" spans="1:23">
      <c r="A172" s="84">
        <v>0</v>
      </c>
      <c r="B172" s="84">
        <v>2012</v>
      </c>
      <c r="C172" s="84">
        <v>1042</v>
      </c>
      <c r="D172" s="84">
        <v>280328</v>
      </c>
      <c r="E172" s="84" t="str">
        <f t="shared" si="2"/>
        <v>22840000</v>
      </c>
      <c r="F172" s="84" t="e">
        <f>VLOOKUP(E172,zJARS_Allockeys!A:G,7,FALSE)</f>
        <v>#N/A</v>
      </c>
      <c r="G172" s="84">
        <v>2284000</v>
      </c>
      <c r="H172" s="84">
        <v>0</v>
      </c>
      <c r="I172" s="84"/>
      <c r="J172" s="84">
        <v>1000</v>
      </c>
      <c r="K172" s="85">
        <v>12312.58</v>
      </c>
      <c r="L172" s="85">
        <v>12312.58</v>
      </c>
      <c r="M172" s="85">
        <v>12312.58</v>
      </c>
      <c r="N172" s="85">
        <v>12312.58</v>
      </c>
      <c r="O172" s="85">
        <v>12312.58</v>
      </c>
      <c r="P172" s="85">
        <v>12312.58</v>
      </c>
      <c r="Q172" s="85">
        <v>12312.58</v>
      </c>
      <c r="R172" s="85">
        <v>12312.58</v>
      </c>
      <c r="S172" s="85">
        <v>12312.58</v>
      </c>
      <c r="T172" s="85">
        <v>12312.58</v>
      </c>
      <c r="U172" s="85">
        <v>12312.58</v>
      </c>
      <c r="V172" s="85">
        <v>12312.58</v>
      </c>
      <c r="W172" s="85">
        <v>12312.58</v>
      </c>
    </row>
    <row r="173" spans="1:23">
      <c r="A173" s="84">
        <v>0</v>
      </c>
      <c r="B173" s="84">
        <v>2012</v>
      </c>
      <c r="C173" s="84">
        <v>1042</v>
      </c>
      <c r="D173" s="84">
        <v>280328</v>
      </c>
      <c r="E173" s="84" t="str">
        <f t="shared" si="2"/>
        <v>2284000122092280328</v>
      </c>
      <c r="F173" s="84" t="str">
        <f>VLOOKUP(E173,zJARS_Allockeys!A:G,7,FALSE)</f>
        <v>NUTIL</v>
      </c>
      <c r="G173" s="84">
        <v>2284000</v>
      </c>
      <c r="H173" s="84">
        <v>122092</v>
      </c>
      <c r="I173" s="84">
        <v>280328</v>
      </c>
      <c r="J173" s="84">
        <v>1000</v>
      </c>
      <c r="K173" s="85">
        <v>12312.58</v>
      </c>
      <c r="L173" s="85">
        <v>12312.58</v>
      </c>
      <c r="M173" s="85">
        <v>12312.58</v>
      </c>
      <c r="N173" s="85">
        <v>12312.58</v>
      </c>
      <c r="O173" s="85">
        <v>12312.58</v>
      </c>
      <c r="P173" s="85">
        <v>12312.58</v>
      </c>
      <c r="Q173" s="85">
        <v>12312.58</v>
      </c>
      <c r="R173" s="85">
        <v>12312.58</v>
      </c>
      <c r="S173" s="85">
        <v>12312.58</v>
      </c>
      <c r="T173" s="85">
        <v>12312.58</v>
      </c>
      <c r="U173" s="85">
        <v>12312.58</v>
      </c>
      <c r="V173" s="85">
        <v>12312.58</v>
      </c>
      <c r="W173" s="85">
        <v>12312.58</v>
      </c>
    </row>
    <row r="174" spans="1:23">
      <c r="A174" s="84">
        <v>0</v>
      </c>
      <c r="B174" s="84">
        <v>2012</v>
      </c>
      <c r="C174" s="84">
        <v>1042</v>
      </c>
      <c r="D174" s="84">
        <v>280355</v>
      </c>
      <c r="E174" s="84" t="str">
        <f t="shared" si="2"/>
        <v>22835001280355</v>
      </c>
      <c r="F174" s="84" t="str">
        <f>VLOOKUP(E174,zJARS_Allockeys!A:G,7,FALSE)</f>
        <v>NUTIL</v>
      </c>
      <c r="G174" s="84">
        <v>2283500</v>
      </c>
      <c r="H174" s="84">
        <v>1</v>
      </c>
      <c r="I174" s="84">
        <v>280355</v>
      </c>
      <c r="J174" s="84">
        <v>1000</v>
      </c>
      <c r="K174" s="85">
        <v>303834259</v>
      </c>
      <c r="L174" s="85">
        <v>303834259</v>
      </c>
      <c r="M174" s="85">
        <v>303834259</v>
      </c>
      <c r="N174" s="85">
        <v>303834259</v>
      </c>
      <c r="O174" s="85">
        <v>303834259</v>
      </c>
      <c r="P174" s="85">
        <v>303834259</v>
      </c>
      <c r="Q174" s="85">
        <v>303834259</v>
      </c>
      <c r="R174" s="85">
        <v>303834259</v>
      </c>
      <c r="S174" s="85">
        <v>303834259</v>
      </c>
      <c r="T174" s="85">
        <v>303834259</v>
      </c>
      <c r="U174" s="85">
        <v>303834259</v>
      </c>
      <c r="V174" s="85">
        <v>303834259</v>
      </c>
      <c r="W174" s="85">
        <v>303834259</v>
      </c>
    </row>
    <row r="175" spans="1:23">
      <c r="A175" s="84">
        <v>0</v>
      </c>
      <c r="B175" s="84">
        <v>2012</v>
      </c>
      <c r="C175" s="84">
        <v>1042</v>
      </c>
      <c r="D175" s="84">
        <v>280455</v>
      </c>
      <c r="E175" s="84" t="str">
        <f t="shared" si="2"/>
        <v>22834001280455</v>
      </c>
      <c r="F175" s="84" t="str">
        <f>VLOOKUP(E175,zJARS_Allockeys!A:G,7,FALSE)</f>
        <v>NUTIL</v>
      </c>
      <c r="G175" s="84">
        <v>2283400</v>
      </c>
      <c r="H175" s="84">
        <v>1</v>
      </c>
      <c r="I175" s="84">
        <v>280455</v>
      </c>
      <c r="J175" s="84">
        <v>1000</v>
      </c>
      <c r="K175" s="85">
        <v>5086394.83</v>
      </c>
      <c r="L175" s="85">
        <v>5086394.83</v>
      </c>
      <c r="M175" s="85">
        <v>5086394.83</v>
      </c>
      <c r="N175" s="85">
        <v>5389696.0999999996</v>
      </c>
      <c r="O175" s="85">
        <v>5391692.7599999998</v>
      </c>
      <c r="P175" s="85">
        <v>5439589.3099999996</v>
      </c>
      <c r="Q175" s="85">
        <v>5799773.8599999994</v>
      </c>
      <c r="R175" s="85">
        <v>5799773.8599999994</v>
      </c>
      <c r="S175" s="85">
        <v>5801792.1499999994</v>
      </c>
      <c r="T175" s="85">
        <v>6173540.2399999993</v>
      </c>
      <c r="U175" s="85">
        <v>6173540.2399999993</v>
      </c>
      <c r="V175" s="85">
        <v>6181532.4099999992</v>
      </c>
      <c r="W175" s="85">
        <v>8956335.3200000003</v>
      </c>
    </row>
    <row r="176" spans="1:23">
      <c r="A176" s="84">
        <v>0</v>
      </c>
      <c r="B176" s="84">
        <v>2012</v>
      </c>
      <c r="C176" s="84">
        <v>1042</v>
      </c>
      <c r="D176" s="84">
        <v>280465</v>
      </c>
      <c r="E176" s="84" t="str">
        <f t="shared" si="2"/>
        <v>22835001280465</v>
      </c>
      <c r="F176" s="84" t="str">
        <f>VLOOKUP(E176,zJARS_Allockeys!A:G,7,FALSE)</f>
        <v>NUTIL</v>
      </c>
      <c r="G176" s="84">
        <v>2283500</v>
      </c>
      <c r="H176" s="84">
        <v>1</v>
      </c>
      <c r="I176" s="84">
        <v>280465</v>
      </c>
      <c r="J176" s="84">
        <v>1000</v>
      </c>
      <c r="K176" s="85">
        <v>16558420.189999999</v>
      </c>
      <c r="L176" s="85">
        <v>16908724.41</v>
      </c>
      <c r="M176" s="85">
        <v>17259028.629999999</v>
      </c>
      <c r="N176" s="85">
        <v>17609332.849999998</v>
      </c>
      <c r="O176" s="85">
        <v>17959637.069999997</v>
      </c>
      <c r="P176" s="85">
        <v>18309941.289999995</v>
      </c>
      <c r="Q176" s="85">
        <v>18658340.369999994</v>
      </c>
      <c r="R176" s="85">
        <v>19006739.449999992</v>
      </c>
      <c r="S176" s="85">
        <v>19355138.52999999</v>
      </c>
      <c r="T176" s="85">
        <v>19703537.609999988</v>
      </c>
      <c r="U176" s="85">
        <v>20049855.689999986</v>
      </c>
      <c r="V176" s="85">
        <v>20396173.769999985</v>
      </c>
      <c r="W176" s="85">
        <v>20742491.849999983</v>
      </c>
    </row>
    <row r="177" spans="1:23">
      <c r="A177" s="84">
        <v>0</v>
      </c>
      <c r="B177" s="84">
        <v>2012</v>
      </c>
      <c r="C177" s="84">
        <v>1170</v>
      </c>
      <c r="D177" s="84">
        <v>280479</v>
      </c>
      <c r="E177" s="84" t="str">
        <f t="shared" si="2"/>
        <v>22835001034280479</v>
      </c>
      <c r="F177" s="84" t="str">
        <f>VLOOKUP(E177,zJARS_Allockeys!A:G,7,FALSE)</f>
        <v>NUTIL</v>
      </c>
      <c r="G177" s="84">
        <v>2283500</v>
      </c>
      <c r="H177" s="84">
        <v>1034</v>
      </c>
      <c r="I177" s="84">
        <v>280479</v>
      </c>
      <c r="J177" s="84">
        <v>1000</v>
      </c>
      <c r="K177" s="85">
        <v>184768000</v>
      </c>
      <c r="L177" s="85">
        <v>188859000</v>
      </c>
      <c r="M177" s="85">
        <v>192950000</v>
      </c>
      <c r="N177" s="85">
        <v>197041000</v>
      </c>
      <c r="O177" s="85">
        <v>201132000</v>
      </c>
      <c r="P177" s="85">
        <v>205223000</v>
      </c>
      <c r="Q177" s="85">
        <v>209314000</v>
      </c>
      <c r="R177" s="85">
        <v>213405000</v>
      </c>
      <c r="S177" s="85">
        <v>217496000</v>
      </c>
      <c r="T177" s="85">
        <v>221587000</v>
      </c>
      <c r="U177" s="85">
        <v>225678000</v>
      </c>
      <c r="V177" s="85">
        <v>230166664.41999999</v>
      </c>
      <c r="W177" s="85">
        <v>234164762.72999999</v>
      </c>
    </row>
    <row r="178" spans="1:23">
      <c r="A178" s="84">
        <v>0</v>
      </c>
      <c r="B178" s="84">
        <v>2012</v>
      </c>
      <c r="C178" s="84">
        <v>1170</v>
      </c>
      <c r="D178" s="84">
        <v>280479</v>
      </c>
      <c r="E178" s="84" t="str">
        <f t="shared" si="2"/>
        <v>242000010340</v>
      </c>
      <c r="F178" s="84" t="str">
        <f>VLOOKUP(E178,zJARS_Allockeys!A:G,7,FALSE)</f>
        <v>NUTIL</v>
      </c>
      <c r="G178" s="84">
        <v>2420000</v>
      </c>
      <c r="H178" s="84">
        <v>1034</v>
      </c>
      <c r="I178" s="84">
        <v>0</v>
      </c>
      <c r="J178" s="84">
        <v>1000</v>
      </c>
      <c r="K178" s="85">
        <v>16000000</v>
      </c>
      <c r="L178" s="85">
        <v>16000000</v>
      </c>
      <c r="M178" s="85">
        <v>16000000</v>
      </c>
      <c r="N178" s="85">
        <v>16000000</v>
      </c>
      <c r="O178" s="85">
        <v>16000000</v>
      </c>
      <c r="P178" s="85">
        <v>16000000</v>
      </c>
      <c r="Q178" s="85">
        <v>16000000</v>
      </c>
      <c r="R178" s="85">
        <v>16000000</v>
      </c>
      <c r="S178" s="85">
        <v>16000000</v>
      </c>
      <c r="T178" s="85">
        <v>16000000</v>
      </c>
      <c r="U178" s="85">
        <v>16000000</v>
      </c>
      <c r="V178" s="85">
        <v>16000000</v>
      </c>
      <c r="W178" s="85">
        <v>16000000</v>
      </c>
    </row>
    <row r="179" spans="1:23">
      <c r="A179" s="84">
        <v>0</v>
      </c>
      <c r="B179" s="84">
        <v>2012</v>
      </c>
      <c r="C179" s="84">
        <v>1196</v>
      </c>
      <c r="D179" s="84">
        <v>280328</v>
      </c>
      <c r="E179" s="84" t="str">
        <f t="shared" si="2"/>
        <v>22834001280328</v>
      </c>
      <c r="F179" s="84" t="str">
        <f>VLOOKUP(E179,zJARS_Allockeys!A:G,7,FALSE)</f>
        <v>NUTIL</v>
      </c>
      <c r="G179" s="84">
        <v>2283400</v>
      </c>
      <c r="H179" s="84">
        <v>1</v>
      </c>
      <c r="I179" s="84">
        <v>280328</v>
      </c>
      <c r="J179" s="84">
        <v>1000</v>
      </c>
      <c r="K179" s="85">
        <v>94320.05</v>
      </c>
      <c r="L179" s="85">
        <v>94320.05</v>
      </c>
      <c r="M179" s="85">
        <v>94320.05</v>
      </c>
      <c r="N179" s="85">
        <v>94320.05</v>
      </c>
      <c r="O179" s="85">
        <v>94320.05</v>
      </c>
      <c r="P179" s="85">
        <v>94320.05</v>
      </c>
      <c r="Q179" s="85">
        <v>94320.05</v>
      </c>
      <c r="R179" s="85">
        <v>94320.05</v>
      </c>
      <c r="S179" s="85">
        <v>94320.05</v>
      </c>
      <c r="T179" s="85">
        <v>94320.05</v>
      </c>
      <c r="U179" s="85">
        <v>94320.05</v>
      </c>
      <c r="V179" s="85">
        <v>94320.05</v>
      </c>
      <c r="W179" s="85">
        <v>94320.05</v>
      </c>
    </row>
    <row r="180" spans="1:23">
      <c r="A180" s="84">
        <v>0</v>
      </c>
      <c r="B180" s="84">
        <v>2012</v>
      </c>
      <c r="C180" s="84">
        <v>1200</v>
      </c>
      <c r="D180" s="84">
        <v>187017</v>
      </c>
      <c r="E180" s="84" t="str">
        <f t="shared" si="2"/>
        <v>18238701111610</v>
      </c>
      <c r="F180" s="84" t="str">
        <f>VLOOKUP(E180,zJARS_Allockeys!A:G,7,FALSE)</f>
        <v>NUTIL</v>
      </c>
      <c r="G180" s="84">
        <v>1823870</v>
      </c>
      <c r="H180" s="84">
        <v>1</v>
      </c>
      <c r="I180" s="84">
        <v>111610</v>
      </c>
      <c r="J180" s="84">
        <v>1000</v>
      </c>
      <c r="K180" s="85">
        <v>409985025.17000002</v>
      </c>
      <c r="L180" s="85">
        <v>409985025.17000002</v>
      </c>
      <c r="M180" s="85">
        <v>409985025.17000002</v>
      </c>
      <c r="N180" s="85">
        <v>409985025.17000002</v>
      </c>
      <c r="O180" s="85">
        <v>409985025.17000002</v>
      </c>
      <c r="P180" s="85">
        <v>409985025.17000002</v>
      </c>
      <c r="Q180" s="85">
        <v>409985025.17000002</v>
      </c>
      <c r="R180" s="85">
        <v>409985025.17000002</v>
      </c>
      <c r="S180" s="85">
        <v>409985025.17000002</v>
      </c>
      <c r="T180" s="85">
        <v>409985025.17000002</v>
      </c>
      <c r="U180" s="85">
        <v>409985025.17000002</v>
      </c>
      <c r="V180" s="85">
        <v>409985025.17000002</v>
      </c>
      <c r="W180" s="85">
        <v>409985025.17000002</v>
      </c>
    </row>
    <row r="181" spans="1:23">
      <c r="A181" s="84">
        <v>0</v>
      </c>
      <c r="B181" s="84">
        <v>2012</v>
      </c>
      <c r="C181" s="84">
        <v>1200</v>
      </c>
      <c r="D181" s="84">
        <v>187017</v>
      </c>
      <c r="E181" s="84" t="str">
        <f t="shared" si="2"/>
        <v>18238701187017</v>
      </c>
      <c r="F181" s="84" t="str">
        <f>VLOOKUP(E181,zJARS_Allockeys!A:G,7,FALSE)</f>
        <v>NUTIL</v>
      </c>
      <c r="G181" s="84">
        <v>1823870</v>
      </c>
      <c r="H181" s="84">
        <v>1</v>
      </c>
      <c r="I181" s="84">
        <v>187017</v>
      </c>
      <c r="J181" s="84">
        <v>1000</v>
      </c>
      <c r="K181" s="85">
        <v>1021250947.5</v>
      </c>
      <c r="L181" s="85">
        <v>1021261507.34</v>
      </c>
      <c r="M181" s="85">
        <v>1021327306.7800001</v>
      </c>
      <c r="N181" s="85">
        <v>1021365486.4200001</v>
      </c>
      <c r="O181" s="85">
        <v>1021403666.0600001</v>
      </c>
      <c r="P181" s="85">
        <v>1021441845.7</v>
      </c>
      <c r="Q181" s="85">
        <v>1021480025.34</v>
      </c>
      <c r="R181" s="85">
        <v>1021518204.98</v>
      </c>
      <c r="S181" s="85">
        <v>1021914815.88</v>
      </c>
      <c r="T181" s="85">
        <v>1021920383.8</v>
      </c>
      <c r="U181" s="85">
        <v>1021938479.3599999</v>
      </c>
      <c r="V181" s="85">
        <v>1021956574.9199998</v>
      </c>
      <c r="W181" s="85">
        <v>1175154670.6099999</v>
      </c>
    </row>
    <row r="182" spans="1:23">
      <c r="A182" s="84">
        <v>0</v>
      </c>
      <c r="B182" s="84">
        <v>2012</v>
      </c>
      <c r="C182" s="84">
        <v>1200</v>
      </c>
      <c r="D182" s="84">
        <v>187600</v>
      </c>
      <c r="E182" s="84" t="str">
        <f t="shared" si="2"/>
        <v>18238701187600</v>
      </c>
      <c r="F182" s="84" t="str">
        <f>VLOOKUP(E182,zJARS_Allockeys!A:G,7,FALSE)</f>
        <v>NUTIL</v>
      </c>
      <c r="G182" s="84">
        <v>1823870</v>
      </c>
      <c r="H182" s="84">
        <v>1</v>
      </c>
      <c r="I182" s="84">
        <v>187600</v>
      </c>
      <c r="J182" s="84">
        <v>1000</v>
      </c>
      <c r="K182" s="85">
        <v>4324488.9000000004</v>
      </c>
      <c r="L182" s="85">
        <v>4409041.6900000004</v>
      </c>
      <c r="M182" s="85">
        <v>4493594.49</v>
      </c>
      <c r="N182" s="85">
        <v>4578147.29</v>
      </c>
      <c r="O182" s="85">
        <v>4662700.09</v>
      </c>
      <c r="P182" s="85">
        <v>4747252.88</v>
      </c>
      <c r="Q182" s="85">
        <v>4831805.68</v>
      </c>
      <c r="R182" s="85">
        <v>4916358.4799999995</v>
      </c>
      <c r="S182" s="85">
        <v>5000911.2799999993</v>
      </c>
      <c r="T182" s="85">
        <v>5085464.0699999994</v>
      </c>
      <c r="U182" s="85">
        <v>5170016.8699999992</v>
      </c>
      <c r="V182" s="85">
        <v>5254569.669999999</v>
      </c>
      <c r="W182" s="85">
        <v>5339122.4699999988</v>
      </c>
    </row>
    <row r="183" spans="1:23">
      <c r="A183" s="84">
        <v>0</v>
      </c>
      <c r="B183" s="84">
        <v>2012</v>
      </c>
      <c r="C183" s="84">
        <v>1200</v>
      </c>
      <c r="D183" s="84">
        <v>187602</v>
      </c>
      <c r="E183" s="84" t="str">
        <f t="shared" si="2"/>
        <v>18238701187602</v>
      </c>
      <c r="F183" s="84" t="str">
        <f>VLOOKUP(E183,zJARS_Allockeys!A:G,7,FALSE)</f>
        <v>NUTIL</v>
      </c>
      <c r="G183" s="84">
        <v>1823870</v>
      </c>
      <c r="H183" s="84">
        <v>1</v>
      </c>
      <c r="I183" s="84">
        <v>187602</v>
      </c>
      <c r="J183" s="84">
        <v>1000</v>
      </c>
      <c r="K183" s="85">
        <v>2893084.59</v>
      </c>
      <c r="L183" s="85">
        <v>2893084.59</v>
      </c>
      <c r="M183" s="85">
        <v>2893084.59</v>
      </c>
      <c r="N183" s="85">
        <v>2893084.59</v>
      </c>
      <c r="O183" s="85">
        <v>2893084.59</v>
      </c>
      <c r="P183" s="85">
        <v>2893084.59</v>
      </c>
      <c r="Q183" s="85">
        <v>2893084.59</v>
      </c>
      <c r="R183" s="85">
        <v>2893084.59</v>
      </c>
      <c r="S183" s="85">
        <v>2893084.59</v>
      </c>
      <c r="T183" s="85">
        <v>2893084.59</v>
      </c>
      <c r="U183" s="85">
        <v>2893084.59</v>
      </c>
      <c r="V183" s="85">
        <v>2893084.59</v>
      </c>
      <c r="W183" s="85">
        <v>2893084.59</v>
      </c>
    </row>
    <row r="184" spans="1:23">
      <c r="A184" s="84">
        <v>0</v>
      </c>
      <c r="B184" s="84">
        <v>2012</v>
      </c>
      <c r="C184" s="84">
        <v>1200</v>
      </c>
      <c r="D184" s="84">
        <v>187604</v>
      </c>
      <c r="E184" s="84" t="str">
        <f t="shared" si="2"/>
        <v>18238701187604</v>
      </c>
      <c r="F184" s="84" t="str">
        <f>VLOOKUP(E184,zJARS_Allockeys!A:G,7,FALSE)</f>
        <v>NUTIL</v>
      </c>
      <c r="G184" s="84">
        <v>1823870</v>
      </c>
      <c r="H184" s="84">
        <v>1</v>
      </c>
      <c r="I184" s="84">
        <v>187604</v>
      </c>
      <c r="J184" s="84">
        <v>1000</v>
      </c>
      <c r="K184" s="85">
        <v>350054.54</v>
      </c>
      <c r="L184" s="85">
        <v>357611.08999999997</v>
      </c>
      <c r="M184" s="85">
        <v>365167.64999999997</v>
      </c>
      <c r="N184" s="85">
        <v>372724.20999999996</v>
      </c>
      <c r="O184" s="85">
        <v>380280.76999999996</v>
      </c>
      <c r="P184" s="85">
        <v>387837.31999999995</v>
      </c>
      <c r="Q184" s="85">
        <v>395393.87999999995</v>
      </c>
      <c r="R184" s="85">
        <v>402950.43999999994</v>
      </c>
      <c r="S184" s="85">
        <v>410506.99999999994</v>
      </c>
      <c r="T184" s="85">
        <v>418063.54999999993</v>
      </c>
      <c r="U184" s="85">
        <v>425620.10999999993</v>
      </c>
      <c r="V184" s="85">
        <v>433487.05999999994</v>
      </c>
      <c r="W184" s="85">
        <v>441147.07999999996</v>
      </c>
    </row>
    <row r="185" spans="1:23">
      <c r="A185" s="84">
        <v>0</v>
      </c>
      <c r="B185" s="84">
        <v>2012</v>
      </c>
      <c r="C185" s="84">
        <v>1200</v>
      </c>
      <c r="D185" s="84">
        <v>187605</v>
      </c>
      <c r="E185" s="84" t="str">
        <f t="shared" si="2"/>
        <v>18238701187605</v>
      </c>
      <c r="F185" s="84" t="str">
        <f>VLOOKUP(E185,zJARS_Allockeys!A:G,7,FALSE)</f>
        <v>NUTIL</v>
      </c>
      <c r="G185" s="84">
        <v>1823870</v>
      </c>
      <c r="H185" s="84">
        <v>1</v>
      </c>
      <c r="I185" s="84">
        <v>187605</v>
      </c>
      <c r="J185" s="84">
        <v>1000</v>
      </c>
      <c r="K185" s="85">
        <v>4439519.6500000004</v>
      </c>
      <c r="L185" s="85">
        <v>4524349.8900000006</v>
      </c>
      <c r="M185" s="85">
        <v>4609180.1400000006</v>
      </c>
      <c r="N185" s="85">
        <v>4694010.3900000006</v>
      </c>
      <c r="O185" s="85">
        <v>4778840.6400000006</v>
      </c>
      <c r="P185" s="85">
        <v>4863670.8800000008</v>
      </c>
      <c r="Q185" s="85">
        <v>4948501.1300000008</v>
      </c>
      <c r="R185" s="85">
        <v>5033331.3800000008</v>
      </c>
      <c r="S185" s="85">
        <v>5118161.6300000008</v>
      </c>
      <c r="T185" s="85">
        <v>5202991.870000001</v>
      </c>
      <c r="U185" s="85">
        <v>5287822.120000001</v>
      </c>
      <c r="V185" s="85">
        <v>5372652.370000001</v>
      </c>
      <c r="W185" s="85">
        <v>5457482.620000001</v>
      </c>
    </row>
    <row r="186" spans="1:23">
      <c r="A186" s="84">
        <v>0</v>
      </c>
      <c r="B186" s="84">
        <v>2012</v>
      </c>
      <c r="C186" s="84">
        <v>1200</v>
      </c>
      <c r="D186" s="84">
        <v>187621</v>
      </c>
      <c r="E186" s="84" t="str">
        <f t="shared" si="2"/>
        <v>18238701114020</v>
      </c>
      <c r="F186" s="84" t="str">
        <f>VLOOKUP(E186,zJARS_Allockeys!A:G,7,FALSE)</f>
        <v>NUTIL</v>
      </c>
      <c r="G186" s="84">
        <v>1823870</v>
      </c>
      <c r="H186" s="84">
        <v>1</v>
      </c>
      <c r="I186" s="84">
        <v>114020</v>
      </c>
      <c r="J186" s="84">
        <v>1000</v>
      </c>
      <c r="K186" s="85">
        <v>206435569.09</v>
      </c>
      <c r="L186" s="85">
        <v>206435569.09</v>
      </c>
      <c r="M186" s="85">
        <v>206435569.09</v>
      </c>
      <c r="N186" s="85">
        <v>206435569.09</v>
      </c>
      <c r="O186" s="85">
        <v>206435569.09</v>
      </c>
      <c r="P186" s="85">
        <v>206435569.09</v>
      </c>
      <c r="Q186" s="85">
        <v>206435569.09</v>
      </c>
      <c r="R186" s="85">
        <v>206435569.09</v>
      </c>
      <c r="S186" s="85">
        <v>206435569.09</v>
      </c>
      <c r="T186" s="85">
        <v>206435569.09</v>
      </c>
      <c r="U186" s="85">
        <v>206435569.09</v>
      </c>
      <c r="V186" s="85">
        <v>206435569.09</v>
      </c>
      <c r="W186" s="85">
        <v>206435569.09</v>
      </c>
    </row>
    <row r="187" spans="1:23">
      <c r="A187" s="84">
        <v>0</v>
      </c>
      <c r="B187" s="84">
        <v>2012</v>
      </c>
      <c r="C187" s="84">
        <v>1200</v>
      </c>
      <c r="D187" s="84">
        <v>187621</v>
      </c>
      <c r="E187" s="84" t="str">
        <f t="shared" si="2"/>
        <v>18238701187621</v>
      </c>
      <c r="F187" s="84" t="str">
        <f>VLOOKUP(E187,zJARS_Allockeys!A:G,7,FALSE)</f>
        <v>NUTIL</v>
      </c>
      <c r="G187" s="84">
        <v>1823870</v>
      </c>
      <c r="H187" s="84">
        <v>1</v>
      </c>
      <c r="I187" s="84">
        <v>187621</v>
      </c>
      <c r="J187" s="84">
        <v>1000</v>
      </c>
      <c r="K187" s="85">
        <v>302492518.88</v>
      </c>
      <c r="L187" s="85">
        <v>302492518.88</v>
      </c>
      <c r="M187" s="85">
        <v>302564988.64999998</v>
      </c>
      <c r="N187" s="85">
        <v>302564988.64999998</v>
      </c>
      <c r="O187" s="85">
        <v>302564988.64999998</v>
      </c>
      <c r="P187" s="85">
        <v>302564988.64999998</v>
      </c>
      <c r="Q187" s="85">
        <v>302564988.64999998</v>
      </c>
      <c r="R187" s="85">
        <v>302564988.64999998</v>
      </c>
      <c r="S187" s="85">
        <v>302688805.08999997</v>
      </c>
      <c r="T187" s="85">
        <v>302709286.04999995</v>
      </c>
      <c r="U187" s="85">
        <v>302709286.04999995</v>
      </c>
      <c r="V187" s="85">
        <v>302709286.04999995</v>
      </c>
      <c r="W187" s="85">
        <v>318333286.01999998</v>
      </c>
    </row>
    <row r="188" spans="1:23">
      <c r="A188" s="84">
        <v>0</v>
      </c>
      <c r="B188" s="84">
        <v>2012</v>
      </c>
      <c r="C188" s="84">
        <v>1200</v>
      </c>
      <c r="D188" s="84">
        <v>187622</v>
      </c>
      <c r="E188" s="84" t="str">
        <f t="shared" si="2"/>
        <v>18238701187622</v>
      </c>
      <c r="F188" s="84" t="str">
        <f>VLOOKUP(E188,zJARS_Allockeys!A:G,7,FALSE)</f>
        <v>NUTIL</v>
      </c>
      <c r="G188" s="84">
        <v>1823870</v>
      </c>
      <c r="H188" s="84">
        <v>1</v>
      </c>
      <c r="I188" s="84">
        <v>187622</v>
      </c>
      <c r="J188" s="84">
        <v>1000</v>
      </c>
      <c r="K188" s="85">
        <v>1999751.17</v>
      </c>
      <c r="L188" s="85">
        <v>1999751.17</v>
      </c>
      <c r="M188" s="85">
        <v>1999751.17</v>
      </c>
      <c r="N188" s="85">
        <v>1999751.17</v>
      </c>
      <c r="O188" s="85">
        <v>1999751.17</v>
      </c>
      <c r="P188" s="85">
        <v>1999751.17</v>
      </c>
      <c r="Q188" s="85">
        <v>1999751.17</v>
      </c>
      <c r="R188" s="85">
        <v>1999751.17</v>
      </c>
      <c r="S188" s="85">
        <v>1999751.17</v>
      </c>
      <c r="T188" s="85">
        <v>1999751.17</v>
      </c>
      <c r="U188" s="85">
        <v>1999751.17</v>
      </c>
      <c r="V188" s="85">
        <v>1999751.17</v>
      </c>
      <c r="W188" s="85">
        <v>1999751.17</v>
      </c>
    </row>
    <row r="189" spans="1:23">
      <c r="A189" s="84">
        <v>0</v>
      </c>
      <c r="B189" s="84">
        <v>2012</v>
      </c>
      <c r="C189" s="84">
        <v>1200</v>
      </c>
      <c r="D189" s="84">
        <v>187624</v>
      </c>
      <c r="E189" s="84" t="str">
        <f t="shared" si="2"/>
        <v>18238701187624</v>
      </c>
      <c r="F189" s="84" t="str">
        <f>VLOOKUP(E189,zJARS_Allockeys!A:G,7,FALSE)</f>
        <v>NUTIL</v>
      </c>
      <c r="G189" s="84">
        <v>1823870</v>
      </c>
      <c r="H189" s="84">
        <v>1</v>
      </c>
      <c r="I189" s="84">
        <v>187624</v>
      </c>
      <c r="J189" s="84">
        <v>1000</v>
      </c>
      <c r="K189" s="85">
        <v>2846825.24</v>
      </c>
      <c r="L189" s="85">
        <v>2846825.24</v>
      </c>
      <c r="M189" s="85">
        <v>2846825.24</v>
      </c>
      <c r="N189" s="85">
        <v>2846825.24</v>
      </c>
      <c r="O189" s="85">
        <v>2846825.24</v>
      </c>
      <c r="P189" s="85">
        <v>2846825.24</v>
      </c>
      <c r="Q189" s="85">
        <v>2846825.24</v>
      </c>
      <c r="R189" s="85">
        <v>2846825.24</v>
      </c>
      <c r="S189" s="85">
        <v>2846825.24</v>
      </c>
      <c r="T189" s="85">
        <v>2846825.24</v>
      </c>
      <c r="U189" s="85">
        <v>2846825.24</v>
      </c>
      <c r="V189" s="85">
        <v>2846825.24</v>
      </c>
      <c r="W189" s="85">
        <v>2846825.24</v>
      </c>
    </row>
    <row r="190" spans="1:23">
      <c r="A190" s="84">
        <v>0</v>
      </c>
      <c r="B190" s="84">
        <v>2012</v>
      </c>
      <c r="C190" s="84">
        <v>1200</v>
      </c>
      <c r="D190" s="84">
        <v>187627</v>
      </c>
      <c r="E190" s="84" t="str">
        <f t="shared" si="2"/>
        <v>18238701187627</v>
      </c>
      <c r="F190" s="84" t="str">
        <f>VLOOKUP(E190,zJARS_Allockeys!A:G,7,FALSE)</f>
        <v>NUTIL</v>
      </c>
      <c r="G190" s="84">
        <v>1823870</v>
      </c>
      <c r="H190" s="84">
        <v>1</v>
      </c>
      <c r="I190" s="84">
        <v>187627</v>
      </c>
      <c r="J190" s="84">
        <v>1000</v>
      </c>
      <c r="K190" s="85">
        <v>172353.49</v>
      </c>
      <c r="L190" s="85">
        <v>172353.49</v>
      </c>
      <c r="M190" s="85">
        <v>172353.49</v>
      </c>
      <c r="N190" s="85">
        <v>172353.49</v>
      </c>
      <c r="O190" s="85">
        <v>172353.49</v>
      </c>
      <c r="P190" s="85">
        <v>172353.49</v>
      </c>
      <c r="Q190" s="85">
        <v>172353.49</v>
      </c>
      <c r="R190" s="85">
        <v>172353.49</v>
      </c>
      <c r="S190" s="85">
        <v>172353.49</v>
      </c>
      <c r="T190" s="85">
        <v>174205.75999999998</v>
      </c>
      <c r="U190" s="85">
        <v>174205.75999999998</v>
      </c>
      <c r="V190" s="85">
        <v>174205.75999999998</v>
      </c>
      <c r="W190" s="85">
        <v>174205.75999999998</v>
      </c>
    </row>
    <row r="191" spans="1:23">
      <c r="A191" s="84">
        <v>0</v>
      </c>
      <c r="B191" s="84">
        <v>2012</v>
      </c>
      <c r="C191" s="84">
        <v>1200</v>
      </c>
      <c r="D191" s="84">
        <v>280328</v>
      </c>
      <c r="E191" s="84" t="str">
        <f t="shared" si="2"/>
        <v>22834000</v>
      </c>
      <c r="F191" s="84" t="e">
        <f>VLOOKUP(E191,zJARS_Allockeys!A:G,7,FALSE)</f>
        <v>#N/A</v>
      </c>
      <c r="G191" s="84">
        <v>2283400</v>
      </c>
      <c r="H191" s="84">
        <v>0</v>
      </c>
      <c r="I191" s="84"/>
      <c r="J191" s="84">
        <v>1000</v>
      </c>
      <c r="K191" s="85">
        <v>2753875.33</v>
      </c>
      <c r="L191" s="85">
        <v>2753875.33</v>
      </c>
      <c r="M191" s="85">
        <v>2753875.33</v>
      </c>
      <c r="N191" s="85">
        <v>2753875.33</v>
      </c>
      <c r="O191" s="85">
        <v>2753875.33</v>
      </c>
      <c r="P191" s="85">
        <v>2753875.33</v>
      </c>
      <c r="Q191" s="85">
        <v>2753875.33</v>
      </c>
      <c r="R191" s="85">
        <v>2753875.33</v>
      </c>
      <c r="S191" s="85">
        <v>2753875.33</v>
      </c>
      <c r="T191" s="85">
        <v>2753875.33</v>
      </c>
      <c r="U191" s="85">
        <v>2753875.33</v>
      </c>
      <c r="V191" s="85">
        <v>2753875.33</v>
      </c>
      <c r="W191" s="85">
        <v>2753875.33</v>
      </c>
    </row>
    <row r="192" spans="1:23">
      <c r="A192" s="84">
        <v>0</v>
      </c>
      <c r="B192" s="84">
        <v>2012</v>
      </c>
      <c r="C192" s="84">
        <v>1200</v>
      </c>
      <c r="D192" s="84">
        <v>280328</v>
      </c>
      <c r="E192" s="84" t="str">
        <f t="shared" si="2"/>
        <v>22834000280328</v>
      </c>
      <c r="F192" s="84" t="e">
        <f>VLOOKUP(E192,zJARS_Allockeys!A:G,7,FALSE)</f>
        <v>#N/A</v>
      </c>
      <c r="G192" s="84">
        <v>2283400</v>
      </c>
      <c r="H192" s="84">
        <v>0</v>
      </c>
      <c r="I192" s="84">
        <v>280328</v>
      </c>
      <c r="J192" s="84">
        <v>1000</v>
      </c>
      <c r="K192" s="85">
        <v>182433</v>
      </c>
      <c r="L192" s="85">
        <v>182433</v>
      </c>
      <c r="M192" s="85">
        <v>182433</v>
      </c>
      <c r="N192" s="85">
        <v>182433</v>
      </c>
      <c r="O192" s="85">
        <v>182433</v>
      </c>
      <c r="P192" s="85">
        <v>182433</v>
      </c>
      <c r="Q192" s="85">
        <v>182433</v>
      </c>
      <c r="R192" s="85">
        <v>182433</v>
      </c>
      <c r="S192" s="85">
        <v>182433</v>
      </c>
      <c r="T192" s="85">
        <v>182433</v>
      </c>
      <c r="U192" s="85">
        <v>182433</v>
      </c>
      <c r="V192" s="85">
        <v>182433</v>
      </c>
      <c r="W192" s="85">
        <v>182433</v>
      </c>
    </row>
    <row r="193" spans="1:23">
      <c r="A193" s="84">
        <v>0</v>
      </c>
      <c r="B193" s="84">
        <v>2012</v>
      </c>
      <c r="C193" s="84">
        <v>1200</v>
      </c>
      <c r="D193" s="84">
        <v>280328</v>
      </c>
      <c r="E193" s="84" t="str">
        <f t="shared" si="2"/>
        <v>22834001280328</v>
      </c>
      <c r="F193" s="84" t="str">
        <f>VLOOKUP(E193,zJARS_Allockeys!A:G,7,FALSE)</f>
        <v>NUTIL</v>
      </c>
      <c r="G193" s="84">
        <v>2283400</v>
      </c>
      <c r="H193" s="84">
        <v>1</v>
      </c>
      <c r="I193" s="84">
        <v>280328</v>
      </c>
      <c r="J193" s="84">
        <v>1000</v>
      </c>
      <c r="K193" s="85">
        <v>67753.06</v>
      </c>
      <c r="L193" s="85">
        <v>67753.06</v>
      </c>
      <c r="M193" s="85">
        <v>67753.06</v>
      </c>
      <c r="N193" s="85">
        <v>67753.06</v>
      </c>
      <c r="O193" s="85">
        <v>67753.06</v>
      </c>
      <c r="P193" s="85">
        <v>67753.06</v>
      </c>
      <c r="Q193" s="85">
        <v>67753.06</v>
      </c>
      <c r="R193" s="85">
        <v>67753.06</v>
      </c>
      <c r="S193" s="85">
        <v>67753.06</v>
      </c>
      <c r="T193" s="85">
        <v>67753.06</v>
      </c>
      <c r="U193" s="85">
        <v>67753.06</v>
      </c>
      <c r="V193" s="85">
        <v>67753.06</v>
      </c>
      <c r="W193" s="85">
        <v>67753.06</v>
      </c>
    </row>
    <row r="194" spans="1:23">
      <c r="A194" s="84">
        <v>0</v>
      </c>
      <c r="B194" s="84">
        <v>2012</v>
      </c>
      <c r="C194" s="84">
        <v>1200</v>
      </c>
      <c r="D194" s="84">
        <v>280328</v>
      </c>
      <c r="E194" s="84" t="str">
        <f t="shared" si="2"/>
        <v>22834001280328</v>
      </c>
      <c r="F194" s="84" t="str">
        <f>VLOOKUP(E194,zJARS_Allockeys!A:G,7,FALSE)</f>
        <v>NUTIL</v>
      </c>
      <c r="G194" s="84">
        <v>2283400</v>
      </c>
      <c r="H194" s="84">
        <v>1</v>
      </c>
      <c r="I194" s="84">
        <v>280328</v>
      </c>
      <c r="J194" s="84">
        <v>1000</v>
      </c>
      <c r="K194" s="85">
        <v>59089571.829999998</v>
      </c>
      <c r="L194" s="85">
        <v>59774612.07</v>
      </c>
      <c r="M194" s="85">
        <v>60186833.229999997</v>
      </c>
      <c r="N194" s="85">
        <v>61159442.289999999</v>
      </c>
      <c r="O194" s="85">
        <v>62127741.789999999</v>
      </c>
      <c r="P194" s="85">
        <v>62893373.43</v>
      </c>
      <c r="Q194" s="85">
        <v>63677617.700000003</v>
      </c>
      <c r="R194" s="85">
        <v>64433597.75</v>
      </c>
      <c r="S194" s="85">
        <v>65181112.649999999</v>
      </c>
      <c r="T194" s="85">
        <v>65944557.409999996</v>
      </c>
      <c r="U194" s="85">
        <v>66688666.739999995</v>
      </c>
      <c r="V194" s="85">
        <v>67032467.239999995</v>
      </c>
      <c r="W194" s="85">
        <v>68149590.00999999</v>
      </c>
    </row>
    <row r="195" spans="1:23">
      <c r="A195" s="84">
        <v>0</v>
      </c>
      <c r="B195" s="84">
        <v>2012</v>
      </c>
      <c r="C195" s="84">
        <v>1200</v>
      </c>
      <c r="D195" s="84">
        <v>280328</v>
      </c>
      <c r="E195" s="84" t="str">
        <f t="shared" ref="E195:E258" si="3">+G195&amp;H195&amp;I195</f>
        <v>2283400122092280328</v>
      </c>
      <c r="F195" s="84" t="str">
        <f>VLOOKUP(E195,zJARS_Allockeys!A:G,7,FALSE)</f>
        <v>NUTIL</v>
      </c>
      <c r="G195" s="84">
        <v>2283400</v>
      </c>
      <c r="H195" s="84">
        <v>122092</v>
      </c>
      <c r="I195" s="84">
        <v>280328</v>
      </c>
      <c r="J195" s="84">
        <v>1000</v>
      </c>
      <c r="K195" s="85">
        <v>11566.21</v>
      </c>
      <c r="L195" s="85">
        <v>11566.21</v>
      </c>
      <c r="M195" s="85">
        <v>11566.21</v>
      </c>
      <c r="N195" s="85">
        <v>11566.21</v>
      </c>
      <c r="O195" s="85">
        <v>11566.21</v>
      </c>
      <c r="P195" s="85">
        <v>11566.21</v>
      </c>
      <c r="Q195" s="85">
        <v>11566.21</v>
      </c>
      <c r="R195" s="85">
        <v>11566.21</v>
      </c>
      <c r="S195" s="85">
        <v>11566.21</v>
      </c>
      <c r="T195" s="85">
        <v>11566.21</v>
      </c>
      <c r="U195" s="85">
        <v>11566.21</v>
      </c>
      <c r="V195" s="85">
        <v>11566.21</v>
      </c>
      <c r="W195" s="85">
        <v>11566.21</v>
      </c>
    </row>
    <row r="196" spans="1:23">
      <c r="A196" s="84">
        <v>0</v>
      </c>
      <c r="B196" s="84">
        <v>2012</v>
      </c>
      <c r="C196" s="84">
        <v>1200</v>
      </c>
      <c r="D196" s="84">
        <v>280328</v>
      </c>
      <c r="E196" s="84" t="str">
        <f t="shared" si="3"/>
        <v>2283400122092280328</v>
      </c>
      <c r="F196" s="84" t="str">
        <f>VLOOKUP(E196,zJARS_Allockeys!A:G,7,FALSE)</f>
        <v>NUTIL</v>
      </c>
      <c r="G196" s="84">
        <v>2283400</v>
      </c>
      <c r="H196" s="84">
        <v>122092</v>
      </c>
      <c r="I196" s="84">
        <v>280328</v>
      </c>
      <c r="J196" s="84">
        <v>1000</v>
      </c>
      <c r="K196" s="85">
        <v>162492.54999999999</v>
      </c>
      <c r="L196" s="85">
        <v>162492.54999999999</v>
      </c>
      <c r="M196" s="85">
        <v>162492.54999999999</v>
      </c>
      <c r="N196" s="85">
        <v>162492.54999999999</v>
      </c>
      <c r="O196" s="85">
        <v>162492.54999999999</v>
      </c>
      <c r="P196" s="85">
        <v>162492.54999999999</v>
      </c>
      <c r="Q196" s="85">
        <v>162492.54999999999</v>
      </c>
      <c r="R196" s="85">
        <v>162492.54999999999</v>
      </c>
      <c r="S196" s="85">
        <v>162492.54999999999</v>
      </c>
      <c r="T196" s="85">
        <v>162492.54999999999</v>
      </c>
      <c r="U196" s="85">
        <v>162492.54999999999</v>
      </c>
      <c r="V196" s="85">
        <v>162492.54999999999</v>
      </c>
      <c r="W196" s="85">
        <v>162492.54999999999</v>
      </c>
    </row>
    <row r="197" spans="1:23">
      <c r="A197" s="84">
        <v>0</v>
      </c>
      <c r="B197" s="84">
        <v>2012</v>
      </c>
      <c r="C197" s="84">
        <v>1200</v>
      </c>
      <c r="D197" s="84">
        <v>280328</v>
      </c>
      <c r="E197" s="84" t="str">
        <f t="shared" si="3"/>
        <v>22840000</v>
      </c>
      <c r="F197" s="84" t="e">
        <f>VLOOKUP(E197,zJARS_Allockeys!A:G,7,FALSE)</f>
        <v>#N/A</v>
      </c>
      <c r="G197" s="84">
        <v>2284000</v>
      </c>
      <c r="H197" s="84">
        <v>0</v>
      </c>
      <c r="I197" s="84"/>
      <c r="J197" s="84">
        <v>1000</v>
      </c>
      <c r="K197" s="85">
        <v>12312.58</v>
      </c>
      <c r="L197" s="85">
        <v>12312.58</v>
      </c>
      <c r="M197" s="85">
        <v>12312.58</v>
      </c>
      <c r="N197" s="85">
        <v>12312.58</v>
      </c>
      <c r="O197" s="85">
        <v>12312.58</v>
      </c>
      <c r="P197" s="85">
        <v>12312.58</v>
      </c>
      <c r="Q197" s="85">
        <v>12312.58</v>
      </c>
      <c r="R197" s="85">
        <v>12312.58</v>
      </c>
      <c r="S197" s="85">
        <v>12312.58</v>
      </c>
      <c r="T197" s="85">
        <v>12312.58</v>
      </c>
      <c r="U197" s="85">
        <v>12312.58</v>
      </c>
      <c r="V197" s="85">
        <v>12312.58</v>
      </c>
      <c r="W197" s="85">
        <v>12312.58</v>
      </c>
    </row>
    <row r="198" spans="1:23">
      <c r="A198" s="84">
        <v>0</v>
      </c>
      <c r="B198" s="84">
        <v>2012</v>
      </c>
      <c r="C198" s="84">
        <v>1200</v>
      </c>
      <c r="D198" s="84">
        <v>280329</v>
      </c>
      <c r="E198" s="84" t="str">
        <f t="shared" si="3"/>
        <v>22834001280329</v>
      </c>
      <c r="F198" s="84" t="str">
        <f>VLOOKUP(E198,zJARS_Allockeys!A:G,7,FALSE)</f>
        <v>NUTIL</v>
      </c>
      <c r="G198" s="84">
        <v>2283400</v>
      </c>
      <c r="H198" s="84">
        <v>1</v>
      </c>
      <c r="I198" s="84">
        <v>280329</v>
      </c>
      <c r="J198" s="84">
        <v>1000</v>
      </c>
      <c r="K198" s="85">
        <v>99337015</v>
      </c>
      <c r="L198" s="85">
        <v>99337015</v>
      </c>
      <c r="M198" s="85">
        <v>99337015</v>
      </c>
      <c r="N198" s="85">
        <v>99337015</v>
      </c>
      <c r="O198" s="85">
        <v>99337015</v>
      </c>
      <c r="P198" s="85">
        <v>99337015</v>
      </c>
      <c r="Q198" s="85">
        <v>99337015</v>
      </c>
      <c r="R198" s="85">
        <v>99337015</v>
      </c>
      <c r="S198" s="85">
        <v>99337015</v>
      </c>
      <c r="T198" s="85">
        <v>99337015</v>
      </c>
      <c r="U198" s="85">
        <v>99337015</v>
      </c>
      <c r="V198" s="85">
        <v>99337015</v>
      </c>
      <c r="W198" s="85">
        <v>106416000</v>
      </c>
    </row>
    <row r="199" spans="1:23">
      <c r="A199" s="84">
        <v>0</v>
      </c>
      <c r="B199" s="84">
        <v>2012</v>
      </c>
      <c r="C199" s="84">
        <v>1200</v>
      </c>
      <c r="D199" s="84">
        <v>280355</v>
      </c>
      <c r="E199" s="84" t="str">
        <f t="shared" si="3"/>
        <v>22835001280355</v>
      </c>
      <c r="F199" s="84" t="str">
        <f>VLOOKUP(E199,zJARS_Allockeys!A:G,7,FALSE)</f>
        <v>NUTIL</v>
      </c>
      <c r="G199" s="84">
        <v>2283500</v>
      </c>
      <c r="H199" s="84">
        <v>1</v>
      </c>
      <c r="I199" s="84">
        <v>280355</v>
      </c>
      <c r="J199" s="84">
        <v>1000</v>
      </c>
      <c r="K199" s="85">
        <v>581171346.12</v>
      </c>
      <c r="L199" s="85">
        <v>592723742.07000005</v>
      </c>
      <c r="M199" s="85">
        <v>601037078.91000009</v>
      </c>
      <c r="N199" s="85">
        <v>613037277.56000006</v>
      </c>
      <c r="O199" s="85">
        <v>621331457.21000004</v>
      </c>
      <c r="P199" s="85">
        <v>625919617.86000001</v>
      </c>
      <c r="Q199" s="85">
        <v>634213797.50999999</v>
      </c>
      <c r="R199" s="85">
        <v>642507977.15999997</v>
      </c>
      <c r="S199" s="85">
        <v>650835066.60000002</v>
      </c>
      <c r="T199" s="85">
        <v>651248072.60000002</v>
      </c>
      <c r="U199" s="85">
        <v>651638001.49000001</v>
      </c>
      <c r="V199" s="85">
        <v>652027930.38</v>
      </c>
      <c r="W199" s="85">
        <v>652417859.26999998</v>
      </c>
    </row>
    <row r="200" spans="1:23">
      <c r="A200" s="84">
        <v>0</v>
      </c>
      <c r="B200" s="84">
        <v>2012</v>
      </c>
      <c r="C200" s="84">
        <v>1200</v>
      </c>
      <c r="D200" s="84">
        <v>280440</v>
      </c>
      <c r="E200" s="84" t="str">
        <f t="shared" si="3"/>
        <v>22834001280440</v>
      </c>
      <c r="F200" s="84" t="str">
        <f>VLOOKUP(E200,zJARS_Allockeys!A:G,7,FALSE)</f>
        <v>NUTIL</v>
      </c>
      <c r="G200" s="84">
        <v>2283400</v>
      </c>
      <c r="H200" s="84">
        <v>1</v>
      </c>
      <c r="I200" s="84">
        <v>280440</v>
      </c>
      <c r="J200" s="84">
        <v>1000</v>
      </c>
      <c r="K200" s="85">
        <v>2603000</v>
      </c>
      <c r="L200" s="85">
        <v>2603000</v>
      </c>
      <c r="M200" s="85">
        <v>2603000</v>
      </c>
      <c r="N200" s="85">
        <v>2603000</v>
      </c>
      <c r="O200" s="85">
        <v>2603000</v>
      </c>
      <c r="P200" s="85">
        <v>2603000</v>
      </c>
      <c r="Q200" s="85">
        <v>2603000</v>
      </c>
      <c r="R200" s="85">
        <v>2603000</v>
      </c>
      <c r="S200" s="85">
        <v>2603000</v>
      </c>
      <c r="T200" s="85">
        <v>2603000</v>
      </c>
      <c r="U200" s="85">
        <v>2603000</v>
      </c>
      <c r="V200" s="85">
        <v>2603000</v>
      </c>
      <c r="W200" s="85">
        <v>2608167</v>
      </c>
    </row>
    <row r="201" spans="1:23">
      <c r="A201" s="84">
        <v>0</v>
      </c>
      <c r="B201" s="84">
        <v>2012</v>
      </c>
      <c r="C201" s="84">
        <v>1200</v>
      </c>
      <c r="D201" s="84">
        <v>280454</v>
      </c>
      <c r="E201" s="84" t="str">
        <f t="shared" si="3"/>
        <v>22834001280454</v>
      </c>
      <c r="F201" s="84" t="str">
        <f>VLOOKUP(E201,zJARS_Allockeys!A:G,7,FALSE)</f>
        <v>NUTIL</v>
      </c>
      <c r="G201" s="84">
        <v>2283400</v>
      </c>
      <c r="H201" s="84">
        <v>1</v>
      </c>
      <c r="I201" s="84">
        <v>280454</v>
      </c>
      <c r="J201" s="84">
        <v>1000</v>
      </c>
      <c r="K201" s="85">
        <v>8844000</v>
      </c>
      <c r="L201" s="85">
        <v>8844000</v>
      </c>
      <c r="M201" s="85">
        <v>8844000</v>
      </c>
      <c r="N201" s="85">
        <v>8844000</v>
      </c>
      <c r="O201" s="85">
        <v>8844000</v>
      </c>
      <c r="P201" s="85">
        <v>8844000</v>
      </c>
      <c r="Q201" s="85">
        <v>8844000</v>
      </c>
      <c r="R201" s="85">
        <v>8844000</v>
      </c>
      <c r="S201" s="85">
        <v>8844000</v>
      </c>
      <c r="T201" s="85">
        <v>8844000</v>
      </c>
      <c r="U201" s="85">
        <v>8844000</v>
      </c>
      <c r="V201" s="85">
        <v>8844000</v>
      </c>
      <c r="W201" s="85">
        <v>60248167</v>
      </c>
    </row>
    <row r="202" spans="1:23">
      <c r="A202" s="84">
        <v>0</v>
      </c>
      <c r="B202" s="84">
        <v>2012</v>
      </c>
      <c r="C202" s="84">
        <v>1200</v>
      </c>
      <c r="D202" s="84">
        <v>280455</v>
      </c>
      <c r="E202" s="84" t="str">
        <f t="shared" si="3"/>
        <v>22834001280455</v>
      </c>
      <c r="F202" s="84" t="str">
        <f>VLOOKUP(E202,zJARS_Allockeys!A:G,7,FALSE)</f>
        <v>NUTIL</v>
      </c>
      <c r="G202" s="84">
        <v>2283400</v>
      </c>
      <c r="H202" s="84">
        <v>1</v>
      </c>
      <c r="I202" s="84">
        <v>280455</v>
      </c>
      <c r="J202" s="84">
        <v>1000</v>
      </c>
      <c r="K202" s="85">
        <v>489369039.60000002</v>
      </c>
      <c r="L202" s="85">
        <v>489393975.12</v>
      </c>
      <c r="M202" s="85">
        <v>497430130.16000003</v>
      </c>
      <c r="N202" s="85">
        <v>504442417.20000005</v>
      </c>
      <c r="O202" s="85">
        <v>504507884.75000006</v>
      </c>
      <c r="P202" s="85">
        <v>504578685.22000009</v>
      </c>
      <c r="Q202" s="85">
        <v>511409631.32000011</v>
      </c>
      <c r="R202" s="85">
        <v>511467670.51000011</v>
      </c>
      <c r="S202" s="85">
        <v>511611611.8900001</v>
      </c>
      <c r="T202" s="85">
        <v>518474414.49000013</v>
      </c>
      <c r="U202" s="85">
        <v>518541130.68000013</v>
      </c>
      <c r="V202" s="85">
        <v>518639056.07000011</v>
      </c>
      <c r="W202" s="85">
        <v>526716587.3900001</v>
      </c>
    </row>
    <row r="203" spans="1:23">
      <c r="A203" s="84">
        <v>0</v>
      </c>
      <c r="B203" s="84">
        <v>2012</v>
      </c>
      <c r="C203" s="84">
        <v>1200</v>
      </c>
      <c r="D203" s="84">
        <v>280456</v>
      </c>
      <c r="E203" s="84" t="str">
        <f t="shared" si="3"/>
        <v>22834001280456</v>
      </c>
      <c r="F203" s="84" t="str">
        <f>VLOOKUP(E203,zJARS_Allockeys!A:G,7,FALSE)</f>
        <v>NUTIL</v>
      </c>
      <c r="G203" s="84">
        <v>2283400</v>
      </c>
      <c r="H203" s="84">
        <v>1</v>
      </c>
      <c r="I203" s="84">
        <v>280456</v>
      </c>
      <c r="J203" s="84">
        <v>1000</v>
      </c>
      <c r="K203" s="85">
        <v>121927.07</v>
      </c>
      <c r="L203" s="85">
        <v>183274.84</v>
      </c>
      <c r="M203" s="85">
        <v>183274.84</v>
      </c>
      <c r="N203" s="85">
        <v>183274.84</v>
      </c>
      <c r="O203" s="85">
        <v>183274.84</v>
      </c>
      <c r="P203" s="85">
        <v>183274.84</v>
      </c>
      <c r="Q203" s="85">
        <v>217465.19</v>
      </c>
      <c r="R203" s="85">
        <v>217465.19</v>
      </c>
      <c r="S203" s="85">
        <v>217465.19</v>
      </c>
      <c r="T203" s="85">
        <v>217465.19</v>
      </c>
      <c r="U203" s="85">
        <v>217465.19</v>
      </c>
      <c r="V203" s="85">
        <v>217465.19</v>
      </c>
      <c r="W203" s="85">
        <v>219269.92</v>
      </c>
    </row>
    <row r="204" spans="1:23">
      <c r="A204" s="84">
        <v>0</v>
      </c>
      <c r="B204" s="84">
        <v>2012</v>
      </c>
      <c r="C204" s="84">
        <v>1200</v>
      </c>
      <c r="D204" s="84">
        <v>280457</v>
      </c>
      <c r="E204" s="84" t="str">
        <f t="shared" si="3"/>
        <v>22834001280457</v>
      </c>
      <c r="F204" s="84" t="str">
        <f>VLOOKUP(E204,zJARS_Allockeys!A:G,7,FALSE)</f>
        <v>NUTIL</v>
      </c>
      <c r="G204" s="84">
        <v>2283400</v>
      </c>
      <c r="H204" s="84">
        <v>1</v>
      </c>
      <c r="I204" s="84">
        <v>280457</v>
      </c>
      <c r="J204" s="84">
        <v>1000</v>
      </c>
      <c r="K204" s="85">
        <v>125096523</v>
      </c>
      <c r="L204" s="85">
        <v>125096523</v>
      </c>
      <c r="M204" s="85">
        <v>125096523</v>
      </c>
      <c r="N204" s="85">
        <v>125096523</v>
      </c>
      <c r="O204" s="85">
        <v>125096523</v>
      </c>
      <c r="P204" s="85">
        <v>125096523</v>
      </c>
      <c r="Q204" s="85">
        <v>125096523</v>
      </c>
      <c r="R204" s="85">
        <v>125096523</v>
      </c>
      <c r="S204" s="85">
        <v>125096523</v>
      </c>
      <c r="T204" s="85">
        <v>125096523</v>
      </c>
      <c r="U204" s="85">
        <v>125096523</v>
      </c>
      <c r="V204" s="85">
        <v>125096523</v>
      </c>
      <c r="W204" s="85">
        <v>125925523</v>
      </c>
    </row>
    <row r="205" spans="1:23">
      <c r="A205" s="84">
        <v>0</v>
      </c>
      <c r="B205" s="84">
        <v>2012</v>
      </c>
      <c r="C205" s="84">
        <v>1200</v>
      </c>
      <c r="D205" s="84">
        <v>280465</v>
      </c>
      <c r="E205" s="84" t="str">
        <f t="shared" si="3"/>
        <v>22835001280465</v>
      </c>
      <c r="F205" s="84" t="str">
        <f>VLOOKUP(E205,zJARS_Allockeys!A:G,7,FALSE)</f>
        <v>NUTIL</v>
      </c>
      <c r="G205" s="84">
        <v>2283500</v>
      </c>
      <c r="H205" s="84">
        <v>1</v>
      </c>
      <c r="I205" s="84">
        <v>280465</v>
      </c>
      <c r="J205" s="84">
        <v>1000</v>
      </c>
      <c r="K205" s="85">
        <v>63754234.060000002</v>
      </c>
      <c r="L205" s="85">
        <v>63761094.060000002</v>
      </c>
      <c r="M205" s="85">
        <v>63761915.060000002</v>
      </c>
      <c r="N205" s="85">
        <v>63764213.060000002</v>
      </c>
      <c r="O205" s="85">
        <v>63766105.060000002</v>
      </c>
      <c r="P205" s="85">
        <v>63769676.060000002</v>
      </c>
      <c r="Q205" s="85">
        <v>63781702.060000002</v>
      </c>
      <c r="R205" s="85">
        <v>63781942.060000002</v>
      </c>
      <c r="S205" s="85">
        <v>63781942.060000002</v>
      </c>
      <c r="T205" s="85">
        <v>63781942.060000002</v>
      </c>
      <c r="U205" s="85">
        <v>63781942.060000002</v>
      </c>
      <c r="V205" s="85">
        <v>63781942.060000002</v>
      </c>
      <c r="W205" s="85">
        <v>63788922.060000002</v>
      </c>
    </row>
    <row r="206" spans="1:23">
      <c r="A206" s="84">
        <v>0</v>
      </c>
      <c r="B206" s="84">
        <v>2012</v>
      </c>
      <c r="C206" s="84">
        <v>1200</v>
      </c>
      <c r="D206" s="84">
        <v>280479</v>
      </c>
      <c r="E206" s="84" t="str">
        <f t="shared" si="3"/>
        <v>22835001280479</v>
      </c>
      <c r="F206" s="84" t="str">
        <f>VLOOKUP(E206,zJARS_Allockeys!A:G,7,FALSE)</f>
        <v>NUTIL</v>
      </c>
      <c r="G206" s="84">
        <v>2283500</v>
      </c>
      <c r="H206" s="84">
        <v>1</v>
      </c>
      <c r="I206" s="84">
        <v>280479</v>
      </c>
      <c r="J206" s="84">
        <v>1000</v>
      </c>
      <c r="K206" s="85">
        <v>25000</v>
      </c>
      <c r="L206" s="85">
        <v>25000</v>
      </c>
      <c r="M206" s="85">
        <v>25000</v>
      </c>
      <c r="N206" s="85">
        <v>25000</v>
      </c>
      <c r="O206" s="85">
        <v>25000</v>
      </c>
      <c r="P206" s="85">
        <v>25000</v>
      </c>
      <c r="Q206" s="85">
        <v>25000</v>
      </c>
      <c r="R206" s="85">
        <v>25000</v>
      </c>
      <c r="S206" s="85">
        <v>25000</v>
      </c>
      <c r="T206" s="85">
        <v>25000</v>
      </c>
      <c r="U206" s="85">
        <v>25000</v>
      </c>
      <c r="V206" s="85">
        <v>25000</v>
      </c>
      <c r="W206" s="85">
        <v>25000</v>
      </c>
    </row>
    <row r="207" spans="1:23">
      <c r="A207" s="84">
        <v>0</v>
      </c>
      <c r="B207" s="84">
        <v>2012</v>
      </c>
      <c r="C207" s="84">
        <v>1200</v>
      </c>
      <c r="D207" s="84">
        <v>299107</v>
      </c>
      <c r="E207" s="84" t="str">
        <f t="shared" si="3"/>
        <v>219000010</v>
      </c>
      <c r="F207" s="84" t="str">
        <f>VLOOKUP(E207,zJARS_Allockeys!A:G,7,FALSE)</f>
        <v>NUTIL</v>
      </c>
      <c r="G207" s="84">
        <v>2190000</v>
      </c>
      <c r="H207" s="84">
        <v>1</v>
      </c>
      <c r="I207" s="84">
        <v>0</v>
      </c>
      <c r="J207" s="84">
        <v>1000</v>
      </c>
      <c r="K207" s="85">
        <v>25100109.309999999</v>
      </c>
      <c r="L207" s="85">
        <v>25100109.309999999</v>
      </c>
      <c r="M207" s="85">
        <v>25100109.309999999</v>
      </c>
      <c r="N207" s="85">
        <v>25100109.309999999</v>
      </c>
      <c r="O207" s="85">
        <v>25100109.309999999</v>
      </c>
      <c r="P207" s="85">
        <v>25100109.309999999</v>
      </c>
      <c r="Q207" s="85">
        <v>25100109.309999999</v>
      </c>
      <c r="R207" s="85">
        <v>25100109.309999999</v>
      </c>
      <c r="S207" s="85">
        <v>25100109.309999999</v>
      </c>
      <c r="T207" s="85">
        <v>25100109.309999999</v>
      </c>
      <c r="U207" s="85">
        <v>25100109.309999999</v>
      </c>
      <c r="V207" s="85">
        <v>25100109.309999999</v>
      </c>
      <c r="W207" s="85">
        <v>28821109.349999998</v>
      </c>
    </row>
    <row r="208" spans="1:23">
      <c r="A208" s="84">
        <v>0</v>
      </c>
      <c r="B208" s="84">
        <v>2012</v>
      </c>
      <c r="C208" s="84">
        <v>1201</v>
      </c>
      <c r="D208" s="84">
        <v>187621</v>
      </c>
      <c r="E208" s="84" t="str">
        <f t="shared" si="3"/>
        <v>18238701114020</v>
      </c>
      <c r="F208" s="84" t="str">
        <f>VLOOKUP(E208,zJARS_Allockeys!A:G,7,FALSE)</f>
        <v>NUTIL</v>
      </c>
      <c r="G208" s="84">
        <v>1823870</v>
      </c>
      <c r="H208" s="84">
        <v>1</v>
      </c>
      <c r="I208" s="84">
        <v>114020</v>
      </c>
      <c r="J208" s="84">
        <v>1000</v>
      </c>
      <c r="K208" s="85">
        <v>79582204</v>
      </c>
      <c r="L208" s="85">
        <v>79582204</v>
      </c>
      <c r="M208" s="85">
        <v>79582204</v>
      </c>
      <c r="N208" s="85">
        <v>79582204</v>
      </c>
      <c r="O208" s="85">
        <v>79582204</v>
      </c>
      <c r="P208" s="85">
        <v>79582204</v>
      </c>
      <c r="Q208" s="85">
        <v>79582204</v>
      </c>
      <c r="R208" s="85">
        <v>79582204</v>
      </c>
      <c r="S208" s="85">
        <v>79582204</v>
      </c>
      <c r="T208" s="85">
        <v>79582204</v>
      </c>
      <c r="U208" s="85">
        <v>79582204</v>
      </c>
      <c r="V208" s="85">
        <v>79582204</v>
      </c>
      <c r="W208" s="85">
        <v>79582204</v>
      </c>
    </row>
    <row r="209" spans="1:23">
      <c r="A209" s="84">
        <v>0</v>
      </c>
      <c r="B209" s="84">
        <v>2012</v>
      </c>
      <c r="C209" s="84">
        <v>1201</v>
      </c>
      <c r="D209" s="84">
        <v>187621</v>
      </c>
      <c r="E209" s="84" t="str">
        <f t="shared" si="3"/>
        <v>18238701187621</v>
      </c>
      <c r="F209" s="84" t="str">
        <f>VLOOKUP(E209,zJARS_Allockeys!A:G,7,FALSE)</f>
        <v>NUTIL</v>
      </c>
      <c r="G209" s="84">
        <v>1823870</v>
      </c>
      <c r="H209" s="84">
        <v>1</v>
      </c>
      <c r="I209" s="84">
        <v>187621</v>
      </c>
      <c r="J209" s="84">
        <v>1000</v>
      </c>
      <c r="K209" s="85">
        <v>39791102</v>
      </c>
      <c r="L209" s="85">
        <v>39791102</v>
      </c>
      <c r="M209" s="85">
        <v>39791102</v>
      </c>
      <c r="N209" s="85">
        <v>39791102</v>
      </c>
      <c r="O209" s="85">
        <v>39791102</v>
      </c>
      <c r="P209" s="85">
        <v>39791102</v>
      </c>
      <c r="Q209" s="85">
        <v>39791102</v>
      </c>
      <c r="R209" s="85">
        <v>39791102</v>
      </c>
      <c r="S209" s="85">
        <v>39791102</v>
      </c>
      <c r="T209" s="85">
        <v>39791102</v>
      </c>
      <c r="U209" s="85">
        <v>39791102</v>
      </c>
      <c r="V209" s="85">
        <v>39791102</v>
      </c>
      <c r="W209" s="85">
        <v>39791102</v>
      </c>
    </row>
    <row r="210" spans="1:23">
      <c r="A210" s="84">
        <v>0</v>
      </c>
      <c r="B210" s="84">
        <v>2012</v>
      </c>
      <c r="C210" s="84">
        <v>1201</v>
      </c>
      <c r="D210" s="84">
        <v>187626</v>
      </c>
      <c r="E210" s="84" t="str">
        <f t="shared" si="3"/>
        <v>18231091114020</v>
      </c>
      <c r="F210" s="84" t="str">
        <f>VLOOKUP(E210,zJARS_Allockeys!A:G,7,FALSE)</f>
        <v>NUTIL</v>
      </c>
      <c r="G210" s="84">
        <v>1823109</v>
      </c>
      <c r="H210" s="84">
        <v>1</v>
      </c>
      <c r="I210" s="84">
        <v>114020</v>
      </c>
      <c r="J210" s="84">
        <v>1000</v>
      </c>
      <c r="K210" s="85">
        <v>39791102</v>
      </c>
      <c r="L210" s="85">
        <v>39791102</v>
      </c>
      <c r="M210" s="85">
        <v>39791102</v>
      </c>
      <c r="N210" s="85">
        <v>39791102</v>
      </c>
      <c r="O210" s="85">
        <v>39791102</v>
      </c>
      <c r="P210" s="85">
        <v>39791102</v>
      </c>
      <c r="Q210" s="85">
        <v>39791102</v>
      </c>
      <c r="R210" s="85">
        <v>39791102</v>
      </c>
      <c r="S210" s="85">
        <v>39791102</v>
      </c>
      <c r="T210" s="85">
        <v>39791102</v>
      </c>
      <c r="U210" s="85">
        <v>39791102</v>
      </c>
      <c r="V210" s="85">
        <v>39791102</v>
      </c>
      <c r="W210" s="85">
        <v>39791102</v>
      </c>
    </row>
    <row r="211" spans="1:23">
      <c r="A211" s="84">
        <v>0</v>
      </c>
      <c r="B211" s="84">
        <v>2012</v>
      </c>
      <c r="C211" s="84">
        <v>1201</v>
      </c>
      <c r="D211" s="84">
        <v>187626</v>
      </c>
      <c r="E211" s="84" t="str">
        <f t="shared" si="3"/>
        <v>18231091187626</v>
      </c>
      <c r="F211" s="84" t="str">
        <f>VLOOKUP(E211,zJARS_Allockeys!A:G,7,FALSE)</f>
        <v>NUTIL</v>
      </c>
      <c r="G211" s="84">
        <v>1823109</v>
      </c>
      <c r="H211" s="84">
        <v>1</v>
      </c>
      <c r="I211" s="84">
        <v>187626</v>
      </c>
      <c r="J211" s="84">
        <v>1000</v>
      </c>
      <c r="K211" s="85">
        <v>72202280</v>
      </c>
      <c r="L211" s="85">
        <v>72202280</v>
      </c>
      <c r="M211" s="85">
        <v>72202280</v>
      </c>
      <c r="N211" s="85">
        <v>72202280</v>
      </c>
      <c r="O211" s="85">
        <v>72202280</v>
      </c>
      <c r="P211" s="85">
        <v>72202280</v>
      </c>
      <c r="Q211" s="85">
        <v>72202280</v>
      </c>
      <c r="R211" s="85">
        <v>72202280</v>
      </c>
      <c r="S211" s="85">
        <v>72202280</v>
      </c>
      <c r="T211" s="85">
        <v>72202280</v>
      </c>
      <c r="U211" s="85">
        <v>72202280</v>
      </c>
      <c r="V211" s="85">
        <v>72202280</v>
      </c>
      <c r="W211" s="85">
        <v>75470522</v>
      </c>
    </row>
    <row r="212" spans="1:23">
      <c r="A212" s="84">
        <v>0</v>
      </c>
      <c r="B212" s="84">
        <v>2012</v>
      </c>
      <c r="C212" s="84">
        <v>1283</v>
      </c>
      <c r="D212" s="84">
        <v>280328</v>
      </c>
      <c r="E212" s="84" t="str">
        <f t="shared" si="3"/>
        <v>22830000</v>
      </c>
      <c r="F212" s="84" t="e">
        <f>VLOOKUP(E212,zJARS_Allockeys!A:G,7,FALSE)</f>
        <v>#N/A</v>
      </c>
      <c r="G212" s="84">
        <v>2283000</v>
      </c>
      <c r="H212" s="84">
        <v>0</v>
      </c>
      <c r="I212" s="84"/>
      <c r="J212" s="84">
        <v>1000</v>
      </c>
      <c r="K212" s="85">
        <v>4984523.78</v>
      </c>
      <c r="L212" s="85">
        <v>4984523.78</v>
      </c>
      <c r="M212" s="85">
        <v>4984523.78</v>
      </c>
      <c r="N212" s="85">
        <v>4984523.78</v>
      </c>
      <c r="O212" s="85">
        <v>4984523.78</v>
      </c>
      <c r="P212" s="85">
        <v>4984523.78</v>
      </c>
      <c r="Q212" s="85">
        <v>4984523.78</v>
      </c>
      <c r="R212" s="85">
        <v>4984523.78</v>
      </c>
      <c r="S212" s="85">
        <v>4984523.78</v>
      </c>
      <c r="T212" s="85">
        <v>4984523.78</v>
      </c>
      <c r="U212" s="85">
        <v>4984523.78</v>
      </c>
      <c r="V212" s="85">
        <v>4984523.78</v>
      </c>
      <c r="W212" s="85">
        <v>4984523.78</v>
      </c>
    </row>
    <row r="213" spans="1:23">
      <c r="A213" s="84">
        <v>0</v>
      </c>
      <c r="B213" s="84">
        <v>2012</v>
      </c>
      <c r="C213" s="84">
        <v>1283</v>
      </c>
      <c r="D213" s="84">
        <v>280328</v>
      </c>
      <c r="E213" s="84" t="str">
        <f t="shared" si="3"/>
        <v>2283000122092280328</v>
      </c>
      <c r="F213" s="84" t="str">
        <f>VLOOKUP(E213,zJARS_Allockeys!A:G,7,FALSE)</f>
        <v>NUTIL</v>
      </c>
      <c r="G213" s="84">
        <v>2283000</v>
      </c>
      <c r="H213" s="84">
        <v>122092</v>
      </c>
      <c r="I213" s="84">
        <v>280328</v>
      </c>
      <c r="J213" s="84">
        <v>1000</v>
      </c>
      <c r="K213" s="85">
        <v>4984523.78</v>
      </c>
      <c r="L213" s="85">
        <v>4984523.78</v>
      </c>
      <c r="M213" s="85">
        <v>4984523.78</v>
      </c>
      <c r="N213" s="85">
        <v>4984523.78</v>
      </c>
      <c r="O213" s="85">
        <v>4984523.78</v>
      </c>
      <c r="P213" s="85">
        <v>4984523.78</v>
      </c>
      <c r="Q213" s="85">
        <v>4984523.78</v>
      </c>
      <c r="R213" s="85">
        <v>4984523.78</v>
      </c>
      <c r="S213" s="85">
        <v>4984523.78</v>
      </c>
      <c r="T213" s="85">
        <v>4984523.78</v>
      </c>
      <c r="U213" s="85">
        <v>4984523.78</v>
      </c>
      <c r="V213" s="85">
        <v>4984523.78</v>
      </c>
      <c r="W213" s="85">
        <v>4984523.78</v>
      </c>
    </row>
    <row r="214" spans="1:23">
      <c r="A214" s="84">
        <v>0</v>
      </c>
      <c r="B214" s="84">
        <v>2012</v>
      </c>
      <c r="C214" s="84">
        <v>1283</v>
      </c>
      <c r="D214" s="84">
        <v>280328</v>
      </c>
      <c r="E214" s="84" t="str">
        <f t="shared" si="3"/>
        <v>22834000</v>
      </c>
      <c r="F214" s="84" t="e">
        <f>VLOOKUP(E214,zJARS_Allockeys!A:G,7,FALSE)</f>
        <v>#N/A</v>
      </c>
      <c r="G214" s="84">
        <v>2283400</v>
      </c>
      <c r="H214" s="84">
        <v>0</v>
      </c>
      <c r="I214" s="84"/>
      <c r="J214" s="84">
        <v>1000</v>
      </c>
      <c r="K214" s="85">
        <v>2736626.85</v>
      </c>
      <c r="L214" s="85">
        <v>2736626.85</v>
      </c>
      <c r="M214" s="85">
        <v>2736626.85</v>
      </c>
      <c r="N214" s="85">
        <v>2736626.85</v>
      </c>
      <c r="O214" s="85">
        <v>2736626.85</v>
      </c>
      <c r="P214" s="85">
        <v>2736626.85</v>
      </c>
      <c r="Q214" s="85">
        <v>2736626.85</v>
      </c>
      <c r="R214" s="85">
        <v>2736626.85</v>
      </c>
      <c r="S214" s="85">
        <v>2736626.85</v>
      </c>
      <c r="T214" s="85">
        <v>2736626.85</v>
      </c>
      <c r="U214" s="85">
        <v>2736626.85</v>
      </c>
      <c r="V214" s="85">
        <v>2736626.85</v>
      </c>
      <c r="W214" s="85">
        <v>2736626.85</v>
      </c>
    </row>
    <row r="215" spans="1:23">
      <c r="A215" s="84">
        <v>0</v>
      </c>
      <c r="B215" s="84">
        <v>2012</v>
      </c>
      <c r="C215" s="84">
        <v>1283</v>
      </c>
      <c r="D215" s="84">
        <v>280328</v>
      </c>
      <c r="E215" s="84" t="str">
        <f t="shared" si="3"/>
        <v>22834000280328</v>
      </c>
      <c r="F215" s="84" t="e">
        <f>VLOOKUP(E215,zJARS_Allockeys!A:G,7,FALSE)</f>
        <v>#N/A</v>
      </c>
      <c r="G215" s="84">
        <v>2283400</v>
      </c>
      <c r="H215" s="84">
        <v>0</v>
      </c>
      <c r="I215" s="84">
        <v>280328</v>
      </c>
      <c r="J215" s="84">
        <v>1000</v>
      </c>
      <c r="K215" s="85">
        <v>182433</v>
      </c>
      <c r="L215" s="85">
        <v>182433</v>
      </c>
      <c r="M215" s="85">
        <v>182433</v>
      </c>
      <c r="N215" s="85">
        <v>182433</v>
      </c>
      <c r="O215" s="85">
        <v>182433</v>
      </c>
      <c r="P215" s="85">
        <v>182433</v>
      </c>
      <c r="Q215" s="85">
        <v>182433</v>
      </c>
      <c r="R215" s="85">
        <v>182433</v>
      </c>
      <c r="S215" s="85">
        <v>182433</v>
      </c>
      <c r="T215" s="85">
        <v>182433</v>
      </c>
      <c r="U215" s="85">
        <v>182433</v>
      </c>
      <c r="V215" s="85">
        <v>182433</v>
      </c>
      <c r="W215" s="85">
        <v>182433</v>
      </c>
    </row>
    <row r="216" spans="1:23">
      <c r="A216" s="84">
        <v>0</v>
      </c>
      <c r="B216" s="84">
        <v>2012</v>
      </c>
      <c r="C216" s="84">
        <v>1283</v>
      </c>
      <c r="D216" s="84">
        <v>280328</v>
      </c>
      <c r="E216" s="84" t="str">
        <f t="shared" si="3"/>
        <v>22834001280328</v>
      </c>
      <c r="F216" s="84" t="str">
        <f>VLOOKUP(E216,zJARS_Allockeys!A:G,7,FALSE)</f>
        <v>NUTIL</v>
      </c>
      <c r="G216" s="84">
        <v>2283400</v>
      </c>
      <c r="H216" s="84">
        <v>1</v>
      </c>
      <c r="I216" s="84">
        <v>280328</v>
      </c>
      <c r="J216" s="84">
        <v>1000</v>
      </c>
      <c r="K216" s="85">
        <v>56060.46</v>
      </c>
      <c r="L216" s="85">
        <v>56060.46</v>
      </c>
      <c r="M216" s="85">
        <v>56060.46</v>
      </c>
      <c r="N216" s="85">
        <v>56060.46</v>
      </c>
      <c r="O216" s="85">
        <v>56060.46</v>
      </c>
      <c r="P216" s="85">
        <v>56060.46</v>
      </c>
      <c r="Q216" s="85">
        <v>56060.46</v>
      </c>
      <c r="R216" s="85">
        <v>56060.46</v>
      </c>
      <c r="S216" s="85">
        <v>56060.46</v>
      </c>
      <c r="T216" s="85">
        <v>56060.46</v>
      </c>
      <c r="U216" s="85">
        <v>56060.46</v>
      </c>
      <c r="V216" s="85">
        <v>56060.46</v>
      </c>
      <c r="W216" s="85">
        <v>56060.46</v>
      </c>
    </row>
    <row r="217" spans="1:23">
      <c r="A217" s="84">
        <v>0</v>
      </c>
      <c r="B217" s="84">
        <v>2012</v>
      </c>
      <c r="C217" s="84">
        <v>1283</v>
      </c>
      <c r="D217" s="84">
        <v>280328</v>
      </c>
      <c r="E217" s="84" t="str">
        <f t="shared" si="3"/>
        <v>22834001280328</v>
      </c>
      <c r="F217" s="84" t="str">
        <f>VLOOKUP(E217,zJARS_Allockeys!A:G,7,FALSE)</f>
        <v>NUTIL</v>
      </c>
      <c r="G217" s="84">
        <v>2283400</v>
      </c>
      <c r="H217" s="84">
        <v>1</v>
      </c>
      <c r="I217" s="84">
        <v>280328</v>
      </c>
      <c r="J217" s="84">
        <v>1000</v>
      </c>
      <c r="K217" s="85">
        <v>287234.31</v>
      </c>
      <c r="L217" s="85">
        <v>287234.31</v>
      </c>
      <c r="M217" s="85">
        <v>287234.31</v>
      </c>
      <c r="N217" s="85">
        <v>287234.31</v>
      </c>
      <c r="O217" s="85">
        <v>287234.31</v>
      </c>
      <c r="P217" s="85">
        <v>287234.31</v>
      </c>
      <c r="Q217" s="85">
        <v>287234.31</v>
      </c>
      <c r="R217" s="85">
        <v>287234.31</v>
      </c>
      <c r="S217" s="85">
        <v>287234.31</v>
      </c>
      <c r="T217" s="85">
        <v>287234.31</v>
      </c>
      <c r="U217" s="85">
        <v>287234.31</v>
      </c>
      <c r="V217" s="85">
        <v>287234.31</v>
      </c>
      <c r="W217" s="85">
        <v>287234.31</v>
      </c>
    </row>
    <row r="218" spans="1:23">
      <c r="A218" s="84">
        <v>0</v>
      </c>
      <c r="B218" s="84">
        <v>2012</v>
      </c>
      <c r="C218" s="84">
        <v>1283</v>
      </c>
      <c r="D218" s="84">
        <v>280328</v>
      </c>
      <c r="E218" s="84" t="str">
        <f t="shared" si="3"/>
        <v>2283400122092280328</v>
      </c>
      <c r="F218" s="84" t="str">
        <f>VLOOKUP(E218,zJARS_Allockeys!A:G,7,FALSE)</f>
        <v>NUTIL</v>
      </c>
      <c r="G218" s="84">
        <v>2283400</v>
      </c>
      <c r="H218" s="84">
        <v>122092</v>
      </c>
      <c r="I218" s="84">
        <v>280328</v>
      </c>
      <c r="J218" s="84">
        <v>1000</v>
      </c>
      <c r="K218" s="85">
        <v>120727.86</v>
      </c>
      <c r="L218" s="85">
        <v>120727.86</v>
      </c>
      <c r="M218" s="85">
        <v>120727.86</v>
      </c>
      <c r="N218" s="85">
        <v>120727.86</v>
      </c>
      <c r="O218" s="85">
        <v>120727.86</v>
      </c>
      <c r="P218" s="85">
        <v>120727.86</v>
      </c>
      <c r="Q218" s="85">
        <v>120727.86</v>
      </c>
      <c r="R218" s="85">
        <v>120727.86</v>
      </c>
      <c r="S218" s="85">
        <v>120727.86</v>
      </c>
      <c r="T218" s="85">
        <v>120727.86</v>
      </c>
      <c r="U218" s="85">
        <v>120727.86</v>
      </c>
      <c r="V218" s="85">
        <v>120727.86</v>
      </c>
      <c r="W218" s="85">
        <v>120727.86</v>
      </c>
    </row>
    <row r="219" spans="1:23">
      <c r="A219" s="84">
        <v>0</v>
      </c>
      <c r="B219" s="84">
        <v>2012</v>
      </c>
      <c r="C219" s="84">
        <v>1283</v>
      </c>
      <c r="D219" s="84">
        <v>280328</v>
      </c>
      <c r="E219" s="84" t="str">
        <f t="shared" si="3"/>
        <v>2283400122092280328</v>
      </c>
      <c r="F219" s="84" t="str">
        <f>VLOOKUP(E219,zJARS_Allockeys!A:G,7,FALSE)</f>
        <v>NUTIL</v>
      </c>
      <c r="G219" s="84">
        <v>2283400</v>
      </c>
      <c r="H219" s="84">
        <v>122092</v>
      </c>
      <c r="I219" s="84">
        <v>280328</v>
      </c>
      <c r="J219" s="84">
        <v>1000</v>
      </c>
      <c r="K219" s="85">
        <v>4968644.67</v>
      </c>
      <c r="L219" s="85">
        <v>4968644.67</v>
      </c>
      <c r="M219" s="85">
        <v>4968644.67</v>
      </c>
      <c r="N219" s="85">
        <v>4968644.67</v>
      </c>
      <c r="O219" s="85">
        <v>4968644.67</v>
      </c>
      <c r="P219" s="85">
        <v>4968644.67</v>
      </c>
      <c r="Q219" s="85">
        <v>4968644.67</v>
      </c>
      <c r="R219" s="85">
        <v>4968644.67</v>
      </c>
      <c r="S219" s="85">
        <v>4968644.67</v>
      </c>
      <c r="T219" s="85">
        <v>4968644.67</v>
      </c>
      <c r="U219" s="85">
        <v>4968644.67</v>
      </c>
      <c r="V219" s="85">
        <v>4968644.67</v>
      </c>
      <c r="W219" s="85">
        <v>4968644.67</v>
      </c>
    </row>
    <row r="220" spans="1:23">
      <c r="A220" s="84">
        <v>0</v>
      </c>
      <c r="B220" s="84">
        <v>2012</v>
      </c>
      <c r="C220" s="84">
        <v>1283</v>
      </c>
      <c r="D220" s="84">
        <v>280455</v>
      </c>
      <c r="E220" s="84" t="str">
        <f t="shared" si="3"/>
        <v>22834001280455</v>
      </c>
      <c r="F220" s="84" t="str">
        <f>VLOOKUP(E220,zJARS_Allockeys!A:G,7,FALSE)</f>
        <v>NUTIL</v>
      </c>
      <c r="G220" s="84">
        <v>2283400</v>
      </c>
      <c r="H220" s="84">
        <v>1</v>
      </c>
      <c r="I220" s="84">
        <v>280455</v>
      </c>
      <c r="J220" s="84">
        <v>1000</v>
      </c>
      <c r="K220" s="85">
        <v>579986.66</v>
      </c>
      <c r="L220" s="85">
        <v>579986.66</v>
      </c>
      <c r="M220" s="85">
        <v>579986.66</v>
      </c>
      <c r="N220" s="85">
        <v>579986.66</v>
      </c>
      <c r="O220" s="85">
        <v>579986.66</v>
      </c>
      <c r="P220" s="85">
        <v>579986.66</v>
      </c>
      <c r="Q220" s="85">
        <v>579986.66</v>
      </c>
      <c r="R220" s="85">
        <v>579986.66</v>
      </c>
      <c r="S220" s="85">
        <v>579986.66</v>
      </c>
      <c r="T220" s="85">
        <v>579986.66</v>
      </c>
      <c r="U220" s="85">
        <v>579986.66</v>
      </c>
      <c r="V220" s="85">
        <v>579986.66</v>
      </c>
      <c r="W220" s="85">
        <v>579986.66</v>
      </c>
    </row>
    <row r="221" spans="1:23">
      <c r="A221" s="84">
        <v>0</v>
      </c>
      <c r="B221" s="84">
        <v>2012</v>
      </c>
      <c r="C221" s="84">
        <v>1407</v>
      </c>
      <c r="D221" s="84">
        <v>187624</v>
      </c>
      <c r="E221" s="84" t="str">
        <f t="shared" si="3"/>
        <v>1823870109187624</v>
      </c>
      <c r="F221" s="84" t="str">
        <f>VLOOKUP(E221,zJARS_Allockeys!A:G,7,FALSE)</f>
        <v>NUTIL</v>
      </c>
      <c r="G221" s="84">
        <v>1823870</v>
      </c>
      <c r="H221" s="84">
        <v>109</v>
      </c>
      <c r="I221" s="84">
        <v>187624</v>
      </c>
      <c r="J221" s="84">
        <v>1000</v>
      </c>
      <c r="K221" s="85">
        <v>243815.43</v>
      </c>
      <c r="L221" s="85">
        <v>243815.43</v>
      </c>
      <c r="M221" s="85">
        <v>243815.43</v>
      </c>
      <c r="N221" s="85">
        <v>243815.43</v>
      </c>
      <c r="O221" s="85">
        <v>243815.43</v>
      </c>
      <c r="P221" s="85">
        <v>243815.43</v>
      </c>
      <c r="Q221" s="85">
        <v>243815.43</v>
      </c>
      <c r="R221" s="85">
        <v>243815.43</v>
      </c>
      <c r="S221" s="85">
        <v>243815.43</v>
      </c>
      <c r="T221" s="85">
        <v>243815.43</v>
      </c>
      <c r="U221" s="85">
        <v>243815.43</v>
      </c>
      <c r="V221" s="85">
        <v>243815.43</v>
      </c>
      <c r="W221" s="85">
        <v>243815.43</v>
      </c>
    </row>
    <row r="222" spans="1:23">
      <c r="A222" s="84">
        <v>0</v>
      </c>
      <c r="B222" s="84">
        <v>2012</v>
      </c>
      <c r="C222" s="84">
        <v>1515</v>
      </c>
      <c r="D222" s="84">
        <v>280328</v>
      </c>
      <c r="E222" s="84" t="str">
        <f t="shared" si="3"/>
        <v>22834001280328</v>
      </c>
      <c r="F222" s="84" t="str">
        <f>VLOOKUP(E222,zJARS_Allockeys!A:G,7,FALSE)</f>
        <v>NUTIL</v>
      </c>
      <c r="G222" s="84">
        <v>2283400</v>
      </c>
      <c r="H222" s="84">
        <v>1</v>
      </c>
      <c r="I222" s="84">
        <v>280328</v>
      </c>
      <c r="J222" s="84">
        <v>1000</v>
      </c>
      <c r="K222" s="85">
        <v>8388137.2800000003</v>
      </c>
      <c r="L222" s="85">
        <v>8388137.2800000003</v>
      </c>
      <c r="M222" s="85">
        <v>8388137.2800000003</v>
      </c>
      <c r="N222" s="85">
        <v>8388137.2800000003</v>
      </c>
      <c r="O222" s="85">
        <v>8388137.2800000003</v>
      </c>
      <c r="P222" s="85">
        <v>8388137.2800000003</v>
      </c>
      <c r="Q222" s="85">
        <v>8388137.2800000003</v>
      </c>
      <c r="R222" s="85">
        <v>8388137.2800000003</v>
      </c>
      <c r="S222" s="85">
        <v>8388137.2800000003</v>
      </c>
      <c r="T222" s="85">
        <v>8388137.2800000003</v>
      </c>
      <c r="U222" s="85">
        <v>8388137.2800000003</v>
      </c>
      <c r="V222" s="85">
        <v>8388137.2800000003</v>
      </c>
      <c r="W222" s="85">
        <v>8388137.2800000003</v>
      </c>
    </row>
    <row r="223" spans="1:23">
      <c r="A223" s="84">
        <v>0</v>
      </c>
      <c r="B223" s="84">
        <v>2012</v>
      </c>
      <c r="C223" s="84" t="s">
        <v>255</v>
      </c>
      <c r="D223" s="84">
        <v>187017</v>
      </c>
      <c r="E223" s="84" t="str">
        <f t="shared" si="3"/>
        <v>18238701187017</v>
      </c>
      <c r="F223" s="84" t="str">
        <f>VLOOKUP(E223,zJARS_Allockeys!A:G,7,FALSE)</f>
        <v>NUTIL</v>
      </c>
      <c r="G223" s="84">
        <v>1823870</v>
      </c>
      <c r="H223" s="84">
        <v>1</v>
      </c>
      <c r="I223" s="84">
        <v>187017</v>
      </c>
      <c r="J223" s="84">
        <v>1000</v>
      </c>
      <c r="K223" s="85">
        <v>770280483.52999997</v>
      </c>
      <c r="L223" s="85">
        <v>770306135.48000002</v>
      </c>
      <c r="M223" s="85">
        <v>770306135.48000002</v>
      </c>
      <c r="N223" s="85">
        <v>770306135.48000002</v>
      </c>
      <c r="O223" s="85">
        <v>770306135.48000002</v>
      </c>
      <c r="P223" s="85">
        <v>770306135.48000002</v>
      </c>
      <c r="Q223" s="85">
        <v>770306135.48000002</v>
      </c>
      <c r="R223" s="85">
        <v>770306135.48000002</v>
      </c>
      <c r="S223" s="85">
        <v>770306135.48000002</v>
      </c>
      <c r="T223" s="85">
        <v>770306135.48000002</v>
      </c>
      <c r="U223" s="85">
        <v>770306135.48000002</v>
      </c>
      <c r="V223" s="85">
        <v>770306135.48000002</v>
      </c>
      <c r="W223" s="85">
        <v>770306135.48000002</v>
      </c>
    </row>
    <row r="224" spans="1:23">
      <c r="A224" s="84">
        <v>0</v>
      </c>
      <c r="B224" s="84">
        <v>2012</v>
      </c>
      <c r="C224" s="84" t="s">
        <v>255</v>
      </c>
      <c r="D224" s="84">
        <v>187621</v>
      </c>
      <c r="E224" s="84" t="str">
        <f t="shared" si="3"/>
        <v>18238701187621</v>
      </c>
      <c r="F224" s="84" t="str">
        <f>VLOOKUP(E224,zJARS_Allockeys!A:G,7,FALSE)</f>
        <v>NUTIL</v>
      </c>
      <c r="G224" s="84">
        <v>1823870</v>
      </c>
      <c r="H224" s="84">
        <v>1</v>
      </c>
      <c r="I224" s="84">
        <v>187621</v>
      </c>
      <c r="J224" s="84">
        <v>1000</v>
      </c>
      <c r="K224" s="85">
        <v>146546744.66999999</v>
      </c>
      <c r="L224" s="85">
        <v>146546744.66999999</v>
      </c>
      <c r="M224" s="85">
        <v>146546744.66999999</v>
      </c>
      <c r="N224" s="85">
        <v>146546744.66999999</v>
      </c>
      <c r="O224" s="85">
        <v>146546744.66999999</v>
      </c>
      <c r="P224" s="85">
        <v>146546744.66999999</v>
      </c>
      <c r="Q224" s="85">
        <v>146546744.66999999</v>
      </c>
      <c r="R224" s="85">
        <v>146546744.66999999</v>
      </c>
      <c r="S224" s="85">
        <v>146546744.66999999</v>
      </c>
      <c r="T224" s="85">
        <v>146546744.66999999</v>
      </c>
      <c r="U224" s="85">
        <v>146546744.66999999</v>
      </c>
      <c r="V224" s="85">
        <v>146546744.66999999</v>
      </c>
      <c r="W224" s="85">
        <v>146546744.66999999</v>
      </c>
    </row>
    <row r="225" spans="1:23">
      <c r="A225" s="84">
        <v>0</v>
      </c>
      <c r="B225" s="84">
        <v>2013</v>
      </c>
      <c r="C225" s="84">
        <v>1042</v>
      </c>
      <c r="D225" s="84">
        <v>280328</v>
      </c>
      <c r="E225" s="84" t="str">
        <f t="shared" si="3"/>
        <v>22834001280328</v>
      </c>
      <c r="F225" s="84" t="str">
        <f>VLOOKUP(E225,zJARS_Allockeys!A:G,7,FALSE)</f>
        <v>NUTIL</v>
      </c>
      <c r="G225" s="84">
        <v>2283400</v>
      </c>
      <c r="H225" s="84">
        <v>1</v>
      </c>
      <c r="I225" s="84">
        <v>280328</v>
      </c>
      <c r="J225" s="84">
        <v>1000</v>
      </c>
      <c r="K225" s="85">
        <v>-56060.46</v>
      </c>
      <c r="L225" s="85">
        <v>-56060.46</v>
      </c>
      <c r="M225" s="85">
        <v>-56060.46</v>
      </c>
      <c r="N225" s="85">
        <v>-56060.46</v>
      </c>
      <c r="O225" s="85">
        <v>-56060.46</v>
      </c>
      <c r="P225" s="85">
        <v>-56060.46</v>
      </c>
      <c r="Q225" s="85">
        <v>-56060.46</v>
      </c>
      <c r="R225" s="85">
        <v>-56060.46</v>
      </c>
      <c r="S225" s="85">
        <v>-56060.46</v>
      </c>
      <c r="T225" s="85">
        <v>-56060.46</v>
      </c>
      <c r="U225" s="85">
        <v>-56060.46</v>
      </c>
      <c r="V225" s="85">
        <v>-56060.46</v>
      </c>
      <c r="W225" s="85">
        <v>-56060.46</v>
      </c>
    </row>
    <row r="226" spans="1:23">
      <c r="A226" s="84">
        <v>0</v>
      </c>
      <c r="B226" s="84">
        <v>2013</v>
      </c>
      <c r="C226" s="84">
        <v>1042</v>
      </c>
      <c r="D226" s="84">
        <v>280328</v>
      </c>
      <c r="E226" s="84" t="str">
        <f t="shared" si="3"/>
        <v>22834001280328</v>
      </c>
      <c r="F226" s="84" t="str">
        <f>VLOOKUP(E226,zJARS_Allockeys!A:G,7,FALSE)</f>
        <v>NUTIL</v>
      </c>
      <c r="G226" s="84">
        <v>2283400</v>
      </c>
      <c r="H226" s="84">
        <v>1</v>
      </c>
      <c r="I226" s="84">
        <v>280328</v>
      </c>
      <c r="J226" s="84">
        <v>1000</v>
      </c>
      <c r="K226" s="85">
        <v>-54815619.219999999</v>
      </c>
      <c r="L226" s="85">
        <v>-55365236.43</v>
      </c>
      <c r="M226" s="85">
        <v>-55967006.560000002</v>
      </c>
      <c r="N226" s="85">
        <v>-56252331.030000001</v>
      </c>
      <c r="O226" s="85">
        <v>-56821272.670000002</v>
      </c>
      <c r="P226" s="85">
        <v>-57331873.510000005</v>
      </c>
      <c r="Q226" s="85">
        <v>-57882433.740000002</v>
      </c>
      <c r="R226" s="85">
        <v>-58434352.840000004</v>
      </c>
      <c r="S226" s="85">
        <v>-58971760.680000007</v>
      </c>
      <c r="T226" s="85">
        <v>-59489946.410000004</v>
      </c>
      <c r="U226" s="85">
        <v>-60010266.500000007</v>
      </c>
      <c r="V226" s="85">
        <v>-60010266.500000007</v>
      </c>
      <c r="W226" s="85">
        <v>-60010266.500000007</v>
      </c>
    </row>
    <row r="227" spans="1:23">
      <c r="A227" s="84">
        <v>0</v>
      </c>
      <c r="B227" s="84">
        <v>2013</v>
      </c>
      <c r="C227" s="84">
        <v>1042</v>
      </c>
      <c r="D227" s="84">
        <v>280328</v>
      </c>
      <c r="E227" s="84" t="str">
        <f t="shared" si="3"/>
        <v>2283400122092280328</v>
      </c>
      <c r="F227" s="84" t="str">
        <f>VLOOKUP(E227,zJARS_Allockeys!A:G,7,FALSE)</f>
        <v>NUTIL</v>
      </c>
      <c r="G227" s="84">
        <v>2283400</v>
      </c>
      <c r="H227" s="84">
        <v>122092</v>
      </c>
      <c r="I227" s="84">
        <v>280328</v>
      </c>
      <c r="J227" s="84">
        <v>1000</v>
      </c>
      <c r="K227" s="85">
        <v>-1381167.99</v>
      </c>
      <c r="L227" s="85">
        <v>-1381167.99</v>
      </c>
      <c r="M227" s="85">
        <v>-1381167.99</v>
      </c>
      <c r="N227" s="85">
        <v>-1381167.99</v>
      </c>
      <c r="O227" s="85">
        <v>-1381167.99</v>
      </c>
      <c r="P227" s="85">
        <v>-1381167.99</v>
      </c>
      <c r="Q227" s="85">
        <v>-1381167.99</v>
      </c>
      <c r="R227" s="85">
        <v>-1381167.99</v>
      </c>
      <c r="S227" s="85">
        <v>-1381167.99</v>
      </c>
      <c r="T227" s="85">
        <v>-1381167.99</v>
      </c>
      <c r="U227" s="85">
        <v>-1381167.99</v>
      </c>
      <c r="V227" s="85">
        <v>-1381167.99</v>
      </c>
      <c r="W227" s="85">
        <v>-1381167.99</v>
      </c>
    </row>
    <row r="228" spans="1:23">
      <c r="A228" s="84">
        <v>0</v>
      </c>
      <c r="B228" s="84">
        <v>2013</v>
      </c>
      <c r="C228" s="84">
        <v>1042</v>
      </c>
      <c r="D228" s="84">
        <v>280328</v>
      </c>
      <c r="E228" s="84" t="str">
        <f t="shared" si="3"/>
        <v>22840000</v>
      </c>
      <c r="F228" s="84" t="e">
        <f>VLOOKUP(E228,zJARS_Allockeys!A:G,7,FALSE)</f>
        <v>#N/A</v>
      </c>
      <c r="G228" s="84">
        <v>2284000</v>
      </c>
      <c r="H228" s="84">
        <v>0</v>
      </c>
      <c r="I228" s="84"/>
      <c r="J228" s="84">
        <v>1000</v>
      </c>
      <c r="K228" s="85">
        <v>-12312.58</v>
      </c>
      <c r="L228" s="85">
        <v>-12312.58</v>
      </c>
      <c r="M228" s="85">
        <v>-12312.58</v>
      </c>
      <c r="N228" s="85">
        <v>-12312.58</v>
      </c>
      <c r="O228" s="85">
        <v>-12312.58</v>
      </c>
      <c r="P228" s="85">
        <v>-12312.58</v>
      </c>
      <c r="Q228" s="85">
        <v>-12312.58</v>
      </c>
      <c r="R228" s="85">
        <v>-12312.58</v>
      </c>
      <c r="S228" s="85">
        <v>-12312.58</v>
      </c>
      <c r="T228" s="85">
        <v>-12312.58</v>
      </c>
      <c r="U228" s="85">
        <v>-12312.58</v>
      </c>
      <c r="V228" s="85">
        <v>-12312.58</v>
      </c>
      <c r="W228" s="85">
        <v>-12312.58</v>
      </c>
    </row>
    <row r="229" spans="1:23">
      <c r="A229" s="84">
        <v>0</v>
      </c>
      <c r="B229" s="84">
        <v>2013</v>
      </c>
      <c r="C229" s="84">
        <v>1042</v>
      </c>
      <c r="D229" s="84">
        <v>280355</v>
      </c>
      <c r="E229" s="84" t="str">
        <f t="shared" si="3"/>
        <v>22835001280355</v>
      </c>
      <c r="F229" s="84" t="str">
        <f>VLOOKUP(E229,zJARS_Allockeys!A:G,7,FALSE)</f>
        <v>NUTIL</v>
      </c>
      <c r="G229" s="84">
        <v>2283500</v>
      </c>
      <c r="H229" s="84">
        <v>1</v>
      </c>
      <c r="I229" s="84">
        <v>280355</v>
      </c>
      <c r="J229" s="84">
        <v>1000</v>
      </c>
      <c r="K229" s="85">
        <v>-75843093</v>
      </c>
      <c r="L229" s="85">
        <v>-75843093</v>
      </c>
      <c r="M229" s="85">
        <v>-75843093</v>
      </c>
      <c r="N229" s="85">
        <v>-75843093</v>
      </c>
      <c r="O229" s="85">
        <v>-75843093</v>
      </c>
      <c r="P229" s="85">
        <v>-75843093</v>
      </c>
      <c r="Q229" s="85">
        <v>-75843093</v>
      </c>
      <c r="R229" s="85">
        <v>-75843093</v>
      </c>
      <c r="S229" s="85">
        <v>-75843093</v>
      </c>
      <c r="T229" s="85">
        <v>-75843093</v>
      </c>
      <c r="U229" s="85">
        <v>-75843093</v>
      </c>
      <c r="V229" s="85">
        <v>-75843093</v>
      </c>
      <c r="W229" s="85">
        <v>-75843093</v>
      </c>
    </row>
    <row r="230" spans="1:23">
      <c r="A230" s="84">
        <v>0</v>
      </c>
      <c r="B230" s="84">
        <v>2013</v>
      </c>
      <c r="C230" s="84">
        <v>1042</v>
      </c>
      <c r="D230" s="84">
        <v>280455</v>
      </c>
      <c r="E230" s="84" t="str">
        <f t="shared" si="3"/>
        <v>22834001280455</v>
      </c>
      <c r="F230" s="84" t="str">
        <f>VLOOKUP(E230,zJARS_Allockeys!A:G,7,FALSE)</f>
        <v>NUTIL</v>
      </c>
      <c r="G230" s="84">
        <v>2283400</v>
      </c>
      <c r="H230" s="84">
        <v>1</v>
      </c>
      <c r="I230" s="84">
        <v>280455</v>
      </c>
      <c r="J230" s="84">
        <v>1000</v>
      </c>
      <c r="K230" s="85">
        <v>-9222925.3300000001</v>
      </c>
      <c r="L230" s="85">
        <v>-9225754.1400000006</v>
      </c>
      <c r="M230" s="85">
        <v>-9228292.9500000011</v>
      </c>
      <c r="N230" s="85">
        <v>-9871872.3200000003</v>
      </c>
      <c r="O230" s="85">
        <v>-9874411.1300000008</v>
      </c>
      <c r="P230" s="85">
        <v>-9876949.9400000013</v>
      </c>
      <c r="Q230" s="85">
        <v>-10324659.340000002</v>
      </c>
      <c r="R230" s="85">
        <v>-10327198.150000002</v>
      </c>
      <c r="S230" s="85">
        <v>-10329736.960000003</v>
      </c>
      <c r="T230" s="85">
        <v>-10469947.080000002</v>
      </c>
      <c r="U230" s="85">
        <v>-10472485.890000002</v>
      </c>
      <c r="V230" s="85">
        <v>-10472485.890000002</v>
      </c>
      <c r="W230" s="85">
        <v>-10472485.890000002</v>
      </c>
    </row>
    <row r="231" spans="1:23">
      <c r="A231" s="84">
        <v>0</v>
      </c>
      <c r="B231" s="84">
        <v>2013</v>
      </c>
      <c r="C231" s="84">
        <v>1042</v>
      </c>
      <c r="D231" s="84">
        <v>280459</v>
      </c>
      <c r="E231" s="84" t="str">
        <f t="shared" si="3"/>
        <v>22834001280459</v>
      </c>
      <c r="F231" s="84" t="str">
        <f>VLOOKUP(E231,zJARS_Allockeys!A:G,7,FALSE)</f>
        <v>NUTIL</v>
      </c>
      <c r="G231" s="84">
        <v>2283400</v>
      </c>
      <c r="H231" s="84">
        <v>1</v>
      </c>
      <c r="I231" s="84">
        <v>280459</v>
      </c>
      <c r="J231" s="84">
        <v>1000</v>
      </c>
      <c r="K231" s="85">
        <v>-2774802.91</v>
      </c>
      <c r="L231" s="85">
        <v>-2774802.91</v>
      </c>
      <c r="M231" s="85">
        <v>-2774802.91</v>
      </c>
      <c r="N231" s="85">
        <v>-2774802.91</v>
      </c>
      <c r="O231" s="85">
        <v>-2774802.91</v>
      </c>
      <c r="P231" s="85">
        <v>-2774802.91</v>
      </c>
      <c r="Q231" s="85">
        <v>-2774802.91</v>
      </c>
      <c r="R231" s="85">
        <v>-2774802.91</v>
      </c>
      <c r="S231" s="85">
        <v>-2774802.91</v>
      </c>
      <c r="T231" s="85">
        <v>-2774802.91</v>
      </c>
      <c r="U231" s="85">
        <v>-2774802.91</v>
      </c>
      <c r="V231" s="85">
        <v>-2774802.91</v>
      </c>
      <c r="W231" s="85">
        <v>-2774802.91</v>
      </c>
    </row>
    <row r="232" spans="1:23">
      <c r="A232" s="84">
        <v>0</v>
      </c>
      <c r="B232" s="84">
        <v>2013</v>
      </c>
      <c r="C232" s="84">
        <v>1042</v>
      </c>
      <c r="D232" s="84">
        <v>280465</v>
      </c>
      <c r="E232" s="84" t="str">
        <f t="shared" si="3"/>
        <v>22835001280465</v>
      </c>
      <c r="F232" s="84" t="str">
        <f>VLOOKUP(E232,zJARS_Allockeys!A:G,7,FALSE)</f>
        <v>NUTIL</v>
      </c>
      <c r="G232" s="84">
        <v>2283500</v>
      </c>
      <c r="H232" s="84">
        <v>1</v>
      </c>
      <c r="I232" s="84">
        <v>280465</v>
      </c>
      <c r="J232" s="84">
        <v>1000</v>
      </c>
      <c r="K232" s="85">
        <v>-4050376.48</v>
      </c>
      <c r="L232" s="85">
        <v>-4050376.48</v>
      </c>
      <c r="M232" s="85">
        <v>-4050376.48</v>
      </c>
      <c r="N232" s="85">
        <v>-4050376.48</v>
      </c>
      <c r="O232" s="85">
        <v>-4050376.48</v>
      </c>
      <c r="P232" s="85">
        <v>-4050376.48</v>
      </c>
      <c r="Q232" s="85">
        <v>-4050376.48</v>
      </c>
      <c r="R232" s="85">
        <v>-4050376.48</v>
      </c>
      <c r="S232" s="85">
        <v>-4050376.48</v>
      </c>
      <c r="T232" s="85">
        <v>-4050376.48</v>
      </c>
      <c r="U232" s="85">
        <v>-4050376.48</v>
      </c>
      <c r="V232" s="85">
        <v>-4050376.48</v>
      </c>
      <c r="W232" s="85">
        <v>-4050376.48</v>
      </c>
    </row>
    <row r="233" spans="1:23">
      <c r="A233" s="84">
        <v>0</v>
      </c>
      <c r="B233" s="84">
        <v>2013</v>
      </c>
      <c r="C233" s="84">
        <v>1170</v>
      </c>
      <c r="D233" s="84">
        <v>280479</v>
      </c>
      <c r="E233" s="84" t="str">
        <f t="shared" si="3"/>
        <v>22835001034280479</v>
      </c>
      <c r="F233" s="84" t="str">
        <f>VLOOKUP(E233,zJARS_Allockeys!A:G,7,FALSE)</f>
        <v>NUTIL</v>
      </c>
      <c r="G233" s="84">
        <v>2283500</v>
      </c>
      <c r="H233" s="84">
        <v>1034</v>
      </c>
      <c r="I233" s="84">
        <v>280479</v>
      </c>
      <c r="J233" s="84">
        <v>1000</v>
      </c>
      <c r="K233" s="85">
        <v>-230166664.41999999</v>
      </c>
      <c r="L233" s="85">
        <v>-234164762.72999999</v>
      </c>
      <c r="M233" s="85">
        <v>-238166762.72999999</v>
      </c>
      <c r="N233" s="85">
        <v>-242168762.72999999</v>
      </c>
      <c r="O233" s="85">
        <v>-246170762.72999999</v>
      </c>
      <c r="P233" s="85">
        <v>-250172762.72999999</v>
      </c>
      <c r="Q233" s="85">
        <v>-254174762.72999999</v>
      </c>
      <c r="R233" s="85">
        <v>-258176762.72999999</v>
      </c>
      <c r="S233" s="85">
        <v>-262178762.72999999</v>
      </c>
      <c r="T233" s="85">
        <v>-266180762.72999999</v>
      </c>
      <c r="U233" s="85">
        <v>-270182762.73000002</v>
      </c>
      <c r="V233" s="85">
        <v>-274184762.73000002</v>
      </c>
      <c r="W233" s="85">
        <v>-274184762.73000002</v>
      </c>
    </row>
    <row r="234" spans="1:23">
      <c r="A234" s="84">
        <v>0</v>
      </c>
      <c r="B234" s="84">
        <v>2013</v>
      </c>
      <c r="C234" s="84">
        <v>1170</v>
      </c>
      <c r="D234" s="84">
        <v>280479</v>
      </c>
      <c r="E234" s="84" t="str">
        <f t="shared" si="3"/>
        <v>242000010340</v>
      </c>
      <c r="F234" s="84" t="str">
        <f>VLOOKUP(E234,zJARS_Allockeys!A:G,7,FALSE)</f>
        <v>NUTIL</v>
      </c>
      <c r="G234" s="84">
        <v>2420000</v>
      </c>
      <c r="H234" s="84">
        <v>1034</v>
      </c>
      <c r="I234" s="84">
        <v>0</v>
      </c>
      <c r="J234" s="84">
        <v>1000</v>
      </c>
      <c r="K234" s="85">
        <v>-16000000</v>
      </c>
      <c r="L234" s="85">
        <v>-16000000</v>
      </c>
      <c r="M234" s="85">
        <v>-16000000</v>
      </c>
      <c r="N234" s="85">
        <v>-16000000</v>
      </c>
      <c r="O234" s="85">
        <v>-16000000</v>
      </c>
      <c r="P234" s="85">
        <v>-16000000</v>
      </c>
      <c r="Q234" s="85">
        <v>-16000000</v>
      </c>
      <c r="R234" s="85">
        <v>-16000000</v>
      </c>
      <c r="S234" s="85">
        <v>-16000000</v>
      </c>
      <c r="T234" s="85">
        <v>-16000000</v>
      </c>
      <c r="U234" s="85">
        <v>-16000000</v>
      </c>
      <c r="V234" s="85">
        <v>-16000000</v>
      </c>
      <c r="W234" s="85">
        <v>-16000000</v>
      </c>
    </row>
    <row r="235" spans="1:23">
      <c r="A235" s="84">
        <v>0</v>
      </c>
      <c r="B235" s="84">
        <v>2013</v>
      </c>
      <c r="C235" s="84">
        <v>1196</v>
      </c>
      <c r="D235" s="84">
        <v>280328</v>
      </c>
      <c r="E235" s="84" t="str">
        <f t="shared" si="3"/>
        <v>22834001280328</v>
      </c>
      <c r="F235" s="84" t="str">
        <f>VLOOKUP(E235,zJARS_Allockeys!A:G,7,FALSE)</f>
        <v>NUTIL</v>
      </c>
      <c r="G235" s="84">
        <v>2283400</v>
      </c>
      <c r="H235" s="84">
        <v>1</v>
      </c>
      <c r="I235" s="84">
        <v>280328</v>
      </c>
      <c r="J235" s="84">
        <v>1000</v>
      </c>
      <c r="K235" s="85">
        <v>-94320.05</v>
      </c>
      <c r="L235" s="85">
        <v>-94320.05</v>
      </c>
      <c r="M235" s="85">
        <v>-94320.05</v>
      </c>
      <c r="N235" s="85">
        <v>-94320.05</v>
      </c>
      <c r="O235" s="85">
        <v>-94320.05</v>
      </c>
      <c r="P235" s="85">
        <v>-94320.05</v>
      </c>
      <c r="Q235" s="85">
        <v>-94320.05</v>
      </c>
      <c r="R235" s="85">
        <v>-94320.05</v>
      </c>
      <c r="S235" s="85">
        <v>-94320.05</v>
      </c>
      <c r="T235" s="85">
        <v>-94320.05</v>
      </c>
      <c r="U235" s="85">
        <v>-94320.05</v>
      </c>
      <c r="V235" s="85">
        <v>-94320.05</v>
      </c>
      <c r="W235" s="85">
        <v>-94320.05</v>
      </c>
    </row>
    <row r="236" spans="1:23">
      <c r="A236" s="84">
        <v>0</v>
      </c>
      <c r="B236" s="84">
        <v>2013</v>
      </c>
      <c r="C236" s="84">
        <v>1200</v>
      </c>
      <c r="D236" s="84">
        <v>187017</v>
      </c>
      <c r="E236" s="84" t="str">
        <f t="shared" si="3"/>
        <v>18238701111610</v>
      </c>
      <c r="F236" s="84" t="str">
        <f>VLOOKUP(E236,zJARS_Allockeys!A:G,7,FALSE)</f>
        <v>NUTIL</v>
      </c>
      <c r="G236" s="84">
        <v>1823870</v>
      </c>
      <c r="H236" s="84">
        <v>1</v>
      </c>
      <c r="I236" s="84">
        <v>111610</v>
      </c>
      <c r="J236" s="84">
        <v>1000</v>
      </c>
      <c r="K236" s="85">
        <v>-409985025.17000002</v>
      </c>
      <c r="L236" s="85">
        <v>-409985025.17000002</v>
      </c>
      <c r="M236" s="85">
        <v>-409985025.17000002</v>
      </c>
      <c r="N236" s="85">
        <v>-409985025.17000002</v>
      </c>
      <c r="O236" s="85">
        <v>-409985025.17000002</v>
      </c>
      <c r="P236" s="85">
        <v>-409985025.17000002</v>
      </c>
      <c r="Q236" s="85">
        <v>-409985025.17000002</v>
      </c>
      <c r="R236" s="85">
        <v>-409985025.17000002</v>
      </c>
      <c r="S236" s="85">
        <v>-409985025.17000002</v>
      </c>
      <c r="T236" s="85">
        <v>-409985025.17000002</v>
      </c>
      <c r="U236" s="85">
        <v>-409985025.17000002</v>
      </c>
      <c r="V236" s="85">
        <v>-409985025.17000002</v>
      </c>
      <c r="W236" s="85">
        <v>-409985025.17000002</v>
      </c>
    </row>
    <row r="237" spans="1:23">
      <c r="A237" s="84">
        <v>0</v>
      </c>
      <c r="B237" s="84">
        <v>2013</v>
      </c>
      <c r="C237" s="84">
        <v>1200</v>
      </c>
      <c r="D237" s="84">
        <v>187017</v>
      </c>
      <c r="E237" s="84" t="str">
        <f t="shared" si="3"/>
        <v>18238701187017</v>
      </c>
      <c r="F237" s="84" t="str">
        <f>VLOOKUP(E237,zJARS_Allockeys!A:G,7,FALSE)</f>
        <v>NUTIL</v>
      </c>
      <c r="G237" s="84">
        <v>1823870</v>
      </c>
      <c r="H237" s="84">
        <v>1</v>
      </c>
      <c r="I237" s="84">
        <v>187017</v>
      </c>
      <c r="J237" s="84">
        <v>1000</v>
      </c>
      <c r="K237" s="85">
        <v>-604036670.61000001</v>
      </c>
      <c r="L237" s="85">
        <v>-606921914.93000007</v>
      </c>
      <c r="M237" s="85">
        <v>-609939599.47000003</v>
      </c>
      <c r="N237" s="85">
        <v>-612882016.12</v>
      </c>
      <c r="O237" s="85">
        <v>-615824432.76999998</v>
      </c>
      <c r="P237" s="85">
        <v>-618766849.41999996</v>
      </c>
      <c r="Q237" s="85">
        <v>-621709266.06999993</v>
      </c>
      <c r="R237" s="85">
        <v>-624651682.71999991</v>
      </c>
      <c r="S237" s="85">
        <v>-627880913.01999986</v>
      </c>
      <c r="T237" s="85">
        <v>-630813470.53999984</v>
      </c>
      <c r="U237" s="85">
        <v>-633755887.21999979</v>
      </c>
      <c r="V237" s="85">
        <v>-633755887.21999979</v>
      </c>
      <c r="W237" s="85">
        <v>-633755887.21999979</v>
      </c>
    </row>
    <row r="238" spans="1:23">
      <c r="A238" s="84">
        <v>0</v>
      </c>
      <c r="B238" s="84">
        <v>2013</v>
      </c>
      <c r="C238" s="84">
        <v>1200</v>
      </c>
      <c r="D238" s="84">
        <v>187600</v>
      </c>
      <c r="E238" s="84" t="str">
        <f t="shared" si="3"/>
        <v>18238701187600</v>
      </c>
      <c r="F238" s="84" t="str">
        <f>VLOOKUP(E238,zJARS_Allockeys!A:G,7,FALSE)</f>
        <v>NUTIL</v>
      </c>
      <c r="G238" s="84">
        <v>1823870</v>
      </c>
      <c r="H238" s="84">
        <v>1</v>
      </c>
      <c r="I238" s="84">
        <v>187600</v>
      </c>
      <c r="J238" s="84">
        <v>1000</v>
      </c>
      <c r="K238" s="85">
        <v>-12441557.43</v>
      </c>
      <c r="L238" s="85">
        <v>-12441557.43</v>
      </c>
      <c r="M238" s="85">
        <v>-12441557.43</v>
      </c>
      <c r="N238" s="85">
        <v>-12441557.43</v>
      </c>
      <c r="O238" s="85">
        <v>-12441557.43</v>
      </c>
      <c r="P238" s="85">
        <v>-12441557.43</v>
      </c>
      <c r="Q238" s="85">
        <v>-12441557.43</v>
      </c>
      <c r="R238" s="85">
        <v>-12441557.43</v>
      </c>
      <c r="S238" s="85">
        <v>-12441557.43</v>
      </c>
      <c r="T238" s="85">
        <v>-12441557.43</v>
      </c>
      <c r="U238" s="85">
        <v>-12441557.43</v>
      </c>
      <c r="V238" s="85">
        <v>-12441557.43</v>
      </c>
      <c r="W238" s="85">
        <v>-12441557.43</v>
      </c>
    </row>
    <row r="239" spans="1:23">
      <c r="A239" s="84">
        <v>0</v>
      </c>
      <c r="B239" s="84">
        <v>2013</v>
      </c>
      <c r="C239" s="84">
        <v>1200</v>
      </c>
      <c r="D239" s="84">
        <v>187602</v>
      </c>
      <c r="E239" s="84" t="str">
        <f t="shared" si="3"/>
        <v>18238701187602</v>
      </c>
      <c r="F239" s="84" t="str">
        <f>VLOOKUP(E239,zJARS_Allockeys!A:G,7,FALSE)</f>
        <v>NUTIL</v>
      </c>
      <c r="G239" s="84">
        <v>1823870</v>
      </c>
      <c r="H239" s="84">
        <v>1</v>
      </c>
      <c r="I239" s="84">
        <v>187602</v>
      </c>
      <c r="J239" s="84">
        <v>1000</v>
      </c>
      <c r="K239" s="85">
        <v>-1140369.54</v>
      </c>
      <c r="L239" s="85">
        <v>-1163967.54</v>
      </c>
      <c r="M239" s="85">
        <v>-1187565.54</v>
      </c>
      <c r="N239" s="85">
        <v>-1211163.54</v>
      </c>
      <c r="O239" s="85">
        <v>-1234761.54</v>
      </c>
      <c r="P239" s="85">
        <v>-1258359.54</v>
      </c>
      <c r="Q239" s="85">
        <v>-1281957.53</v>
      </c>
      <c r="R239" s="85">
        <v>-1305555.53</v>
      </c>
      <c r="S239" s="85">
        <v>-1329153.53</v>
      </c>
      <c r="T239" s="85">
        <v>-1352751.53</v>
      </c>
      <c r="U239" s="85">
        <v>-1376349.53</v>
      </c>
      <c r="V239" s="85">
        <v>-1376349.53</v>
      </c>
      <c r="W239" s="85">
        <v>-1376349.53</v>
      </c>
    </row>
    <row r="240" spans="1:23">
      <c r="A240" s="84">
        <v>0</v>
      </c>
      <c r="B240" s="84">
        <v>2013</v>
      </c>
      <c r="C240" s="84">
        <v>1200</v>
      </c>
      <c r="D240" s="84">
        <v>187604</v>
      </c>
      <c r="E240" s="84" t="str">
        <f t="shared" si="3"/>
        <v>18238701187604</v>
      </c>
      <c r="F240" s="84" t="str">
        <f>VLOOKUP(E240,zJARS_Allockeys!A:G,7,FALSE)</f>
        <v>NUTIL</v>
      </c>
      <c r="G240" s="84">
        <v>1823870</v>
      </c>
      <c r="H240" s="84">
        <v>1</v>
      </c>
      <c r="I240" s="84">
        <v>187604</v>
      </c>
      <c r="J240" s="84">
        <v>1000</v>
      </c>
      <c r="K240" s="85">
        <v>-1084588.6100000001</v>
      </c>
      <c r="L240" s="85">
        <v>-1084588.6100000001</v>
      </c>
      <c r="M240" s="85">
        <v>-1084588.6100000001</v>
      </c>
      <c r="N240" s="85">
        <v>-1084588.6100000001</v>
      </c>
      <c r="O240" s="85">
        <v>-1084588.6100000001</v>
      </c>
      <c r="P240" s="85">
        <v>-1084588.6100000001</v>
      </c>
      <c r="Q240" s="85">
        <v>-1084588.6100000001</v>
      </c>
      <c r="R240" s="85">
        <v>-1084588.6100000001</v>
      </c>
      <c r="S240" s="85">
        <v>-1084588.6100000001</v>
      </c>
      <c r="T240" s="85">
        <v>-1084588.6100000001</v>
      </c>
      <c r="U240" s="85">
        <v>-1084588.6100000001</v>
      </c>
      <c r="V240" s="85">
        <v>-1084588.6100000001</v>
      </c>
      <c r="W240" s="85">
        <v>-1084588.6100000001</v>
      </c>
    </row>
    <row r="241" spans="1:23">
      <c r="A241" s="84">
        <v>0</v>
      </c>
      <c r="B241" s="84">
        <v>2013</v>
      </c>
      <c r="C241" s="84">
        <v>1200</v>
      </c>
      <c r="D241" s="84">
        <v>187605</v>
      </c>
      <c r="E241" s="84" t="str">
        <f t="shared" si="3"/>
        <v>18238701187605</v>
      </c>
      <c r="F241" s="84" t="str">
        <f>VLOOKUP(E241,zJARS_Allockeys!A:G,7,FALSE)</f>
        <v>NUTIL</v>
      </c>
      <c r="G241" s="84">
        <v>1823870</v>
      </c>
      <c r="H241" s="84">
        <v>1</v>
      </c>
      <c r="I241" s="84">
        <v>187605</v>
      </c>
      <c r="J241" s="84">
        <v>1000</v>
      </c>
      <c r="K241" s="85">
        <v>-6475445.5899999999</v>
      </c>
      <c r="L241" s="85">
        <v>-6475445.5899999999</v>
      </c>
      <c r="M241" s="85">
        <v>-6475445.5899999999</v>
      </c>
      <c r="N241" s="85">
        <v>-6475445.5899999999</v>
      </c>
      <c r="O241" s="85">
        <v>-6475445.5899999999</v>
      </c>
      <c r="P241" s="85">
        <v>-6475445.5899999999</v>
      </c>
      <c r="Q241" s="85">
        <v>-6475445.5899999999</v>
      </c>
      <c r="R241" s="85">
        <v>-6475445.5899999999</v>
      </c>
      <c r="S241" s="85">
        <v>-6475445.5899999999</v>
      </c>
      <c r="T241" s="85">
        <v>-6475445.5899999999</v>
      </c>
      <c r="U241" s="85">
        <v>-6475445.5899999999</v>
      </c>
      <c r="V241" s="85">
        <v>-6475445.5899999999</v>
      </c>
      <c r="W241" s="85">
        <v>-6475445.5899999999</v>
      </c>
    </row>
    <row r="242" spans="1:23">
      <c r="A242" s="84">
        <v>0</v>
      </c>
      <c r="B242" s="84">
        <v>2013</v>
      </c>
      <c r="C242" s="84">
        <v>1200</v>
      </c>
      <c r="D242" s="84">
        <v>187621</v>
      </c>
      <c r="E242" s="84" t="str">
        <f t="shared" si="3"/>
        <v>18238701114020</v>
      </c>
      <c r="F242" s="84" t="str">
        <f>VLOOKUP(E242,zJARS_Allockeys!A:G,7,FALSE)</f>
        <v>NUTIL</v>
      </c>
      <c r="G242" s="84">
        <v>1823870</v>
      </c>
      <c r="H242" s="84">
        <v>1</v>
      </c>
      <c r="I242" s="84">
        <v>114020</v>
      </c>
      <c r="J242" s="84">
        <v>1000</v>
      </c>
      <c r="K242" s="85">
        <v>-206435569.09</v>
      </c>
      <c r="L242" s="85">
        <v>-206435569.09</v>
      </c>
      <c r="M242" s="85">
        <v>-206435569.09</v>
      </c>
      <c r="N242" s="85">
        <v>-206435569.09</v>
      </c>
      <c r="O242" s="85">
        <v>-206435569.09</v>
      </c>
      <c r="P242" s="85">
        <v>-206435569.09</v>
      </c>
      <c r="Q242" s="85">
        <v>-206435569.09</v>
      </c>
      <c r="R242" s="85">
        <v>-206435569.09</v>
      </c>
      <c r="S242" s="85">
        <v>-206435569.09</v>
      </c>
      <c r="T242" s="85">
        <v>-206435569.09</v>
      </c>
      <c r="U242" s="85">
        <v>-206435569.09</v>
      </c>
      <c r="V242" s="85">
        <v>-206435569.09</v>
      </c>
      <c r="W242" s="85">
        <v>-206435569.09</v>
      </c>
    </row>
    <row r="243" spans="1:23">
      <c r="A243" s="84">
        <v>0</v>
      </c>
      <c r="B243" s="84">
        <v>2013</v>
      </c>
      <c r="C243" s="84">
        <v>1200</v>
      </c>
      <c r="D243" s="84">
        <v>187621</v>
      </c>
      <c r="E243" s="84" t="str">
        <f t="shared" si="3"/>
        <v>18238701187621</v>
      </c>
      <c r="F243" s="84" t="str">
        <f>VLOOKUP(E243,zJARS_Allockeys!A:G,7,FALSE)</f>
        <v>NUTIL</v>
      </c>
      <c r="G243" s="84">
        <v>1823870</v>
      </c>
      <c r="H243" s="84">
        <v>1</v>
      </c>
      <c r="I243" s="84">
        <v>187621</v>
      </c>
      <c r="J243" s="84">
        <v>1000</v>
      </c>
      <c r="K243" s="85">
        <v>-158743286.02000001</v>
      </c>
      <c r="L243" s="85">
        <v>-159379586.48000002</v>
      </c>
      <c r="M243" s="85">
        <v>-159719422.49000001</v>
      </c>
      <c r="N243" s="85">
        <v>-160069266.67000002</v>
      </c>
      <c r="O243" s="85">
        <v>-160419110.85000002</v>
      </c>
      <c r="P243" s="85">
        <v>-160768955.03000003</v>
      </c>
      <c r="Q243" s="85">
        <v>-161118799.21000004</v>
      </c>
      <c r="R243" s="85">
        <v>-161468643.39000005</v>
      </c>
      <c r="S243" s="85">
        <v>-161813814.65000004</v>
      </c>
      <c r="T243" s="85">
        <v>-162244018.50000003</v>
      </c>
      <c r="U243" s="85">
        <v>-162598351.64000002</v>
      </c>
      <c r="V243" s="85">
        <v>-162598351.64000002</v>
      </c>
      <c r="W243" s="85">
        <v>-162598351.64000002</v>
      </c>
    </row>
    <row r="244" spans="1:23">
      <c r="A244" s="84">
        <v>0</v>
      </c>
      <c r="B244" s="84">
        <v>2013</v>
      </c>
      <c r="C244" s="84">
        <v>1200</v>
      </c>
      <c r="D244" s="84">
        <v>187622</v>
      </c>
      <c r="E244" s="84" t="str">
        <f t="shared" si="3"/>
        <v>18238701187622</v>
      </c>
      <c r="F244" s="84" t="str">
        <f>VLOOKUP(E244,zJARS_Allockeys!A:G,7,FALSE)</f>
        <v>NUTIL</v>
      </c>
      <c r="G244" s="84">
        <v>1823870</v>
      </c>
      <c r="H244" s="84">
        <v>1</v>
      </c>
      <c r="I244" s="84">
        <v>187622</v>
      </c>
      <c r="J244" s="84">
        <v>1000</v>
      </c>
      <c r="K244" s="85">
        <v>-648507.93000000005</v>
      </c>
      <c r="L244" s="85">
        <v>-664594.15</v>
      </c>
      <c r="M244" s="85">
        <v>-680680.38</v>
      </c>
      <c r="N244" s="85">
        <v>-696766.61</v>
      </c>
      <c r="O244" s="85">
        <v>-712852.84</v>
      </c>
      <c r="P244" s="85">
        <v>-728939.07</v>
      </c>
      <c r="Q244" s="85">
        <v>-745025.29999999993</v>
      </c>
      <c r="R244" s="85">
        <v>-761111.52999999991</v>
      </c>
      <c r="S244" s="85">
        <v>-777197.75999999989</v>
      </c>
      <c r="T244" s="85">
        <v>-793283.98999999987</v>
      </c>
      <c r="U244" s="85">
        <v>-809370.21999999986</v>
      </c>
      <c r="V244" s="85">
        <v>-809370.21999999986</v>
      </c>
      <c r="W244" s="85">
        <v>-809370.21999999986</v>
      </c>
    </row>
    <row r="245" spans="1:23">
      <c r="A245" s="84">
        <v>0</v>
      </c>
      <c r="B245" s="84">
        <v>2013</v>
      </c>
      <c r="C245" s="84">
        <v>1200</v>
      </c>
      <c r="D245" s="84">
        <v>187624</v>
      </c>
      <c r="E245" s="84" t="str">
        <f t="shared" si="3"/>
        <v>18238701187624</v>
      </c>
      <c r="F245" s="84" t="str">
        <f>VLOOKUP(E245,zJARS_Allockeys!A:G,7,FALSE)</f>
        <v>NUTIL</v>
      </c>
      <c r="G245" s="84">
        <v>1823870</v>
      </c>
      <c r="H245" s="84">
        <v>1</v>
      </c>
      <c r="I245" s="84">
        <v>187624</v>
      </c>
      <c r="J245" s="84">
        <v>1000</v>
      </c>
      <c r="K245" s="85">
        <v>-1122135.21</v>
      </c>
      <c r="L245" s="85">
        <v>-1145355.8699999999</v>
      </c>
      <c r="M245" s="85">
        <v>-1168576.5399999998</v>
      </c>
      <c r="N245" s="85">
        <v>-1191797.2099999997</v>
      </c>
      <c r="O245" s="85">
        <v>-1215017.8799999997</v>
      </c>
      <c r="P245" s="85">
        <v>-1238238.5499999996</v>
      </c>
      <c r="Q245" s="85">
        <v>-1261459.2199999995</v>
      </c>
      <c r="R245" s="85">
        <v>-1284679.8799999994</v>
      </c>
      <c r="S245" s="85">
        <v>-1307900.5499999993</v>
      </c>
      <c r="T245" s="85">
        <v>-1331121.2199999993</v>
      </c>
      <c r="U245" s="85">
        <v>-1354341.8899999992</v>
      </c>
      <c r="V245" s="85">
        <v>-1354341.8899999992</v>
      </c>
      <c r="W245" s="85">
        <v>-1354341.8899999992</v>
      </c>
    </row>
    <row r="246" spans="1:23">
      <c r="A246" s="84">
        <v>0</v>
      </c>
      <c r="B246" s="84">
        <v>2013</v>
      </c>
      <c r="C246" s="84">
        <v>1200</v>
      </c>
      <c r="D246" s="84">
        <v>187627</v>
      </c>
      <c r="E246" s="84" t="str">
        <f t="shared" si="3"/>
        <v>18238701187627</v>
      </c>
      <c r="F246" s="84" t="str">
        <f>VLOOKUP(E246,zJARS_Allockeys!A:G,7,FALSE)</f>
        <v>NUTIL</v>
      </c>
      <c r="G246" s="84">
        <v>1823870</v>
      </c>
      <c r="H246" s="84">
        <v>1</v>
      </c>
      <c r="I246" s="84">
        <v>187627</v>
      </c>
      <c r="J246" s="84">
        <v>1000</v>
      </c>
      <c r="K246" s="85">
        <v>-51790.25</v>
      </c>
      <c r="L246" s="85">
        <v>-53247.58</v>
      </c>
      <c r="M246" s="85">
        <v>-54704.91</v>
      </c>
      <c r="N246" s="85">
        <v>-56162.240000000005</v>
      </c>
      <c r="O246" s="85">
        <v>-57619.570000000007</v>
      </c>
      <c r="P246" s="85">
        <v>-59076.900000000009</v>
      </c>
      <c r="Q246" s="85">
        <v>-60534.23000000001</v>
      </c>
      <c r="R246" s="85">
        <v>-61991.560000000012</v>
      </c>
      <c r="S246" s="85">
        <v>-63448.890000000014</v>
      </c>
      <c r="T246" s="85">
        <v>-64906.220000000016</v>
      </c>
      <c r="U246" s="85">
        <v>-66363.550000000017</v>
      </c>
      <c r="V246" s="85">
        <v>-66363.550000000017</v>
      </c>
      <c r="W246" s="85">
        <v>-66363.550000000017</v>
      </c>
    </row>
    <row r="247" spans="1:23">
      <c r="A247" s="84">
        <v>0</v>
      </c>
      <c r="B247" s="84">
        <v>2013</v>
      </c>
      <c r="C247" s="84">
        <v>1200</v>
      </c>
      <c r="D247" s="84">
        <v>280328</v>
      </c>
      <c r="E247" s="84" t="str">
        <f t="shared" si="3"/>
        <v>22834000</v>
      </c>
      <c r="F247" s="84" t="e">
        <f>VLOOKUP(E247,zJARS_Allockeys!A:G,7,FALSE)</f>
        <v>#N/A</v>
      </c>
      <c r="G247" s="84">
        <v>2283400</v>
      </c>
      <c r="H247" s="84">
        <v>0</v>
      </c>
      <c r="I247" s="84"/>
      <c r="J247" s="84">
        <v>1000</v>
      </c>
      <c r="K247" s="85">
        <v>-2753875.33</v>
      </c>
      <c r="L247" s="85">
        <v>-2753875.33</v>
      </c>
      <c r="M247" s="85">
        <v>-2753875.33</v>
      </c>
      <c r="N247" s="85">
        <v>-2753875.33</v>
      </c>
      <c r="O247" s="85">
        <v>-2753875.33</v>
      </c>
      <c r="P247" s="85">
        <v>-2753875.33</v>
      </c>
      <c r="Q247" s="85">
        <v>-2753875.33</v>
      </c>
      <c r="R247" s="85">
        <v>-2753875.33</v>
      </c>
      <c r="S247" s="85">
        <v>-2753875.33</v>
      </c>
      <c r="T247" s="85">
        <v>-2753875.33</v>
      </c>
      <c r="U247" s="85">
        <v>-2753875.33</v>
      </c>
      <c r="V247" s="85">
        <v>-2753875.33</v>
      </c>
      <c r="W247" s="85">
        <v>-2753875.33</v>
      </c>
    </row>
    <row r="248" spans="1:23">
      <c r="A248" s="84">
        <v>0</v>
      </c>
      <c r="B248" s="84">
        <v>2013</v>
      </c>
      <c r="C248" s="84">
        <v>1200</v>
      </c>
      <c r="D248" s="84">
        <v>280328</v>
      </c>
      <c r="E248" s="84" t="str">
        <f t="shared" si="3"/>
        <v>22834000280328</v>
      </c>
      <c r="F248" s="84" t="e">
        <f>VLOOKUP(E248,zJARS_Allockeys!A:G,7,FALSE)</f>
        <v>#N/A</v>
      </c>
      <c r="G248" s="84">
        <v>2283400</v>
      </c>
      <c r="H248" s="84">
        <v>0</v>
      </c>
      <c r="I248" s="84">
        <v>280328</v>
      </c>
      <c r="J248" s="84">
        <v>1000</v>
      </c>
      <c r="K248" s="85">
        <v>-182433</v>
      </c>
      <c r="L248" s="85">
        <v>-182433</v>
      </c>
      <c r="M248" s="85">
        <v>-182433</v>
      </c>
      <c r="N248" s="85">
        <v>-182433</v>
      </c>
      <c r="O248" s="85">
        <v>-182433</v>
      </c>
      <c r="P248" s="85">
        <v>-182433</v>
      </c>
      <c r="Q248" s="85">
        <v>-182433</v>
      </c>
      <c r="R248" s="85">
        <v>-182433</v>
      </c>
      <c r="S248" s="85">
        <v>-182433</v>
      </c>
      <c r="T248" s="85">
        <v>-182433</v>
      </c>
      <c r="U248" s="85">
        <v>-182433</v>
      </c>
      <c r="V248" s="85">
        <v>-182433</v>
      </c>
      <c r="W248" s="85">
        <v>-182433</v>
      </c>
    </row>
    <row r="249" spans="1:23">
      <c r="A249" s="84">
        <v>0</v>
      </c>
      <c r="B249" s="84">
        <v>2013</v>
      </c>
      <c r="C249" s="84">
        <v>1200</v>
      </c>
      <c r="D249" s="84">
        <v>280328</v>
      </c>
      <c r="E249" s="84" t="str">
        <f t="shared" si="3"/>
        <v>22834001280328</v>
      </c>
      <c r="F249" s="84" t="str">
        <f>VLOOKUP(E249,zJARS_Allockeys!A:G,7,FALSE)</f>
        <v>NUTIL</v>
      </c>
      <c r="G249" s="84">
        <v>2283400</v>
      </c>
      <c r="H249" s="84">
        <v>1</v>
      </c>
      <c r="I249" s="84">
        <v>280328</v>
      </c>
      <c r="J249" s="84">
        <v>1000</v>
      </c>
      <c r="K249" s="85">
        <v>-56060.46</v>
      </c>
      <c r="L249" s="85">
        <v>-56060.46</v>
      </c>
      <c r="M249" s="85">
        <v>-56060.46</v>
      </c>
      <c r="N249" s="85">
        <v>-56060.46</v>
      </c>
      <c r="O249" s="85">
        <v>-56060.46</v>
      </c>
      <c r="P249" s="85">
        <v>-56060.46</v>
      </c>
      <c r="Q249" s="85">
        <v>-56060.46</v>
      </c>
      <c r="R249" s="85">
        <v>-56060.46</v>
      </c>
      <c r="S249" s="85">
        <v>-56060.46</v>
      </c>
      <c r="T249" s="85">
        <v>-56060.46</v>
      </c>
      <c r="U249" s="85">
        <v>-56060.46</v>
      </c>
      <c r="V249" s="85">
        <v>-56060.46</v>
      </c>
      <c r="W249" s="85">
        <v>-56060.46</v>
      </c>
    </row>
    <row r="250" spans="1:23">
      <c r="A250" s="84">
        <v>0</v>
      </c>
      <c r="B250" s="84">
        <v>2013</v>
      </c>
      <c r="C250" s="84">
        <v>1200</v>
      </c>
      <c r="D250" s="84">
        <v>280328</v>
      </c>
      <c r="E250" s="84" t="str">
        <f t="shared" si="3"/>
        <v>22834001280328</v>
      </c>
      <c r="F250" s="84" t="str">
        <f>VLOOKUP(E250,zJARS_Allockeys!A:G,7,FALSE)</f>
        <v>NUTIL</v>
      </c>
      <c r="G250" s="84">
        <v>2283400</v>
      </c>
      <c r="H250" s="84">
        <v>1</v>
      </c>
      <c r="I250" s="84">
        <v>280328</v>
      </c>
      <c r="J250" s="84">
        <v>1000</v>
      </c>
      <c r="K250" s="85">
        <v>-66501589.840000004</v>
      </c>
      <c r="L250" s="85">
        <v>-66545159.680000007</v>
      </c>
      <c r="M250" s="85">
        <v>-66589160.020000011</v>
      </c>
      <c r="N250" s="85">
        <v>-66892747.95000001</v>
      </c>
      <c r="O250" s="85">
        <v>-66936553.320000008</v>
      </c>
      <c r="P250" s="85">
        <v>-70353178.99000001</v>
      </c>
      <c r="Q250" s="85">
        <v>-70396291.110000014</v>
      </c>
      <c r="R250" s="85">
        <v>-70439689.950000018</v>
      </c>
      <c r="S250" s="85">
        <v>-70483399.020000011</v>
      </c>
      <c r="T250" s="85">
        <v>-70527432.950000018</v>
      </c>
      <c r="U250" s="85">
        <v>-70571539.080000013</v>
      </c>
      <c r="V250" s="85">
        <v>-70571539.080000013</v>
      </c>
      <c r="W250" s="85">
        <v>-70571539.080000013</v>
      </c>
    </row>
    <row r="251" spans="1:23">
      <c r="A251" s="84">
        <v>0</v>
      </c>
      <c r="B251" s="84">
        <v>2013</v>
      </c>
      <c r="C251" s="84">
        <v>1200</v>
      </c>
      <c r="D251" s="84">
        <v>280328</v>
      </c>
      <c r="E251" s="84" t="str">
        <f t="shared" si="3"/>
        <v>2283400122092280328</v>
      </c>
      <c r="F251" s="84" t="str">
        <f>VLOOKUP(E251,zJARS_Allockeys!A:G,7,FALSE)</f>
        <v>NUTIL</v>
      </c>
      <c r="G251" s="84">
        <v>2283400</v>
      </c>
      <c r="H251" s="84">
        <v>122092</v>
      </c>
      <c r="I251" s="84">
        <v>280328</v>
      </c>
      <c r="J251" s="84">
        <v>1000</v>
      </c>
      <c r="K251" s="85">
        <v>-120727.86</v>
      </c>
      <c r="L251" s="85">
        <v>-120727.86</v>
      </c>
      <c r="M251" s="85">
        <v>-120727.86</v>
      </c>
      <c r="N251" s="85">
        <v>-120727.86</v>
      </c>
      <c r="O251" s="85">
        <v>-120727.86</v>
      </c>
      <c r="P251" s="85">
        <v>-120727.86</v>
      </c>
      <c r="Q251" s="85">
        <v>-120727.86</v>
      </c>
      <c r="R251" s="85">
        <v>-120727.86</v>
      </c>
      <c r="S251" s="85">
        <v>-120727.86</v>
      </c>
      <c r="T251" s="85">
        <v>-120727.86</v>
      </c>
      <c r="U251" s="85">
        <v>-120727.86</v>
      </c>
      <c r="V251" s="85">
        <v>-120727.86</v>
      </c>
      <c r="W251" s="85">
        <v>-120727.86</v>
      </c>
    </row>
    <row r="252" spans="1:23">
      <c r="A252" s="84">
        <v>0</v>
      </c>
      <c r="B252" s="84">
        <v>2013</v>
      </c>
      <c r="C252" s="84">
        <v>1200</v>
      </c>
      <c r="D252" s="84">
        <v>280328</v>
      </c>
      <c r="E252" s="84" t="str">
        <f t="shared" si="3"/>
        <v>2283400122092280328</v>
      </c>
      <c r="F252" s="84" t="str">
        <f>VLOOKUP(E252,zJARS_Allockeys!A:G,7,FALSE)</f>
        <v>NUTIL</v>
      </c>
      <c r="G252" s="84">
        <v>2283400</v>
      </c>
      <c r="H252" s="84">
        <v>122092</v>
      </c>
      <c r="I252" s="84">
        <v>280328</v>
      </c>
      <c r="J252" s="84">
        <v>1000</v>
      </c>
      <c r="K252" s="85">
        <v>-35866.33</v>
      </c>
      <c r="L252" s="85">
        <v>-35866.33</v>
      </c>
      <c r="M252" s="85">
        <v>-35866.33</v>
      </c>
      <c r="N252" s="85">
        <v>-35866.33</v>
      </c>
      <c r="O252" s="85">
        <v>-35866.33</v>
      </c>
      <c r="P252" s="85">
        <v>-35866.33</v>
      </c>
      <c r="Q252" s="85">
        <v>-35866.33</v>
      </c>
      <c r="R252" s="85">
        <v>-35866.33</v>
      </c>
      <c r="S252" s="85">
        <v>-35866.33</v>
      </c>
      <c r="T252" s="85">
        <v>-35866.33</v>
      </c>
      <c r="U252" s="85">
        <v>-35866.33</v>
      </c>
      <c r="V252" s="85">
        <v>-35866.33</v>
      </c>
      <c r="W252" s="85">
        <v>-35866.33</v>
      </c>
    </row>
    <row r="253" spans="1:23">
      <c r="A253" s="84">
        <v>0</v>
      </c>
      <c r="B253" s="84">
        <v>2013</v>
      </c>
      <c r="C253" s="84">
        <v>1200</v>
      </c>
      <c r="D253" s="84">
        <v>280328</v>
      </c>
      <c r="E253" s="84" t="str">
        <f t="shared" si="3"/>
        <v>22840000</v>
      </c>
      <c r="F253" s="84" t="e">
        <f>VLOOKUP(E253,zJARS_Allockeys!A:G,7,FALSE)</f>
        <v>#N/A</v>
      </c>
      <c r="G253" s="84">
        <v>2284000</v>
      </c>
      <c r="H253" s="84">
        <v>0</v>
      </c>
      <c r="I253" s="84"/>
      <c r="J253" s="84">
        <v>1000</v>
      </c>
      <c r="K253" s="85">
        <v>-12312.58</v>
      </c>
      <c r="L253" s="85">
        <v>-12312.58</v>
      </c>
      <c r="M253" s="85">
        <v>-12312.58</v>
      </c>
      <c r="N253" s="85">
        <v>-12312.58</v>
      </c>
      <c r="O253" s="85">
        <v>-12312.58</v>
      </c>
      <c r="P253" s="85">
        <v>-12312.58</v>
      </c>
      <c r="Q253" s="85">
        <v>-12312.58</v>
      </c>
      <c r="R253" s="85">
        <v>-12312.58</v>
      </c>
      <c r="S253" s="85">
        <v>-12312.58</v>
      </c>
      <c r="T253" s="85">
        <v>-12312.58</v>
      </c>
      <c r="U253" s="85">
        <v>-12312.58</v>
      </c>
      <c r="V253" s="85">
        <v>-12312.58</v>
      </c>
      <c r="W253" s="85">
        <v>-12312.58</v>
      </c>
    </row>
    <row r="254" spans="1:23">
      <c r="A254" s="84">
        <v>0</v>
      </c>
      <c r="B254" s="84">
        <v>2013</v>
      </c>
      <c r="C254" s="84">
        <v>1200</v>
      </c>
      <c r="D254" s="84">
        <v>280328</v>
      </c>
      <c r="E254" s="84" t="str">
        <f t="shared" si="3"/>
        <v>2284000122092280328</v>
      </c>
      <c r="F254" s="84" t="str">
        <f>VLOOKUP(E254,zJARS_Allockeys!A:G,7,FALSE)</f>
        <v>NUTIL</v>
      </c>
      <c r="G254" s="84">
        <v>2284000</v>
      </c>
      <c r="H254" s="84">
        <v>122092</v>
      </c>
      <c r="I254" s="84">
        <v>280328</v>
      </c>
      <c r="J254" s="84">
        <v>1000</v>
      </c>
      <c r="K254" s="85">
        <v>-12312.58</v>
      </c>
      <c r="L254" s="85">
        <v>-12312.58</v>
      </c>
      <c r="M254" s="85">
        <v>-12312.58</v>
      </c>
      <c r="N254" s="85">
        <v>-12312.58</v>
      </c>
      <c r="O254" s="85">
        <v>-12312.58</v>
      </c>
      <c r="P254" s="85">
        <v>-12312.58</v>
      </c>
      <c r="Q254" s="85">
        <v>-12312.58</v>
      </c>
      <c r="R254" s="85">
        <v>-12312.58</v>
      </c>
      <c r="S254" s="85">
        <v>-12312.58</v>
      </c>
      <c r="T254" s="85">
        <v>-12312.58</v>
      </c>
      <c r="U254" s="85">
        <v>-12312.58</v>
      </c>
      <c r="V254" s="85">
        <v>-12312.58</v>
      </c>
      <c r="W254" s="85">
        <v>-12312.58</v>
      </c>
    </row>
    <row r="255" spans="1:23">
      <c r="A255" s="84">
        <v>0</v>
      </c>
      <c r="B255" s="84">
        <v>2013</v>
      </c>
      <c r="C255" s="84">
        <v>1200</v>
      </c>
      <c r="D255" s="84">
        <v>280329</v>
      </c>
      <c r="E255" s="84" t="str">
        <f t="shared" si="3"/>
        <v>22834001280329</v>
      </c>
      <c r="F255" s="84" t="str">
        <f>VLOOKUP(E255,zJARS_Allockeys!A:G,7,FALSE)</f>
        <v>NUTIL</v>
      </c>
      <c r="G255" s="84">
        <v>2283400</v>
      </c>
      <c r="H255" s="84">
        <v>1</v>
      </c>
      <c r="I255" s="84">
        <v>280329</v>
      </c>
      <c r="J255" s="84">
        <v>1000</v>
      </c>
      <c r="K255" s="85">
        <v>-40803000</v>
      </c>
      <c r="L255" s="85">
        <v>-40803000</v>
      </c>
      <c r="M255" s="85">
        <v>-40803000</v>
      </c>
      <c r="N255" s="85">
        <v>-40803000</v>
      </c>
      <c r="O255" s="85">
        <v>-40803000</v>
      </c>
      <c r="P255" s="85">
        <v>-40803000</v>
      </c>
      <c r="Q255" s="85">
        <v>-40803000</v>
      </c>
      <c r="R255" s="85">
        <v>-40803000</v>
      </c>
      <c r="S255" s="85">
        <v>-40803000</v>
      </c>
      <c r="T255" s="85">
        <v>-40803000</v>
      </c>
      <c r="U255" s="85">
        <v>-40803000</v>
      </c>
      <c r="V255" s="85">
        <v>-40803000</v>
      </c>
      <c r="W255" s="85">
        <v>-40803000</v>
      </c>
    </row>
    <row r="256" spans="1:23">
      <c r="A256" s="84">
        <v>0</v>
      </c>
      <c r="B256" s="84">
        <v>2013</v>
      </c>
      <c r="C256" s="84">
        <v>1200</v>
      </c>
      <c r="D256" s="84">
        <v>280355</v>
      </c>
      <c r="E256" s="84" t="str">
        <f t="shared" si="3"/>
        <v>22835001280355</v>
      </c>
      <c r="F256" s="84" t="str">
        <f>VLOOKUP(E256,zJARS_Allockeys!A:G,7,FALSE)</f>
        <v>NUTIL</v>
      </c>
      <c r="G256" s="84">
        <v>2283500</v>
      </c>
      <c r="H256" s="84">
        <v>1</v>
      </c>
      <c r="I256" s="84">
        <v>280355</v>
      </c>
      <c r="J256" s="84">
        <v>1000</v>
      </c>
      <c r="K256" s="85">
        <v>-1182631025.27</v>
      </c>
      <c r="L256" s="85">
        <v>-1182633954.1600001</v>
      </c>
      <c r="M256" s="85">
        <v>-1182633954.1600001</v>
      </c>
      <c r="N256" s="85">
        <v>-1182633954.1600001</v>
      </c>
      <c r="O256" s="85">
        <v>-1182633954.1600001</v>
      </c>
      <c r="P256" s="85">
        <v>-1182633954.1600001</v>
      </c>
      <c r="Q256" s="85">
        <v>-1182633954.1600001</v>
      </c>
      <c r="R256" s="85">
        <v>-1182633954.1600001</v>
      </c>
      <c r="S256" s="85">
        <v>-1182691819.9000001</v>
      </c>
      <c r="T256" s="85">
        <v>-1182704908.5800002</v>
      </c>
      <c r="U256" s="85">
        <v>-1182704908.5800002</v>
      </c>
      <c r="V256" s="85">
        <v>-1182704908.5800002</v>
      </c>
      <c r="W256" s="85">
        <v>-1182704908.5800002</v>
      </c>
    </row>
    <row r="257" spans="1:23">
      <c r="A257" s="84">
        <v>0</v>
      </c>
      <c r="B257" s="84">
        <v>2013</v>
      </c>
      <c r="C257" s="84">
        <v>1200</v>
      </c>
      <c r="D257" s="84">
        <v>280440</v>
      </c>
      <c r="E257" s="84" t="str">
        <f t="shared" si="3"/>
        <v>22834001280440</v>
      </c>
      <c r="F257" s="84" t="str">
        <f>VLOOKUP(E257,zJARS_Allockeys!A:G,7,FALSE)</f>
        <v>NUTIL</v>
      </c>
      <c r="G257" s="84">
        <v>2283400</v>
      </c>
      <c r="H257" s="84">
        <v>1</v>
      </c>
      <c r="I257" s="84">
        <v>280440</v>
      </c>
      <c r="J257" s="84">
        <v>1000</v>
      </c>
      <c r="K257" s="85">
        <v>-49350167</v>
      </c>
      <c r="L257" s="85">
        <v>-49350167</v>
      </c>
      <c r="M257" s="85">
        <v>-49350167</v>
      </c>
      <c r="N257" s="85">
        <v>-49350167</v>
      </c>
      <c r="O257" s="85">
        <v>-49350167</v>
      </c>
      <c r="P257" s="85">
        <v>-49350167</v>
      </c>
      <c r="Q257" s="85">
        <v>-49350167</v>
      </c>
      <c r="R257" s="85">
        <v>-49350167</v>
      </c>
      <c r="S257" s="85">
        <v>-49350167</v>
      </c>
      <c r="T257" s="85">
        <v>-49350167</v>
      </c>
      <c r="U257" s="85">
        <v>-49350167</v>
      </c>
      <c r="V257" s="85">
        <v>-49350167</v>
      </c>
      <c r="W257" s="85">
        <v>-49350167</v>
      </c>
    </row>
    <row r="258" spans="1:23">
      <c r="A258" s="84">
        <v>0</v>
      </c>
      <c r="B258" s="84">
        <v>2013</v>
      </c>
      <c r="C258" s="84">
        <v>1200</v>
      </c>
      <c r="D258" s="84">
        <v>280454</v>
      </c>
      <c r="E258" s="84" t="str">
        <f t="shared" si="3"/>
        <v>22834001280454</v>
      </c>
      <c r="F258" s="84" t="str">
        <f>VLOOKUP(E258,zJARS_Allockeys!A:G,7,FALSE)</f>
        <v>NUTIL</v>
      </c>
      <c r="G258" s="84">
        <v>2283400</v>
      </c>
      <c r="H258" s="84">
        <v>1</v>
      </c>
      <c r="I258" s="84">
        <v>280454</v>
      </c>
      <c r="J258" s="84">
        <v>1000</v>
      </c>
      <c r="K258" s="85">
        <v>-42600167</v>
      </c>
      <c r="L258" s="85">
        <v>-42600167</v>
      </c>
      <c r="M258" s="85">
        <v>-42600167</v>
      </c>
      <c r="N258" s="85">
        <v>-42600167</v>
      </c>
      <c r="O258" s="85">
        <v>-42600167</v>
      </c>
      <c r="P258" s="85">
        <v>-42600167</v>
      </c>
      <c r="Q258" s="85">
        <v>-42600167</v>
      </c>
      <c r="R258" s="85">
        <v>-42600167</v>
      </c>
      <c r="S258" s="85">
        <v>-42600167</v>
      </c>
      <c r="T258" s="85">
        <v>-42600167</v>
      </c>
      <c r="U258" s="85">
        <v>-42600167</v>
      </c>
      <c r="V258" s="85">
        <v>-42600167</v>
      </c>
      <c r="W258" s="85">
        <v>-42600167</v>
      </c>
    </row>
    <row r="259" spans="1:23">
      <c r="A259" s="84">
        <v>0</v>
      </c>
      <c r="B259" s="84">
        <v>2013</v>
      </c>
      <c r="C259" s="84">
        <v>1200</v>
      </c>
      <c r="D259" s="84">
        <v>280455</v>
      </c>
      <c r="E259" s="84" t="str">
        <f t="shared" ref="E259:E322" si="4">+G259&amp;H259&amp;I259</f>
        <v>22834001280455</v>
      </c>
      <c r="F259" s="84" t="str">
        <f>VLOOKUP(E259,zJARS_Allockeys!A:G,7,FALSE)</f>
        <v>NUTIL</v>
      </c>
      <c r="G259" s="84">
        <v>2283400</v>
      </c>
      <c r="H259" s="84">
        <v>1</v>
      </c>
      <c r="I259" s="84">
        <v>280455</v>
      </c>
      <c r="J259" s="84">
        <v>1000</v>
      </c>
      <c r="K259" s="85">
        <v>-717820194.47000003</v>
      </c>
      <c r="L259" s="85">
        <v>-718202502.81000006</v>
      </c>
      <c r="M259" s="85">
        <v>-718772576.2700001</v>
      </c>
      <c r="N259" s="85">
        <v>-724765065.43000007</v>
      </c>
      <c r="O259" s="85">
        <v>-725207554.59000003</v>
      </c>
      <c r="P259" s="85">
        <v>-725650043.75</v>
      </c>
      <c r="Q259" s="85">
        <v>-726092596.61000001</v>
      </c>
      <c r="R259" s="85">
        <v>-726535085.76999998</v>
      </c>
      <c r="S259" s="85">
        <v>-726971664.51999998</v>
      </c>
      <c r="T259" s="85">
        <v>-727515794</v>
      </c>
      <c r="U259" s="85">
        <v>-727963960.86000001</v>
      </c>
      <c r="V259" s="85">
        <v>-727963960.86000001</v>
      </c>
      <c r="W259" s="85">
        <v>-727963960.86000001</v>
      </c>
    </row>
    <row r="260" spans="1:23">
      <c r="A260" s="84">
        <v>0</v>
      </c>
      <c r="B260" s="84">
        <v>2013</v>
      </c>
      <c r="C260" s="84">
        <v>1200</v>
      </c>
      <c r="D260" s="84">
        <v>280456</v>
      </c>
      <c r="E260" s="84" t="str">
        <f t="shared" si="4"/>
        <v>22834001280456</v>
      </c>
      <c r="F260" s="84" t="str">
        <f>VLOOKUP(E260,zJARS_Allockeys!A:G,7,FALSE)</f>
        <v>NUTIL</v>
      </c>
      <c r="G260" s="84">
        <v>2283400</v>
      </c>
      <c r="H260" s="84">
        <v>1</v>
      </c>
      <c r="I260" s="84">
        <v>280456</v>
      </c>
      <c r="J260" s="84">
        <v>1000</v>
      </c>
      <c r="K260" s="85">
        <v>-15788269.92</v>
      </c>
      <c r="L260" s="85">
        <v>-16024269.92</v>
      </c>
      <c r="M260" s="85">
        <v>-16260269.92</v>
      </c>
      <c r="N260" s="85">
        <v>-16496269.92</v>
      </c>
      <c r="O260" s="85">
        <v>-16734038.74</v>
      </c>
      <c r="P260" s="85">
        <v>-16774038.74</v>
      </c>
      <c r="Q260" s="85">
        <v>-16814038.740000002</v>
      </c>
      <c r="R260" s="85">
        <v>-16854038.740000002</v>
      </c>
      <c r="S260" s="85">
        <v>-16894038.740000002</v>
      </c>
      <c r="T260" s="85">
        <v>-16934038.740000002</v>
      </c>
      <c r="U260" s="85">
        <v>-16971038.740000002</v>
      </c>
      <c r="V260" s="85">
        <v>-16971038.740000002</v>
      </c>
      <c r="W260" s="85">
        <v>-16971038.740000002</v>
      </c>
    </row>
    <row r="261" spans="1:23">
      <c r="A261" s="84">
        <v>0</v>
      </c>
      <c r="B261" s="84">
        <v>2013</v>
      </c>
      <c r="C261" s="84">
        <v>1200</v>
      </c>
      <c r="D261" s="84">
        <v>280457</v>
      </c>
      <c r="E261" s="84" t="str">
        <f t="shared" si="4"/>
        <v>22834001280457</v>
      </c>
      <c r="F261" s="84" t="str">
        <f>VLOOKUP(E261,zJARS_Allockeys!A:G,7,FALSE)</f>
        <v>NUTIL</v>
      </c>
      <c r="G261" s="84">
        <v>2283400</v>
      </c>
      <c r="H261" s="84">
        <v>1</v>
      </c>
      <c r="I261" s="84">
        <v>280457</v>
      </c>
      <c r="J261" s="84">
        <v>1000</v>
      </c>
      <c r="K261" s="85">
        <v>-146367523</v>
      </c>
      <c r="L261" s="85">
        <v>-146367523</v>
      </c>
      <c r="M261" s="85">
        <v>-146367523</v>
      </c>
      <c r="N261" s="85">
        <v>-146367523</v>
      </c>
      <c r="O261" s="85">
        <v>-146367523</v>
      </c>
      <c r="P261" s="85">
        <v>-146367523</v>
      </c>
      <c r="Q261" s="85">
        <v>-146367523</v>
      </c>
      <c r="R261" s="85">
        <v>-146367523</v>
      </c>
      <c r="S261" s="85">
        <v>-146367523</v>
      </c>
      <c r="T261" s="85">
        <v>-146367523</v>
      </c>
      <c r="U261" s="85">
        <v>-146367523</v>
      </c>
      <c r="V261" s="85">
        <v>-146367523</v>
      </c>
      <c r="W261" s="85">
        <v>-146367523</v>
      </c>
    </row>
    <row r="262" spans="1:23">
      <c r="A262" s="84">
        <v>0</v>
      </c>
      <c r="B262" s="84">
        <v>2013</v>
      </c>
      <c r="C262" s="84">
        <v>1200</v>
      </c>
      <c r="D262" s="84">
        <v>280465</v>
      </c>
      <c r="E262" s="84" t="str">
        <f t="shared" si="4"/>
        <v>22835001280465</v>
      </c>
      <c r="F262" s="84" t="str">
        <f>VLOOKUP(E262,zJARS_Allockeys!A:G,7,FALSE)</f>
        <v>NUTIL</v>
      </c>
      <c r="G262" s="84">
        <v>2283500</v>
      </c>
      <c r="H262" s="84">
        <v>1</v>
      </c>
      <c r="I262" s="84">
        <v>280465</v>
      </c>
      <c r="J262" s="84">
        <v>1000</v>
      </c>
      <c r="K262" s="85">
        <v>-138948037.43000001</v>
      </c>
      <c r="L262" s="85">
        <v>-139187287.43000001</v>
      </c>
      <c r="M262" s="85">
        <v>-139426537.43000001</v>
      </c>
      <c r="N262" s="85">
        <v>-139665787.43000001</v>
      </c>
      <c r="O262" s="85">
        <v>-139905037.43000001</v>
      </c>
      <c r="P262" s="85">
        <v>-140144287.43000001</v>
      </c>
      <c r="Q262" s="85">
        <v>-140383537.43000001</v>
      </c>
      <c r="R262" s="85">
        <v>-140622787.43000001</v>
      </c>
      <c r="S262" s="85">
        <v>-140862037.43000001</v>
      </c>
      <c r="T262" s="85">
        <v>-141101287.43000001</v>
      </c>
      <c r="U262" s="85">
        <v>-141340537.43000001</v>
      </c>
      <c r="V262" s="85">
        <v>-141340537.43000001</v>
      </c>
      <c r="W262" s="85">
        <v>-141340537.43000001</v>
      </c>
    </row>
    <row r="263" spans="1:23">
      <c r="A263" s="84">
        <v>0</v>
      </c>
      <c r="B263" s="84">
        <v>2013</v>
      </c>
      <c r="C263" s="84">
        <v>1200</v>
      </c>
      <c r="D263" s="84">
        <v>280479</v>
      </c>
      <c r="E263" s="84" t="str">
        <f t="shared" si="4"/>
        <v>22835001280479</v>
      </c>
      <c r="F263" s="84" t="str">
        <f>VLOOKUP(E263,zJARS_Allockeys!A:G,7,FALSE)</f>
        <v>NUTIL</v>
      </c>
      <c r="G263" s="84">
        <v>2283500</v>
      </c>
      <c r="H263" s="84">
        <v>1</v>
      </c>
      <c r="I263" s="84">
        <v>280479</v>
      </c>
      <c r="J263" s="84">
        <v>1000</v>
      </c>
      <c r="K263" s="85">
        <v>-25000</v>
      </c>
      <c r="L263" s="85">
        <v>-25000</v>
      </c>
      <c r="M263" s="85">
        <v>-25000</v>
      </c>
      <c r="N263" s="85">
        <v>-25000</v>
      </c>
      <c r="O263" s="85">
        <v>-25000</v>
      </c>
      <c r="P263" s="85">
        <v>-25000</v>
      </c>
      <c r="Q263" s="85">
        <v>-25000</v>
      </c>
      <c r="R263" s="85">
        <v>-25000</v>
      </c>
      <c r="S263" s="85">
        <v>-25000</v>
      </c>
      <c r="T263" s="85">
        <v>-25000</v>
      </c>
      <c r="U263" s="85">
        <v>-25000</v>
      </c>
      <c r="V263" s="85">
        <v>-25000</v>
      </c>
      <c r="W263" s="85">
        <v>-25000</v>
      </c>
    </row>
    <row r="264" spans="1:23">
      <c r="A264" s="84">
        <v>0</v>
      </c>
      <c r="B264" s="84">
        <v>2013</v>
      </c>
      <c r="C264" s="84">
        <v>1200</v>
      </c>
      <c r="D264" s="84">
        <v>299107</v>
      </c>
      <c r="E264" s="84" t="str">
        <f t="shared" si="4"/>
        <v>219000010</v>
      </c>
      <c r="F264" s="84" t="str">
        <f>VLOOKUP(E264,zJARS_Allockeys!A:G,7,FALSE)</f>
        <v>NUTIL</v>
      </c>
      <c r="G264" s="84">
        <v>2190000</v>
      </c>
      <c r="H264" s="84">
        <v>1</v>
      </c>
      <c r="I264" s="84">
        <v>0</v>
      </c>
      <c r="J264" s="84">
        <v>1000</v>
      </c>
      <c r="K264" s="85">
        <v>-14227109.35</v>
      </c>
      <c r="L264" s="85">
        <v>-14269692.689999999</v>
      </c>
      <c r="M264" s="85">
        <v>-14312276.029999999</v>
      </c>
      <c r="N264" s="85">
        <v>-14354859.369999999</v>
      </c>
      <c r="O264" s="85">
        <v>-14397442.709999999</v>
      </c>
      <c r="P264" s="85">
        <v>-14440026.049999999</v>
      </c>
      <c r="Q264" s="85">
        <v>-14482609.389999999</v>
      </c>
      <c r="R264" s="85">
        <v>-14525192.729999999</v>
      </c>
      <c r="S264" s="85">
        <v>-14567776.069999998</v>
      </c>
      <c r="T264" s="85">
        <v>-14610359.409999998</v>
      </c>
      <c r="U264" s="85">
        <v>-14652942.749999998</v>
      </c>
      <c r="V264" s="85">
        <v>-14652942.749999998</v>
      </c>
      <c r="W264" s="85">
        <v>-14652942.749999998</v>
      </c>
    </row>
    <row r="265" spans="1:23">
      <c r="A265" s="84">
        <v>0</v>
      </c>
      <c r="B265" s="84">
        <v>2013</v>
      </c>
      <c r="C265" s="84">
        <v>1201</v>
      </c>
      <c r="D265" s="84">
        <v>187621</v>
      </c>
      <c r="E265" s="84" t="str">
        <f t="shared" si="4"/>
        <v>18238701114020</v>
      </c>
      <c r="F265" s="84" t="str">
        <f>VLOOKUP(E265,zJARS_Allockeys!A:G,7,FALSE)</f>
        <v>NUTIL</v>
      </c>
      <c r="G265" s="84">
        <v>1823870</v>
      </c>
      <c r="H265" s="84">
        <v>1</v>
      </c>
      <c r="I265" s="84">
        <v>114020</v>
      </c>
      <c r="J265" s="84">
        <v>1000</v>
      </c>
      <c r="K265" s="85">
        <v>-79582204</v>
      </c>
      <c r="L265" s="85">
        <v>-79582204</v>
      </c>
      <c r="M265" s="85">
        <v>-79582204</v>
      </c>
      <c r="N265" s="85">
        <v>-79582204</v>
      </c>
      <c r="O265" s="85">
        <v>-79582204</v>
      </c>
      <c r="P265" s="85">
        <v>-79582204</v>
      </c>
      <c r="Q265" s="85">
        <v>-79582204</v>
      </c>
      <c r="R265" s="85">
        <v>-79582204</v>
      </c>
      <c r="S265" s="85">
        <v>-79582204</v>
      </c>
      <c r="T265" s="85">
        <v>-79582204</v>
      </c>
      <c r="U265" s="85">
        <v>-79582204</v>
      </c>
      <c r="V265" s="85">
        <v>-79582204</v>
      </c>
      <c r="W265" s="85">
        <v>-79582204</v>
      </c>
    </row>
    <row r="266" spans="1:23">
      <c r="A266" s="84">
        <v>0</v>
      </c>
      <c r="B266" s="84">
        <v>2013</v>
      </c>
      <c r="C266" s="84">
        <v>1201</v>
      </c>
      <c r="D266" s="84">
        <v>187621</v>
      </c>
      <c r="E266" s="84" t="str">
        <f t="shared" si="4"/>
        <v>18238701187621</v>
      </c>
      <c r="F266" s="84" t="str">
        <f>VLOOKUP(E266,zJARS_Allockeys!A:G,7,FALSE)</f>
        <v>NUTIL</v>
      </c>
      <c r="G266" s="84">
        <v>1823870</v>
      </c>
      <c r="H266" s="84">
        <v>1</v>
      </c>
      <c r="I266" s="84">
        <v>187621</v>
      </c>
      <c r="J266" s="84">
        <v>1000</v>
      </c>
      <c r="K266" s="85">
        <v>-39791102</v>
      </c>
      <c r="L266" s="85">
        <v>-39791102</v>
      </c>
      <c r="M266" s="85">
        <v>-39791102</v>
      </c>
      <c r="N266" s="85">
        <v>-39791102</v>
      </c>
      <c r="O266" s="85">
        <v>-39791102</v>
      </c>
      <c r="P266" s="85">
        <v>-39791102</v>
      </c>
      <c r="Q266" s="85">
        <v>-39791102</v>
      </c>
      <c r="R266" s="85">
        <v>-39791102</v>
      </c>
      <c r="S266" s="85">
        <v>-39791102</v>
      </c>
      <c r="T266" s="85">
        <v>-39791102</v>
      </c>
      <c r="U266" s="85">
        <v>-39791102</v>
      </c>
      <c r="V266" s="85">
        <v>-39791102</v>
      </c>
      <c r="W266" s="85">
        <v>-39791102</v>
      </c>
    </row>
    <row r="267" spans="1:23">
      <c r="A267" s="84">
        <v>0</v>
      </c>
      <c r="B267" s="84">
        <v>2013</v>
      </c>
      <c r="C267" s="84">
        <v>1201</v>
      </c>
      <c r="D267" s="84">
        <v>187626</v>
      </c>
      <c r="E267" s="84" t="str">
        <f t="shared" si="4"/>
        <v>18231091114020</v>
      </c>
      <c r="F267" s="84" t="str">
        <f>VLOOKUP(E267,zJARS_Allockeys!A:G,7,FALSE)</f>
        <v>NUTIL</v>
      </c>
      <c r="G267" s="84">
        <v>1823109</v>
      </c>
      <c r="H267" s="84">
        <v>1</v>
      </c>
      <c r="I267" s="84">
        <v>114020</v>
      </c>
      <c r="J267" s="84">
        <v>1000</v>
      </c>
      <c r="K267" s="85">
        <v>-39791102</v>
      </c>
      <c r="L267" s="85">
        <v>-39791102</v>
      </c>
      <c r="M267" s="85">
        <v>-39791102</v>
      </c>
      <c r="N267" s="85">
        <v>-39791102</v>
      </c>
      <c r="O267" s="85">
        <v>-39791102</v>
      </c>
      <c r="P267" s="85">
        <v>-39791102</v>
      </c>
      <c r="Q267" s="85">
        <v>-39791102</v>
      </c>
      <c r="R267" s="85">
        <v>-39791102</v>
      </c>
      <c r="S267" s="85">
        <v>-39791102</v>
      </c>
      <c r="T267" s="85">
        <v>-39791102</v>
      </c>
      <c r="U267" s="85">
        <v>-39791102</v>
      </c>
      <c r="V267" s="85">
        <v>-39791102</v>
      </c>
      <c r="W267" s="85">
        <v>-39791102</v>
      </c>
    </row>
    <row r="268" spans="1:23">
      <c r="A268" s="84">
        <v>0</v>
      </c>
      <c r="B268" s="84">
        <v>2013</v>
      </c>
      <c r="C268" s="84">
        <v>1201</v>
      </c>
      <c r="D268" s="84">
        <v>187626</v>
      </c>
      <c r="E268" s="84" t="str">
        <f t="shared" si="4"/>
        <v>18231091187626</v>
      </c>
      <c r="F268" s="84" t="str">
        <f>VLOOKUP(E268,zJARS_Allockeys!A:G,7,FALSE)</f>
        <v>NUTIL</v>
      </c>
      <c r="G268" s="84">
        <v>1823109</v>
      </c>
      <c r="H268" s="84">
        <v>1</v>
      </c>
      <c r="I268" s="84">
        <v>187626</v>
      </c>
      <c r="J268" s="84">
        <v>1000</v>
      </c>
      <c r="K268" s="85">
        <v>-73761629</v>
      </c>
      <c r="L268" s="85">
        <v>-73761629</v>
      </c>
      <c r="M268" s="85">
        <v>-73761629</v>
      </c>
      <c r="N268" s="85">
        <v>-73761629</v>
      </c>
      <c r="O268" s="85">
        <v>-73761629</v>
      </c>
      <c r="P268" s="85">
        <v>-73761629</v>
      </c>
      <c r="Q268" s="85">
        <v>-73761629</v>
      </c>
      <c r="R268" s="85">
        <v>-73761629</v>
      </c>
      <c r="S268" s="85">
        <v>-73761629</v>
      </c>
      <c r="T268" s="85">
        <v>-73761629</v>
      </c>
      <c r="U268" s="85">
        <v>-73761629</v>
      </c>
      <c r="V268" s="85">
        <v>-73761629</v>
      </c>
      <c r="W268" s="85">
        <v>-73761629</v>
      </c>
    </row>
    <row r="269" spans="1:23">
      <c r="A269" s="84">
        <v>0</v>
      </c>
      <c r="B269" s="84">
        <v>2013</v>
      </c>
      <c r="C269" s="84">
        <v>1283</v>
      </c>
      <c r="D269" s="84">
        <v>280328</v>
      </c>
      <c r="E269" s="84" t="str">
        <f t="shared" si="4"/>
        <v>22830000</v>
      </c>
      <c r="F269" s="84" t="e">
        <f>VLOOKUP(E269,zJARS_Allockeys!A:G,7,FALSE)</f>
        <v>#N/A</v>
      </c>
      <c r="G269" s="84">
        <v>2283000</v>
      </c>
      <c r="H269" s="84">
        <v>0</v>
      </c>
      <c r="I269" s="84"/>
      <c r="J269" s="84">
        <v>1000</v>
      </c>
      <c r="K269" s="85">
        <v>-4984523.78</v>
      </c>
      <c r="L269" s="85">
        <v>-4984523.78</v>
      </c>
      <c r="M269" s="85">
        <v>-4984523.78</v>
      </c>
      <c r="N269" s="85">
        <v>-4984523.78</v>
      </c>
      <c r="O269" s="85">
        <v>-4984523.78</v>
      </c>
      <c r="P269" s="85">
        <v>-4984523.78</v>
      </c>
      <c r="Q269" s="85">
        <v>-4984523.78</v>
      </c>
      <c r="R269" s="85">
        <v>-4984523.78</v>
      </c>
      <c r="S269" s="85">
        <v>-4984523.78</v>
      </c>
      <c r="T269" s="85">
        <v>-4984523.78</v>
      </c>
      <c r="U269" s="85">
        <v>-4984523.78</v>
      </c>
      <c r="V269" s="85">
        <v>-4984523.78</v>
      </c>
      <c r="W269" s="85">
        <v>-4984523.78</v>
      </c>
    </row>
    <row r="270" spans="1:23">
      <c r="A270" s="84">
        <v>0</v>
      </c>
      <c r="B270" s="84">
        <v>2013</v>
      </c>
      <c r="C270" s="84">
        <v>1283</v>
      </c>
      <c r="D270" s="84">
        <v>280328</v>
      </c>
      <c r="E270" s="84" t="str">
        <f t="shared" si="4"/>
        <v>2283000122092280328</v>
      </c>
      <c r="F270" s="84" t="str">
        <f>VLOOKUP(E270,zJARS_Allockeys!A:G,7,FALSE)</f>
        <v>NUTIL</v>
      </c>
      <c r="G270" s="84">
        <v>2283000</v>
      </c>
      <c r="H270" s="84">
        <v>122092</v>
      </c>
      <c r="I270" s="84">
        <v>280328</v>
      </c>
      <c r="J270" s="84">
        <v>1000</v>
      </c>
      <c r="K270" s="85">
        <v>-4984523.78</v>
      </c>
      <c r="L270" s="85">
        <v>-4984523.78</v>
      </c>
      <c r="M270" s="85">
        <v>-4984523.78</v>
      </c>
      <c r="N270" s="85">
        <v>-4984523.78</v>
      </c>
      <c r="O270" s="85">
        <v>-4984523.78</v>
      </c>
      <c r="P270" s="85">
        <v>-4984523.78</v>
      </c>
      <c r="Q270" s="85">
        <v>-4984523.78</v>
      </c>
      <c r="R270" s="85">
        <v>-4984523.78</v>
      </c>
      <c r="S270" s="85">
        <v>-4984523.78</v>
      </c>
      <c r="T270" s="85">
        <v>-4984523.78</v>
      </c>
      <c r="U270" s="85">
        <v>-4984523.78</v>
      </c>
      <c r="V270" s="85">
        <v>-4984523.78</v>
      </c>
      <c r="W270" s="85">
        <v>-4984523.78</v>
      </c>
    </row>
    <row r="271" spans="1:23">
      <c r="A271" s="84">
        <v>0</v>
      </c>
      <c r="B271" s="84">
        <v>2013</v>
      </c>
      <c r="C271" s="84">
        <v>1283</v>
      </c>
      <c r="D271" s="84">
        <v>280328</v>
      </c>
      <c r="E271" s="84" t="str">
        <f t="shared" si="4"/>
        <v>22834000</v>
      </c>
      <c r="F271" s="84" t="e">
        <f>VLOOKUP(E271,zJARS_Allockeys!A:G,7,FALSE)</f>
        <v>#N/A</v>
      </c>
      <c r="G271" s="84">
        <v>2283400</v>
      </c>
      <c r="H271" s="84">
        <v>0</v>
      </c>
      <c r="I271" s="84"/>
      <c r="J271" s="84">
        <v>1000</v>
      </c>
      <c r="K271" s="85">
        <v>-2736626.85</v>
      </c>
      <c r="L271" s="85">
        <v>-2736626.85</v>
      </c>
      <c r="M271" s="85">
        <v>-2736626.85</v>
      </c>
      <c r="N271" s="85">
        <v>-2736626.85</v>
      </c>
      <c r="O271" s="85">
        <v>-2736626.85</v>
      </c>
      <c r="P271" s="85">
        <v>-2736626.85</v>
      </c>
      <c r="Q271" s="85">
        <v>-2736626.85</v>
      </c>
      <c r="R271" s="85">
        <v>-2736626.85</v>
      </c>
      <c r="S271" s="85">
        <v>-2736626.85</v>
      </c>
      <c r="T271" s="85">
        <v>-2736626.85</v>
      </c>
      <c r="U271" s="85">
        <v>-2736626.85</v>
      </c>
      <c r="V271" s="85">
        <v>-2736626.85</v>
      </c>
      <c r="W271" s="85">
        <v>-2736626.85</v>
      </c>
    </row>
    <row r="272" spans="1:23">
      <c r="A272" s="84">
        <v>0</v>
      </c>
      <c r="B272" s="84">
        <v>2013</v>
      </c>
      <c r="C272" s="84">
        <v>1283</v>
      </c>
      <c r="D272" s="84">
        <v>280328</v>
      </c>
      <c r="E272" s="84" t="str">
        <f t="shared" si="4"/>
        <v>22834000280328</v>
      </c>
      <c r="F272" s="84" t="e">
        <f>VLOOKUP(E272,zJARS_Allockeys!A:G,7,FALSE)</f>
        <v>#N/A</v>
      </c>
      <c r="G272" s="84">
        <v>2283400</v>
      </c>
      <c r="H272" s="84">
        <v>0</v>
      </c>
      <c r="I272" s="84">
        <v>280328</v>
      </c>
      <c r="J272" s="84">
        <v>1000</v>
      </c>
      <c r="K272" s="85">
        <v>-182433</v>
      </c>
      <c r="L272" s="85">
        <v>-182433</v>
      </c>
      <c r="M272" s="85">
        <v>-182433</v>
      </c>
      <c r="N272" s="85">
        <v>-182433</v>
      </c>
      <c r="O272" s="85">
        <v>-182433</v>
      </c>
      <c r="P272" s="85">
        <v>-182433</v>
      </c>
      <c r="Q272" s="85">
        <v>-182433</v>
      </c>
      <c r="R272" s="85">
        <v>-182433</v>
      </c>
      <c r="S272" s="85">
        <v>-182433</v>
      </c>
      <c r="T272" s="85">
        <v>-182433</v>
      </c>
      <c r="U272" s="85">
        <v>-182433</v>
      </c>
      <c r="V272" s="85">
        <v>-182433</v>
      </c>
      <c r="W272" s="85">
        <v>-182433</v>
      </c>
    </row>
    <row r="273" spans="1:23">
      <c r="A273" s="84">
        <v>0</v>
      </c>
      <c r="B273" s="84">
        <v>2013</v>
      </c>
      <c r="C273" s="84">
        <v>1283</v>
      </c>
      <c r="D273" s="84">
        <v>280328</v>
      </c>
      <c r="E273" s="84" t="str">
        <f t="shared" si="4"/>
        <v>22834001280328</v>
      </c>
      <c r="F273" s="84" t="str">
        <f>VLOOKUP(E273,zJARS_Allockeys!A:G,7,FALSE)</f>
        <v>NUTIL</v>
      </c>
      <c r="G273" s="84">
        <v>2283400</v>
      </c>
      <c r="H273" s="84">
        <v>1</v>
      </c>
      <c r="I273" s="84">
        <v>280328</v>
      </c>
      <c r="J273" s="84">
        <v>1000</v>
      </c>
      <c r="K273" s="85">
        <v>-634889.42000000004</v>
      </c>
      <c r="L273" s="85">
        <v>-634889.42000000004</v>
      </c>
      <c r="M273" s="85">
        <v>-634889.42000000004</v>
      </c>
      <c r="N273" s="85">
        <v>-634889.42000000004</v>
      </c>
      <c r="O273" s="85">
        <v>-634889.42000000004</v>
      </c>
      <c r="P273" s="85">
        <v>-634889.42000000004</v>
      </c>
      <c r="Q273" s="85">
        <v>-634889.42000000004</v>
      </c>
      <c r="R273" s="85">
        <v>-634889.42000000004</v>
      </c>
      <c r="S273" s="85">
        <v>-634889.42000000004</v>
      </c>
      <c r="T273" s="85">
        <v>-634889.42000000004</v>
      </c>
      <c r="U273" s="85">
        <v>-634889.42000000004</v>
      </c>
      <c r="V273" s="85">
        <v>-634889.42000000004</v>
      </c>
      <c r="W273" s="85">
        <v>-634889.42000000004</v>
      </c>
    </row>
    <row r="274" spans="1:23">
      <c r="A274" s="84">
        <v>0</v>
      </c>
      <c r="B274" s="84">
        <v>2013</v>
      </c>
      <c r="C274" s="84">
        <v>1283</v>
      </c>
      <c r="D274" s="84">
        <v>280328</v>
      </c>
      <c r="E274" s="84" t="str">
        <f t="shared" si="4"/>
        <v>2283400122092280328</v>
      </c>
      <c r="F274" s="84" t="str">
        <f>VLOOKUP(E274,zJARS_Allockeys!A:G,7,FALSE)</f>
        <v>NUTIL</v>
      </c>
      <c r="G274" s="84">
        <v>2283400</v>
      </c>
      <c r="H274" s="84">
        <v>122092</v>
      </c>
      <c r="I274" s="84">
        <v>280328</v>
      </c>
      <c r="J274" s="84">
        <v>1000</v>
      </c>
      <c r="K274" s="85">
        <v>-11566.21</v>
      </c>
      <c r="L274" s="85">
        <v>-11566.21</v>
      </c>
      <c r="M274" s="85">
        <v>-11566.21</v>
      </c>
      <c r="N274" s="85">
        <v>-11566.21</v>
      </c>
      <c r="O274" s="85">
        <v>-11566.21</v>
      </c>
      <c r="P274" s="85">
        <v>-11566.21</v>
      </c>
      <c r="Q274" s="85">
        <v>-11566.21</v>
      </c>
      <c r="R274" s="85">
        <v>-11566.21</v>
      </c>
      <c r="S274" s="85">
        <v>-11566.21</v>
      </c>
      <c r="T274" s="85">
        <v>-11566.21</v>
      </c>
      <c r="U274" s="85">
        <v>-11566.21</v>
      </c>
      <c r="V274" s="85">
        <v>-11566.21</v>
      </c>
      <c r="W274" s="85">
        <v>-11566.21</v>
      </c>
    </row>
    <row r="275" spans="1:23">
      <c r="A275" s="84">
        <v>0</v>
      </c>
      <c r="B275" s="84">
        <v>2013</v>
      </c>
      <c r="C275" s="84">
        <v>1283</v>
      </c>
      <c r="D275" s="84">
        <v>280328</v>
      </c>
      <c r="E275" s="84" t="str">
        <f t="shared" si="4"/>
        <v>2283400122092280328</v>
      </c>
      <c r="F275" s="84" t="str">
        <f>VLOOKUP(E275,zJARS_Allockeys!A:G,7,FALSE)</f>
        <v>NUTIL</v>
      </c>
      <c r="G275" s="84">
        <v>2283400</v>
      </c>
      <c r="H275" s="84">
        <v>122092</v>
      </c>
      <c r="I275" s="84">
        <v>280328</v>
      </c>
      <c r="J275" s="84">
        <v>1000</v>
      </c>
      <c r="K275" s="85">
        <v>-5095270.8899999997</v>
      </c>
      <c r="L275" s="85">
        <v>-5095270.8899999997</v>
      </c>
      <c r="M275" s="85">
        <v>-5095270.8899999997</v>
      </c>
      <c r="N275" s="85">
        <v>-5095270.8899999997</v>
      </c>
      <c r="O275" s="85">
        <v>-5095270.8899999997</v>
      </c>
      <c r="P275" s="85">
        <v>-5095270.8899999997</v>
      </c>
      <c r="Q275" s="85">
        <v>-5095270.8899999997</v>
      </c>
      <c r="R275" s="85">
        <v>-5095270.8899999997</v>
      </c>
      <c r="S275" s="85">
        <v>-5095270.8899999997</v>
      </c>
      <c r="T275" s="85">
        <v>-5095270.8899999997</v>
      </c>
      <c r="U275" s="85">
        <v>-5095270.8899999997</v>
      </c>
      <c r="V275" s="85">
        <v>-5095270.8899999997</v>
      </c>
      <c r="W275" s="85">
        <v>-5095270.8899999997</v>
      </c>
    </row>
    <row r="276" spans="1:23">
      <c r="A276" s="84">
        <v>0</v>
      </c>
      <c r="B276" s="84">
        <v>2013</v>
      </c>
      <c r="C276" s="84">
        <v>1283</v>
      </c>
      <c r="D276" s="84">
        <v>280455</v>
      </c>
      <c r="E276" s="84" t="str">
        <f t="shared" si="4"/>
        <v>22834001280455</v>
      </c>
      <c r="F276" s="84" t="str">
        <f>VLOOKUP(E276,zJARS_Allockeys!A:G,7,FALSE)</f>
        <v>NUTIL</v>
      </c>
      <c r="G276" s="84">
        <v>2283400</v>
      </c>
      <c r="H276" s="84">
        <v>1</v>
      </c>
      <c r="I276" s="84">
        <v>280455</v>
      </c>
      <c r="J276" s="84">
        <v>1000</v>
      </c>
      <c r="K276" s="85">
        <v>-579986.66</v>
      </c>
      <c r="L276" s="85">
        <v>-579986.66</v>
      </c>
      <c r="M276" s="85">
        <v>-579986.66</v>
      </c>
      <c r="N276" s="85">
        <v>-579986.66</v>
      </c>
      <c r="O276" s="85">
        <v>-579986.66</v>
      </c>
      <c r="P276" s="85">
        <v>-579986.66</v>
      </c>
      <c r="Q276" s="85">
        <v>-579986.66</v>
      </c>
      <c r="R276" s="85">
        <v>-579986.66</v>
      </c>
      <c r="S276" s="85">
        <v>-579986.66</v>
      </c>
      <c r="T276" s="85">
        <v>-579986.66</v>
      </c>
      <c r="U276" s="85">
        <v>-579986.66</v>
      </c>
      <c r="V276" s="85">
        <v>-579986.66</v>
      </c>
      <c r="W276" s="85">
        <v>-579986.66</v>
      </c>
    </row>
    <row r="277" spans="1:23">
      <c r="A277" s="84">
        <v>0</v>
      </c>
      <c r="B277" s="84">
        <v>2013</v>
      </c>
      <c r="C277" s="84">
        <v>1407</v>
      </c>
      <c r="D277" s="84">
        <v>187602</v>
      </c>
      <c r="E277" s="84" t="str">
        <f t="shared" si="4"/>
        <v>1823870109187602</v>
      </c>
      <c r="F277" s="84" t="str">
        <f>VLOOKUP(E277,zJARS_Allockeys!A:G,7,FALSE)</f>
        <v>NUTIL</v>
      </c>
      <c r="G277" s="84">
        <v>1823870</v>
      </c>
      <c r="H277" s="84">
        <v>109</v>
      </c>
      <c r="I277" s="84">
        <v>187602</v>
      </c>
      <c r="J277" s="84">
        <v>1000</v>
      </c>
      <c r="K277" s="85">
        <v>-53659.18</v>
      </c>
      <c r="L277" s="85">
        <v>-53659.18</v>
      </c>
      <c r="M277" s="85">
        <v>-53659.18</v>
      </c>
      <c r="N277" s="85">
        <v>-53659.18</v>
      </c>
      <c r="O277" s="85">
        <v>-53659.18</v>
      </c>
      <c r="P277" s="85">
        <v>-53659.18</v>
      </c>
      <c r="Q277" s="85">
        <v>-53659.18</v>
      </c>
      <c r="R277" s="85">
        <v>-53659.18</v>
      </c>
      <c r="S277" s="85">
        <v>-53659.18</v>
      </c>
      <c r="T277" s="85">
        <v>-53659.18</v>
      </c>
      <c r="U277" s="85">
        <v>-53659.18</v>
      </c>
      <c r="V277" s="85">
        <v>-53659.18</v>
      </c>
      <c r="W277" s="85">
        <v>-53659.18</v>
      </c>
    </row>
    <row r="278" spans="1:23">
      <c r="A278" s="84">
        <v>0</v>
      </c>
      <c r="B278" s="84">
        <v>2013</v>
      </c>
      <c r="C278" s="84">
        <v>1407</v>
      </c>
      <c r="D278" s="84">
        <v>187624</v>
      </c>
      <c r="E278" s="84" t="str">
        <f t="shared" si="4"/>
        <v>1823870109187624</v>
      </c>
      <c r="F278" s="84" t="str">
        <f>VLOOKUP(E278,zJARS_Allockeys!A:G,7,FALSE)</f>
        <v>NUTIL</v>
      </c>
      <c r="G278" s="84">
        <v>1823870</v>
      </c>
      <c r="H278" s="84">
        <v>109</v>
      </c>
      <c r="I278" s="84">
        <v>187624</v>
      </c>
      <c r="J278" s="84">
        <v>1000</v>
      </c>
      <c r="K278" s="85">
        <v>-296617.34000000003</v>
      </c>
      <c r="L278" s="85">
        <v>-296617.34000000003</v>
      </c>
      <c r="M278" s="85">
        <v>-296617.34000000003</v>
      </c>
      <c r="N278" s="85">
        <v>-296617.34000000003</v>
      </c>
      <c r="O278" s="85">
        <v>-296617.34000000003</v>
      </c>
      <c r="P278" s="85">
        <v>-296617.34000000003</v>
      </c>
      <c r="Q278" s="85">
        <v>-296617.34000000003</v>
      </c>
      <c r="R278" s="85">
        <v>-296617.34000000003</v>
      </c>
      <c r="S278" s="85">
        <v>-296617.34000000003</v>
      </c>
      <c r="T278" s="85">
        <v>-296617.34000000003</v>
      </c>
      <c r="U278" s="85">
        <v>-296617.34000000003</v>
      </c>
      <c r="V278" s="85">
        <v>-296617.34000000003</v>
      </c>
      <c r="W278" s="85">
        <v>-296617.34000000003</v>
      </c>
    </row>
    <row r="279" spans="1:23">
      <c r="A279" s="84">
        <v>0</v>
      </c>
      <c r="B279" s="84">
        <v>2013</v>
      </c>
      <c r="C279" s="84">
        <v>1515</v>
      </c>
      <c r="D279" s="84">
        <v>280328</v>
      </c>
      <c r="E279" s="84" t="str">
        <f t="shared" si="4"/>
        <v>22834001280328</v>
      </c>
      <c r="F279" s="84" t="str">
        <f>VLOOKUP(E279,zJARS_Allockeys!A:G,7,FALSE)</f>
        <v>NUTIL</v>
      </c>
      <c r="G279" s="84">
        <v>2283400</v>
      </c>
      <c r="H279" s="84">
        <v>1</v>
      </c>
      <c r="I279" s="84">
        <v>280328</v>
      </c>
      <c r="J279" s="84">
        <v>1000</v>
      </c>
      <c r="K279" s="85">
        <v>-8388137.2800000003</v>
      </c>
      <c r="L279" s="85">
        <v>-8388137.2800000003</v>
      </c>
      <c r="M279" s="85">
        <v>-8388137.2800000003</v>
      </c>
      <c r="N279" s="85">
        <v>-8388137.2800000003</v>
      </c>
      <c r="O279" s="85">
        <v>-8388137.2800000003</v>
      </c>
      <c r="P279" s="85">
        <v>-8388137.2800000003</v>
      </c>
      <c r="Q279" s="85">
        <v>-8388137.2800000003</v>
      </c>
      <c r="R279" s="85">
        <v>-8388137.2800000003</v>
      </c>
      <c r="S279" s="85">
        <v>-8388137.2800000003</v>
      </c>
      <c r="T279" s="85">
        <v>-8388137.2800000003</v>
      </c>
      <c r="U279" s="85">
        <v>-8388137.2800000003</v>
      </c>
      <c r="V279" s="85">
        <v>-8388137.2800000003</v>
      </c>
      <c r="W279" s="85">
        <v>-8388137.2800000003</v>
      </c>
    </row>
    <row r="280" spans="1:23">
      <c r="A280" s="84">
        <v>0</v>
      </c>
      <c r="B280" s="84">
        <v>2013</v>
      </c>
      <c r="C280" s="84" t="s">
        <v>255</v>
      </c>
      <c r="D280" s="84">
        <v>187017</v>
      </c>
      <c r="E280" s="84" t="str">
        <f t="shared" si="4"/>
        <v>18238701187017</v>
      </c>
      <c r="F280" s="84" t="str">
        <f>VLOOKUP(E280,zJARS_Allockeys!A:G,7,FALSE)</f>
        <v>NUTIL</v>
      </c>
      <c r="G280" s="84">
        <v>1823870</v>
      </c>
      <c r="H280" s="84">
        <v>1</v>
      </c>
      <c r="I280" s="84">
        <v>187017</v>
      </c>
      <c r="J280" s="84">
        <v>1000</v>
      </c>
      <c r="K280" s="85">
        <v>-770306135.48000002</v>
      </c>
      <c r="L280" s="85">
        <v>-770306135.48000002</v>
      </c>
      <c r="M280" s="85">
        <v>-770306135.48000002</v>
      </c>
      <c r="N280" s="85">
        <v>-770306135.48000002</v>
      </c>
      <c r="O280" s="85">
        <v>-770306135.48000002</v>
      </c>
      <c r="P280" s="85">
        <v>-770306135.48000002</v>
      </c>
      <c r="Q280" s="85">
        <v>-770306135.48000002</v>
      </c>
      <c r="R280" s="85">
        <v>-770306135.48000002</v>
      </c>
      <c r="S280" s="85">
        <v>-770306135.48000002</v>
      </c>
      <c r="T280" s="85">
        <v>-770306135.48000002</v>
      </c>
      <c r="U280" s="85">
        <v>-770306135.48000002</v>
      </c>
      <c r="V280" s="85">
        <v>-770306135.48000002</v>
      </c>
      <c r="W280" s="85">
        <v>-770306135.48000002</v>
      </c>
    </row>
    <row r="281" spans="1:23">
      <c r="A281" s="84">
        <v>0</v>
      </c>
      <c r="B281" s="84">
        <v>2013</v>
      </c>
      <c r="C281" s="84" t="s">
        <v>255</v>
      </c>
      <c r="D281" s="84">
        <v>187621</v>
      </c>
      <c r="E281" s="84" t="str">
        <f t="shared" si="4"/>
        <v>18238701187621</v>
      </c>
      <c r="F281" s="84" t="str">
        <f>VLOOKUP(E281,zJARS_Allockeys!A:G,7,FALSE)</f>
        <v>NUTIL</v>
      </c>
      <c r="G281" s="84">
        <v>1823870</v>
      </c>
      <c r="H281" s="84">
        <v>1</v>
      </c>
      <c r="I281" s="84">
        <v>187621</v>
      </c>
      <c r="J281" s="84">
        <v>1000</v>
      </c>
      <c r="K281" s="85">
        <v>-146546744.66999999</v>
      </c>
      <c r="L281" s="85">
        <v>-146546744.66999999</v>
      </c>
      <c r="M281" s="85">
        <v>-146546744.66999999</v>
      </c>
      <c r="N281" s="85">
        <v>-146546744.66999999</v>
      </c>
      <c r="O281" s="85">
        <v>-146546744.66999999</v>
      </c>
      <c r="P281" s="85">
        <v>-146546744.66999999</v>
      </c>
      <c r="Q281" s="85">
        <v>-146546744.66999999</v>
      </c>
      <c r="R281" s="85">
        <v>-146546744.66999999</v>
      </c>
      <c r="S281" s="85">
        <v>-146546744.66999999</v>
      </c>
      <c r="T281" s="85">
        <v>-146546744.66999999</v>
      </c>
      <c r="U281" s="85">
        <v>-146546744.66999999</v>
      </c>
      <c r="V281" s="85">
        <v>-146546744.66999999</v>
      </c>
      <c r="W281" s="85">
        <v>-146546744.66999999</v>
      </c>
    </row>
    <row r="282" spans="1:23">
      <c r="A282" s="84">
        <v>0</v>
      </c>
      <c r="B282" s="84">
        <v>2013</v>
      </c>
      <c r="C282" s="84">
        <v>1042</v>
      </c>
      <c r="D282" s="84">
        <v>280328</v>
      </c>
      <c r="E282" s="84" t="str">
        <f t="shared" si="4"/>
        <v>22834001280328</v>
      </c>
      <c r="F282" s="84" t="str">
        <f>VLOOKUP(E282,zJARS_Allockeys!A:G,7,FALSE)</f>
        <v>NUTIL</v>
      </c>
      <c r="G282" s="84">
        <v>2283400</v>
      </c>
      <c r="H282" s="84">
        <v>1</v>
      </c>
      <c r="I282" s="84">
        <v>280328</v>
      </c>
      <c r="J282" s="84">
        <v>1000</v>
      </c>
      <c r="K282" s="85">
        <v>53498331.259999998</v>
      </c>
      <c r="L282" s="85">
        <v>53498331.259999998</v>
      </c>
      <c r="M282" s="85">
        <v>53498331.259999998</v>
      </c>
      <c r="N282" s="85">
        <v>53498331.259999998</v>
      </c>
      <c r="O282" s="85">
        <v>53498331.259999998</v>
      </c>
      <c r="P282" s="85">
        <v>56872181.140000001</v>
      </c>
      <c r="Q282" s="85">
        <v>56872181.140000001</v>
      </c>
      <c r="R282" s="85">
        <v>56872523.329999998</v>
      </c>
      <c r="S282" s="85">
        <v>56872523.329999998</v>
      </c>
      <c r="T282" s="85">
        <v>56872523.329999998</v>
      </c>
      <c r="U282" s="85">
        <v>56872523.329999998</v>
      </c>
      <c r="V282" s="85">
        <v>56872523.329999998</v>
      </c>
      <c r="W282" s="85">
        <v>56872523.329999998</v>
      </c>
    </row>
    <row r="283" spans="1:23">
      <c r="A283" s="84">
        <v>0</v>
      </c>
      <c r="B283" s="84">
        <v>2013</v>
      </c>
      <c r="C283" s="84">
        <v>1042</v>
      </c>
      <c r="D283" s="84">
        <v>280328</v>
      </c>
      <c r="E283" s="84" t="str">
        <f t="shared" si="4"/>
        <v>2283400122092280328</v>
      </c>
      <c r="F283" s="84" t="str">
        <f>VLOOKUP(E283,zJARS_Allockeys!A:G,7,FALSE)</f>
        <v>NUTIL</v>
      </c>
      <c r="G283" s="84">
        <v>2283400</v>
      </c>
      <c r="H283" s="84">
        <v>122092</v>
      </c>
      <c r="I283" s="84">
        <v>280328</v>
      </c>
      <c r="J283" s="84">
        <v>1000</v>
      </c>
      <c r="K283" s="85">
        <v>1386319.98</v>
      </c>
      <c r="L283" s="85">
        <v>1386319.98</v>
      </c>
      <c r="M283" s="85">
        <v>1386319.98</v>
      </c>
      <c r="N283" s="85">
        <v>1386319.98</v>
      </c>
      <c r="O283" s="85">
        <v>1386319.98</v>
      </c>
      <c r="P283" s="85">
        <v>1386319.98</v>
      </c>
      <c r="Q283" s="85">
        <v>1386319.98</v>
      </c>
      <c r="R283" s="85">
        <v>1386319.98</v>
      </c>
      <c r="S283" s="85">
        <v>1386319.98</v>
      </c>
      <c r="T283" s="85">
        <v>1386319.98</v>
      </c>
      <c r="U283" s="85">
        <v>1386319.98</v>
      </c>
      <c r="V283" s="85">
        <v>1386319.98</v>
      </c>
      <c r="W283" s="85">
        <v>1386319.98</v>
      </c>
    </row>
    <row r="284" spans="1:23">
      <c r="A284" s="84">
        <v>0</v>
      </c>
      <c r="B284" s="84">
        <v>2013</v>
      </c>
      <c r="C284" s="84">
        <v>1042</v>
      </c>
      <c r="D284" s="84">
        <v>280328</v>
      </c>
      <c r="E284" s="84" t="str">
        <f t="shared" si="4"/>
        <v>22840000</v>
      </c>
      <c r="F284" s="84" t="e">
        <f>VLOOKUP(E284,zJARS_Allockeys!A:G,7,FALSE)</f>
        <v>#N/A</v>
      </c>
      <c r="G284" s="84">
        <v>2284000</v>
      </c>
      <c r="H284" s="84">
        <v>0</v>
      </c>
      <c r="I284" s="84"/>
      <c r="J284" s="84">
        <v>1000</v>
      </c>
      <c r="K284" s="85">
        <v>12312.58</v>
      </c>
      <c r="L284" s="85">
        <v>12312.58</v>
      </c>
      <c r="M284" s="85">
        <v>12312.58</v>
      </c>
      <c r="N284" s="85">
        <v>12312.58</v>
      </c>
      <c r="O284" s="85">
        <v>12312.58</v>
      </c>
      <c r="P284" s="85">
        <v>12312.58</v>
      </c>
      <c r="Q284" s="85">
        <v>12312.58</v>
      </c>
      <c r="R284" s="85">
        <v>12312.58</v>
      </c>
      <c r="S284" s="85">
        <v>12312.58</v>
      </c>
      <c r="T284" s="85">
        <v>12312.58</v>
      </c>
      <c r="U284" s="85">
        <v>12312.58</v>
      </c>
      <c r="V284" s="85">
        <v>12312.58</v>
      </c>
      <c r="W284" s="85">
        <v>12312.58</v>
      </c>
    </row>
    <row r="285" spans="1:23">
      <c r="A285" s="84">
        <v>0</v>
      </c>
      <c r="B285" s="84">
        <v>2013</v>
      </c>
      <c r="C285" s="84">
        <v>1042</v>
      </c>
      <c r="D285" s="84">
        <v>280328</v>
      </c>
      <c r="E285" s="84" t="str">
        <f t="shared" si="4"/>
        <v>2284000122092280328</v>
      </c>
      <c r="F285" s="84" t="str">
        <f>VLOOKUP(E285,zJARS_Allockeys!A:G,7,FALSE)</f>
        <v>NUTIL</v>
      </c>
      <c r="G285" s="84">
        <v>2284000</v>
      </c>
      <c r="H285" s="84">
        <v>122092</v>
      </c>
      <c r="I285" s="84">
        <v>280328</v>
      </c>
      <c r="J285" s="84">
        <v>1000</v>
      </c>
      <c r="K285" s="85">
        <v>12312.58</v>
      </c>
      <c r="L285" s="85">
        <v>12312.58</v>
      </c>
      <c r="M285" s="85">
        <v>12312.58</v>
      </c>
      <c r="N285" s="85">
        <v>12312.58</v>
      </c>
      <c r="O285" s="85">
        <v>12312.58</v>
      </c>
      <c r="P285" s="85">
        <v>12312.58</v>
      </c>
      <c r="Q285" s="85">
        <v>12312.58</v>
      </c>
      <c r="R285" s="85">
        <v>12312.58</v>
      </c>
      <c r="S285" s="85">
        <v>12312.58</v>
      </c>
      <c r="T285" s="85">
        <v>12312.58</v>
      </c>
      <c r="U285" s="85">
        <v>12312.58</v>
      </c>
      <c r="V285" s="85">
        <v>12312.58</v>
      </c>
      <c r="W285" s="85">
        <v>12312.58</v>
      </c>
    </row>
    <row r="286" spans="1:23">
      <c r="A286" s="84">
        <v>0</v>
      </c>
      <c r="B286" s="84">
        <v>2013</v>
      </c>
      <c r="C286" s="84">
        <v>1042</v>
      </c>
      <c r="D286" s="84">
        <v>280355</v>
      </c>
      <c r="E286" s="84" t="str">
        <f t="shared" si="4"/>
        <v>22835001280355</v>
      </c>
      <c r="F286" s="84" t="str">
        <f>VLOOKUP(E286,zJARS_Allockeys!A:G,7,FALSE)</f>
        <v>NUTIL</v>
      </c>
      <c r="G286" s="84">
        <v>2283500</v>
      </c>
      <c r="H286" s="84">
        <v>1</v>
      </c>
      <c r="I286" s="84">
        <v>280355</v>
      </c>
      <c r="J286" s="84">
        <v>1000</v>
      </c>
      <c r="K286" s="85">
        <v>303834259</v>
      </c>
      <c r="L286" s="85">
        <v>303834259</v>
      </c>
      <c r="M286" s="85">
        <v>303834259</v>
      </c>
      <c r="N286" s="85">
        <v>303834259</v>
      </c>
      <c r="O286" s="85">
        <v>303834259</v>
      </c>
      <c r="P286" s="85">
        <v>303834259</v>
      </c>
      <c r="Q286" s="85">
        <v>303834259</v>
      </c>
      <c r="R286" s="85">
        <v>303834259</v>
      </c>
      <c r="S286" s="85">
        <v>303834259</v>
      </c>
      <c r="T286" s="85">
        <v>303834259</v>
      </c>
      <c r="U286" s="85">
        <v>303834259</v>
      </c>
      <c r="V286" s="85">
        <v>303834259</v>
      </c>
      <c r="W286" s="85">
        <v>303834259</v>
      </c>
    </row>
    <row r="287" spans="1:23">
      <c r="A287" s="84">
        <v>0</v>
      </c>
      <c r="B287" s="84">
        <v>2013</v>
      </c>
      <c r="C287" s="84">
        <v>1042</v>
      </c>
      <c r="D287" s="84">
        <v>280455</v>
      </c>
      <c r="E287" s="84" t="str">
        <f t="shared" si="4"/>
        <v>22834001280455</v>
      </c>
      <c r="F287" s="84" t="str">
        <f>VLOOKUP(E287,zJARS_Allockeys!A:G,7,FALSE)</f>
        <v>NUTIL</v>
      </c>
      <c r="G287" s="84">
        <v>2283400</v>
      </c>
      <c r="H287" s="84">
        <v>1</v>
      </c>
      <c r="I287" s="84">
        <v>280455</v>
      </c>
      <c r="J287" s="84">
        <v>1000</v>
      </c>
      <c r="K287" s="85">
        <v>8956335.3200000003</v>
      </c>
      <c r="L287" s="85">
        <v>9277320.1899999995</v>
      </c>
      <c r="M287" s="85">
        <v>9281756.709999999</v>
      </c>
      <c r="N287" s="85">
        <v>9922060.2999999989</v>
      </c>
      <c r="O287" s="85">
        <v>9922060.2999999989</v>
      </c>
      <c r="P287" s="85">
        <v>9922576.4899999984</v>
      </c>
      <c r="Q287" s="85">
        <v>9926943.7699999977</v>
      </c>
      <c r="R287" s="85">
        <v>9926943.7699999977</v>
      </c>
      <c r="S287" s="85">
        <v>9926943.7699999977</v>
      </c>
      <c r="T287" s="85">
        <v>10064615.079999998</v>
      </c>
      <c r="U287" s="85">
        <v>10066798.719999999</v>
      </c>
      <c r="V287" s="85">
        <v>10066798.719999999</v>
      </c>
      <c r="W287" s="85">
        <v>10066798.719999999</v>
      </c>
    </row>
    <row r="288" spans="1:23">
      <c r="A288" s="84">
        <v>0</v>
      </c>
      <c r="B288" s="84">
        <v>2013</v>
      </c>
      <c r="C288" s="84">
        <v>1042</v>
      </c>
      <c r="D288" s="84">
        <v>280465</v>
      </c>
      <c r="E288" s="84" t="str">
        <f t="shared" si="4"/>
        <v>22835001280465</v>
      </c>
      <c r="F288" s="84" t="str">
        <f>VLOOKUP(E288,zJARS_Allockeys!A:G,7,FALSE)</f>
        <v>NUTIL</v>
      </c>
      <c r="G288" s="84">
        <v>2283500</v>
      </c>
      <c r="H288" s="84">
        <v>1</v>
      </c>
      <c r="I288" s="84">
        <v>280465</v>
      </c>
      <c r="J288" s="84">
        <v>1000</v>
      </c>
      <c r="K288" s="85">
        <v>20742491.850000001</v>
      </c>
      <c r="L288" s="85">
        <v>21088809.93</v>
      </c>
      <c r="M288" s="85">
        <v>21435128.009999998</v>
      </c>
      <c r="N288" s="85">
        <v>21781446.089999996</v>
      </c>
      <c r="O288" s="85">
        <v>22127764.169999994</v>
      </c>
      <c r="P288" s="85">
        <v>22474082.249999993</v>
      </c>
      <c r="Q288" s="85">
        <v>22820400.329999991</v>
      </c>
      <c r="R288" s="85">
        <v>23166718.409999989</v>
      </c>
      <c r="S288" s="85">
        <v>23513036.489999987</v>
      </c>
      <c r="T288" s="85">
        <v>23859354.569999985</v>
      </c>
      <c r="U288" s="85">
        <v>24205672.649999984</v>
      </c>
      <c r="V288" s="85">
        <v>24218850.649999984</v>
      </c>
      <c r="W288" s="85">
        <v>24218850.649999984</v>
      </c>
    </row>
    <row r="289" spans="1:23">
      <c r="A289" s="84">
        <v>0</v>
      </c>
      <c r="B289" s="84">
        <v>2013</v>
      </c>
      <c r="C289" s="84">
        <v>1170</v>
      </c>
      <c r="D289" s="84">
        <v>280479</v>
      </c>
      <c r="E289" s="84" t="str">
        <f t="shared" si="4"/>
        <v>22835001034280479</v>
      </c>
      <c r="F289" s="84" t="str">
        <f>VLOOKUP(E289,zJARS_Allockeys!A:G,7,FALSE)</f>
        <v>NUTIL</v>
      </c>
      <c r="G289" s="84">
        <v>2283500</v>
      </c>
      <c r="H289" s="84">
        <v>1034</v>
      </c>
      <c r="I289" s="84">
        <v>280479</v>
      </c>
      <c r="J289" s="84">
        <v>1000</v>
      </c>
      <c r="K289" s="85">
        <v>234164762.72999999</v>
      </c>
      <c r="L289" s="85">
        <v>238166762.72999999</v>
      </c>
      <c r="M289" s="85">
        <v>242168762.72999999</v>
      </c>
      <c r="N289" s="85">
        <v>246170762.72999999</v>
      </c>
      <c r="O289" s="85">
        <v>250172762.72999999</v>
      </c>
      <c r="P289" s="85">
        <v>254174762.72999999</v>
      </c>
      <c r="Q289" s="85">
        <v>258176762.72999999</v>
      </c>
      <c r="R289" s="85">
        <v>262178762.72999999</v>
      </c>
      <c r="S289" s="85">
        <v>266180762.72999999</v>
      </c>
      <c r="T289" s="85">
        <v>270182762.73000002</v>
      </c>
      <c r="U289" s="85">
        <v>274184762.73000002</v>
      </c>
      <c r="V289" s="85">
        <v>274184762.73000002</v>
      </c>
      <c r="W289" s="85">
        <v>274184762.73000002</v>
      </c>
    </row>
    <row r="290" spans="1:23">
      <c r="A290" s="84">
        <v>0</v>
      </c>
      <c r="B290" s="84">
        <v>2013</v>
      </c>
      <c r="C290" s="84">
        <v>1170</v>
      </c>
      <c r="D290" s="84">
        <v>280479</v>
      </c>
      <c r="E290" s="84" t="str">
        <f t="shared" si="4"/>
        <v>242000010340</v>
      </c>
      <c r="F290" s="84" t="str">
        <f>VLOOKUP(E290,zJARS_Allockeys!A:G,7,FALSE)</f>
        <v>NUTIL</v>
      </c>
      <c r="G290" s="84">
        <v>2420000</v>
      </c>
      <c r="H290" s="84">
        <v>1034</v>
      </c>
      <c r="I290" s="84">
        <v>0</v>
      </c>
      <c r="J290" s="84">
        <v>1000</v>
      </c>
      <c r="K290" s="85">
        <v>16000000</v>
      </c>
      <c r="L290" s="85">
        <v>16000000</v>
      </c>
      <c r="M290" s="85">
        <v>16000000</v>
      </c>
      <c r="N290" s="85">
        <v>16000000</v>
      </c>
      <c r="O290" s="85">
        <v>16000000</v>
      </c>
      <c r="P290" s="85">
        <v>16000000</v>
      </c>
      <c r="Q290" s="85">
        <v>16000000</v>
      </c>
      <c r="R290" s="85">
        <v>16000000</v>
      </c>
      <c r="S290" s="85">
        <v>16000000</v>
      </c>
      <c r="T290" s="85">
        <v>16000000</v>
      </c>
      <c r="U290" s="85">
        <v>16000000</v>
      </c>
      <c r="V290" s="85">
        <v>16000000</v>
      </c>
      <c r="W290" s="85">
        <v>16000000</v>
      </c>
    </row>
    <row r="291" spans="1:23">
      <c r="A291" s="84">
        <v>0</v>
      </c>
      <c r="B291" s="84">
        <v>2013</v>
      </c>
      <c r="C291" s="84">
        <v>1196</v>
      </c>
      <c r="D291" s="84">
        <v>280328</v>
      </c>
      <c r="E291" s="84" t="str">
        <f t="shared" si="4"/>
        <v>22834001280328</v>
      </c>
      <c r="F291" s="84" t="str">
        <f>VLOOKUP(E291,zJARS_Allockeys!A:G,7,FALSE)</f>
        <v>NUTIL</v>
      </c>
      <c r="G291" s="84">
        <v>2283400</v>
      </c>
      <c r="H291" s="84">
        <v>1</v>
      </c>
      <c r="I291" s="84">
        <v>280328</v>
      </c>
      <c r="J291" s="84">
        <v>1000</v>
      </c>
      <c r="K291" s="85">
        <v>94320.05</v>
      </c>
      <c r="L291" s="85">
        <v>94320.05</v>
      </c>
      <c r="M291" s="85">
        <v>94320.05</v>
      </c>
      <c r="N291" s="85">
        <v>94320.05</v>
      </c>
      <c r="O291" s="85">
        <v>94320.05</v>
      </c>
      <c r="P291" s="85">
        <v>94320.05</v>
      </c>
      <c r="Q291" s="85">
        <v>94320.05</v>
      </c>
      <c r="R291" s="85">
        <v>94320.05</v>
      </c>
      <c r="S291" s="85">
        <v>94320.05</v>
      </c>
      <c r="T291" s="85">
        <v>94320.05</v>
      </c>
      <c r="U291" s="85">
        <v>94320.05</v>
      </c>
      <c r="V291" s="85">
        <v>94320.05</v>
      </c>
      <c r="W291" s="85">
        <v>94320.05</v>
      </c>
    </row>
    <row r="292" spans="1:23">
      <c r="A292" s="84">
        <v>0</v>
      </c>
      <c r="B292" s="84">
        <v>2013</v>
      </c>
      <c r="C292" s="84">
        <v>1200</v>
      </c>
      <c r="D292" s="84">
        <v>187017</v>
      </c>
      <c r="E292" s="84" t="str">
        <f t="shared" si="4"/>
        <v>18238701111610</v>
      </c>
      <c r="F292" s="84" t="str">
        <f>VLOOKUP(E292,zJARS_Allockeys!A:G,7,FALSE)</f>
        <v>NUTIL</v>
      </c>
      <c r="G292" s="84">
        <v>1823870</v>
      </c>
      <c r="H292" s="84">
        <v>1</v>
      </c>
      <c r="I292" s="84">
        <v>111610</v>
      </c>
      <c r="J292" s="84">
        <v>1000</v>
      </c>
      <c r="K292" s="85">
        <v>409985025.17000002</v>
      </c>
      <c r="L292" s="85">
        <v>409985025.17000002</v>
      </c>
      <c r="M292" s="85">
        <v>409985025.17000002</v>
      </c>
      <c r="N292" s="85">
        <v>409985025.17000002</v>
      </c>
      <c r="O292" s="85">
        <v>409985025.17000002</v>
      </c>
      <c r="P292" s="85">
        <v>409985025.17000002</v>
      </c>
      <c r="Q292" s="85">
        <v>409985025.17000002</v>
      </c>
      <c r="R292" s="85">
        <v>409985025.17000002</v>
      </c>
      <c r="S292" s="85">
        <v>409985025.17000002</v>
      </c>
      <c r="T292" s="85">
        <v>409985025.17000002</v>
      </c>
      <c r="U292" s="85">
        <v>409985025.17000002</v>
      </c>
      <c r="V292" s="85">
        <v>409985025.17000002</v>
      </c>
      <c r="W292" s="85">
        <v>409985025.17000002</v>
      </c>
    </row>
    <row r="293" spans="1:23">
      <c r="A293" s="84">
        <v>0</v>
      </c>
      <c r="B293" s="84">
        <v>2013</v>
      </c>
      <c r="C293" s="84">
        <v>1200</v>
      </c>
      <c r="D293" s="84">
        <v>187017</v>
      </c>
      <c r="E293" s="84" t="str">
        <f t="shared" si="4"/>
        <v>18238701187017</v>
      </c>
      <c r="F293" s="84" t="str">
        <f>VLOOKUP(E293,zJARS_Allockeys!A:G,7,FALSE)</f>
        <v>NUTIL</v>
      </c>
      <c r="G293" s="84">
        <v>1823870</v>
      </c>
      <c r="H293" s="84">
        <v>1</v>
      </c>
      <c r="I293" s="84">
        <v>187017</v>
      </c>
      <c r="J293" s="84">
        <v>1000</v>
      </c>
      <c r="K293" s="85">
        <v>1175154670.6099999</v>
      </c>
      <c r="L293" s="85">
        <v>1175172766.1699998</v>
      </c>
      <c r="M293" s="85">
        <v>1175172766.1699998</v>
      </c>
      <c r="N293" s="85">
        <v>1175172766.1699998</v>
      </c>
      <c r="O293" s="85">
        <v>1175172766.1699998</v>
      </c>
      <c r="P293" s="85">
        <v>1175172766.1699998</v>
      </c>
      <c r="Q293" s="85">
        <v>1175172766.1699998</v>
      </c>
      <c r="R293" s="85">
        <v>1175172766.1699998</v>
      </c>
      <c r="S293" s="85">
        <v>1175398631.9099998</v>
      </c>
      <c r="T293" s="85">
        <v>1175449720.5899999</v>
      </c>
      <c r="U293" s="85">
        <v>1175449720.5899999</v>
      </c>
      <c r="V293" s="85">
        <v>1175449720.5899999</v>
      </c>
      <c r="W293" s="85">
        <v>1175449720.5899999</v>
      </c>
    </row>
    <row r="294" spans="1:23">
      <c r="A294" s="84">
        <v>0</v>
      </c>
      <c r="B294" s="84">
        <v>2013</v>
      </c>
      <c r="C294" s="84">
        <v>1200</v>
      </c>
      <c r="D294" s="84">
        <v>187600</v>
      </c>
      <c r="E294" s="84" t="str">
        <f t="shared" si="4"/>
        <v>18238701187600</v>
      </c>
      <c r="F294" s="84" t="str">
        <f>VLOOKUP(E294,zJARS_Allockeys!A:G,7,FALSE)</f>
        <v>NUTIL</v>
      </c>
      <c r="G294" s="84">
        <v>1823870</v>
      </c>
      <c r="H294" s="84">
        <v>1</v>
      </c>
      <c r="I294" s="84">
        <v>187600</v>
      </c>
      <c r="J294" s="84">
        <v>1000</v>
      </c>
      <c r="K294" s="85">
        <v>5339122.47</v>
      </c>
      <c r="L294" s="85">
        <v>5423675.2599999998</v>
      </c>
      <c r="M294" s="85">
        <v>5508228.0599999996</v>
      </c>
      <c r="N294" s="85">
        <v>5592780.8599999994</v>
      </c>
      <c r="O294" s="85">
        <v>5677333.6599999992</v>
      </c>
      <c r="P294" s="85">
        <v>5761886.4499999993</v>
      </c>
      <c r="Q294" s="85">
        <v>5846439.2499999991</v>
      </c>
      <c r="R294" s="85">
        <v>5930992.0499999989</v>
      </c>
      <c r="S294" s="85">
        <v>6015544.8499999987</v>
      </c>
      <c r="T294" s="85">
        <v>6100097.6399999987</v>
      </c>
      <c r="U294" s="85">
        <v>6184650.4399999985</v>
      </c>
      <c r="V294" s="85">
        <v>6184650.4399999985</v>
      </c>
      <c r="W294" s="85">
        <v>6184650.4399999985</v>
      </c>
    </row>
    <row r="295" spans="1:23">
      <c r="A295" s="84">
        <v>0</v>
      </c>
      <c r="B295" s="84">
        <v>2013</v>
      </c>
      <c r="C295" s="84">
        <v>1200</v>
      </c>
      <c r="D295" s="84">
        <v>187602</v>
      </c>
      <c r="E295" s="84" t="str">
        <f t="shared" si="4"/>
        <v>18238701187602</v>
      </c>
      <c r="F295" s="84" t="str">
        <f>VLOOKUP(E295,zJARS_Allockeys!A:G,7,FALSE)</f>
        <v>NUTIL</v>
      </c>
      <c r="G295" s="84">
        <v>1823870</v>
      </c>
      <c r="H295" s="84">
        <v>1</v>
      </c>
      <c r="I295" s="84">
        <v>187602</v>
      </c>
      <c r="J295" s="84">
        <v>1000</v>
      </c>
      <c r="K295" s="85">
        <v>2893084.59</v>
      </c>
      <c r="L295" s="85">
        <v>2893084.59</v>
      </c>
      <c r="M295" s="85">
        <v>2893084.59</v>
      </c>
      <c r="N295" s="85">
        <v>2893084.59</v>
      </c>
      <c r="O295" s="85">
        <v>2893084.59</v>
      </c>
      <c r="P295" s="85">
        <v>2893084.59</v>
      </c>
      <c r="Q295" s="85">
        <v>2893084.59</v>
      </c>
      <c r="R295" s="85">
        <v>2893084.59</v>
      </c>
      <c r="S295" s="85">
        <v>2893084.59</v>
      </c>
      <c r="T295" s="85">
        <v>2893084.59</v>
      </c>
      <c r="U295" s="85">
        <v>2893084.59</v>
      </c>
      <c r="V295" s="85">
        <v>2893084.59</v>
      </c>
      <c r="W295" s="85">
        <v>2893084.59</v>
      </c>
    </row>
    <row r="296" spans="1:23">
      <c r="A296" s="84">
        <v>0</v>
      </c>
      <c r="B296" s="84">
        <v>2013</v>
      </c>
      <c r="C296" s="84">
        <v>1200</v>
      </c>
      <c r="D296" s="84">
        <v>187604</v>
      </c>
      <c r="E296" s="84" t="str">
        <f t="shared" si="4"/>
        <v>18238701187604</v>
      </c>
      <c r="F296" s="84" t="str">
        <f>VLOOKUP(E296,zJARS_Allockeys!A:G,7,FALSE)</f>
        <v>NUTIL</v>
      </c>
      <c r="G296" s="84">
        <v>1823870</v>
      </c>
      <c r="H296" s="84">
        <v>1</v>
      </c>
      <c r="I296" s="84">
        <v>187604</v>
      </c>
      <c r="J296" s="84">
        <v>1000</v>
      </c>
      <c r="K296" s="85">
        <v>441147.08</v>
      </c>
      <c r="L296" s="85">
        <v>448807.10000000003</v>
      </c>
      <c r="M296" s="85">
        <v>456467.12000000005</v>
      </c>
      <c r="N296" s="85">
        <v>464127.14000000007</v>
      </c>
      <c r="O296" s="85">
        <v>471787.16000000009</v>
      </c>
      <c r="P296" s="85">
        <v>479447.18000000011</v>
      </c>
      <c r="Q296" s="85">
        <v>487107.20000000013</v>
      </c>
      <c r="R296" s="85">
        <v>494767.22000000015</v>
      </c>
      <c r="S296" s="85">
        <v>502427.24000000017</v>
      </c>
      <c r="T296" s="85">
        <v>510087.26000000018</v>
      </c>
      <c r="U296" s="85">
        <v>517747.2800000002</v>
      </c>
      <c r="V296" s="85">
        <v>517747.2800000002</v>
      </c>
      <c r="W296" s="85">
        <v>517747.2800000002</v>
      </c>
    </row>
    <row r="297" spans="1:23">
      <c r="A297" s="84">
        <v>0</v>
      </c>
      <c r="B297" s="84">
        <v>2013</v>
      </c>
      <c r="C297" s="84">
        <v>1200</v>
      </c>
      <c r="D297" s="84">
        <v>187605</v>
      </c>
      <c r="E297" s="84" t="str">
        <f t="shared" si="4"/>
        <v>18238701187605</v>
      </c>
      <c r="F297" s="84" t="str">
        <f>VLOOKUP(E297,zJARS_Allockeys!A:G,7,FALSE)</f>
        <v>NUTIL</v>
      </c>
      <c r="G297" s="84">
        <v>1823870</v>
      </c>
      <c r="H297" s="84">
        <v>1</v>
      </c>
      <c r="I297" s="84">
        <v>187605</v>
      </c>
      <c r="J297" s="84">
        <v>1000</v>
      </c>
      <c r="K297" s="85">
        <v>5457482.6200000001</v>
      </c>
      <c r="L297" s="85">
        <v>5542312.8600000003</v>
      </c>
      <c r="M297" s="85">
        <v>5627143.1100000003</v>
      </c>
      <c r="N297" s="85">
        <v>5711973.3600000003</v>
      </c>
      <c r="O297" s="85">
        <v>5796803.6100000003</v>
      </c>
      <c r="P297" s="85">
        <v>5881633.8500000006</v>
      </c>
      <c r="Q297" s="85">
        <v>5966464.1000000006</v>
      </c>
      <c r="R297" s="85">
        <v>6051294.3500000006</v>
      </c>
      <c r="S297" s="85">
        <v>6136124.6000000006</v>
      </c>
      <c r="T297" s="85">
        <v>6220954.8400000008</v>
      </c>
      <c r="U297" s="85">
        <v>6305785.0900000008</v>
      </c>
      <c r="V297" s="85">
        <v>6305785.0900000008</v>
      </c>
      <c r="W297" s="85">
        <v>6305785.0900000008</v>
      </c>
    </row>
    <row r="298" spans="1:23">
      <c r="A298" s="84">
        <v>0</v>
      </c>
      <c r="B298" s="84">
        <v>2013</v>
      </c>
      <c r="C298" s="84">
        <v>1200</v>
      </c>
      <c r="D298" s="84">
        <v>187621</v>
      </c>
      <c r="E298" s="84" t="str">
        <f t="shared" si="4"/>
        <v>18238701114020</v>
      </c>
      <c r="F298" s="84" t="str">
        <f>VLOOKUP(E298,zJARS_Allockeys!A:G,7,FALSE)</f>
        <v>NUTIL</v>
      </c>
      <c r="G298" s="84">
        <v>1823870</v>
      </c>
      <c r="H298" s="84">
        <v>1</v>
      </c>
      <c r="I298" s="84">
        <v>114020</v>
      </c>
      <c r="J298" s="84">
        <v>1000</v>
      </c>
      <c r="K298" s="85">
        <v>206435569.09</v>
      </c>
      <c r="L298" s="85">
        <v>206435569.09</v>
      </c>
      <c r="M298" s="85">
        <v>206435569.09</v>
      </c>
      <c r="N298" s="85">
        <v>206435569.09</v>
      </c>
      <c r="O298" s="85">
        <v>206435569.09</v>
      </c>
      <c r="P298" s="85">
        <v>206435569.09</v>
      </c>
      <c r="Q298" s="85">
        <v>206435569.09</v>
      </c>
      <c r="R298" s="85">
        <v>206435569.09</v>
      </c>
      <c r="S298" s="85">
        <v>206435569.09</v>
      </c>
      <c r="T298" s="85">
        <v>206435569.09</v>
      </c>
      <c r="U298" s="85">
        <v>206435569.09</v>
      </c>
      <c r="V298" s="85">
        <v>206435569.09</v>
      </c>
      <c r="W298" s="85">
        <v>206435569.09</v>
      </c>
    </row>
    <row r="299" spans="1:23">
      <c r="A299" s="84">
        <v>0</v>
      </c>
      <c r="B299" s="84">
        <v>2013</v>
      </c>
      <c r="C299" s="84">
        <v>1200</v>
      </c>
      <c r="D299" s="84">
        <v>187621</v>
      </c>
      <c r="E299" s="84" t="str">
        <f t="shared" si="4"/>
        <v>18238701187621</v>
      </c>
      <c r="F299" s="84" t="str">
        <f>VLOOKUP(E299,zJARS_Allockeys!A:G,7,FALSE)</f>
        <v>NUTIL</v>
      </c>
      <c r="G299" s="84">
        <v>1823870</v>
      </c>
      <c r="H299" s="84">
        <v>1</v>
      </c>
      <c r="I299" s="84">
        <v>187621</v>
      </c>
      <c r="J299" s="84">
        <v>1000</v>
      </c>
      <c r="K299" s="85">
        <v>318333286.01999998</v>
      </c>
      <c r="L299" s="85">
        <v>318375747.12</v>
      </c>
      <c r="M299" s="85">
        <v>318696422.47000003</v>
      </c>
      <c r="N299" s="85">
        <v>318739766.64000005</v>
      </c>
      <c r="O299" s="85">
        <v>318783110.81000006</v>
      </c>
      <c r="P299" s="85">
        <v>318826454.98000008</v>
      </c>
      <c r="Q299" s="85">
        <v>318869799.1500001</v>
      </c>
      <c r="R299" s="85">
        <v>318913143.32000011</v>
      </c>
      <c r="S299" s="85">
        <v>319022166.07000011</v>
      </c>
      <c r="T299" s="85">
        <v>319075518.47000009</v>
      </c>
      <c r="U299" s="85">
        <v>319123351.60000008</v>
      </c>
      <c r="V299" s="85">
        <v>319123351.60000008</v>
      </c>
      <c r="W299" s="85">
        <v>319123351.60000008</v>
      </c>
    </row>
    <row r="300" spans="1:23">
      <c r="A300" s="84">
        <v>0</v>
      </c>
      <c r="B300" s="84">
        <v>2013</v>
      </c>
      <c r="C300" s="84">
        <v>1200</v>
      </c>
      <c r="D300" s="84">
        <v>187622</v>
      </c>
      <c r="E300" s="84" t="str">
        <f t="shared" si="4"/>
        <v>18238701187622</v>
      </c>
      <c r="F300" s="84" t="str">
        <f>VLOOKUP(E300,zJARS_Allockeys!A:G,7,FALSE)</f>
        <v>NUTIL</v>
      </c>
      <c r="G300" s="84">
        <v>1823870</v>
      </c>
      <c r="H300" s="84">
        <v>1</v>
      </c>
      <c r="I300" s="84">
        <v>187622</v>
      </c>
      <c r="J300" s="84">
        <v>1000</v>
      </c>
      <c r="K300" s="85">
        <v>1999751.17</v>
      </c>
      <c r="L300" s="85">
        <v>1999751.17</v>
      </c>
      <c r="M300" s="85">
        <v>1999751.17</v>
      </c>
      <c r="N300" s="85">
        <v>1999751.17</v>
      </c>
      <c r="O300" s="85">
        <v>1999751.17</v>
      </c>
      <c r="P300" s="85">
        <v>1999751.17</v>
      </c>
      <c r="Q300" s="85">
        <v>1999751.17</v>
      </c>
      <c r="R300" s="85">
        <v>1999751.17</v>
      </c>
      <c r="S300" s="85">
        <v>1999751.17</v>
      </c>
      <c r="T300" s="85">
        <v>1999751.17</v>
      </c>
      <c r="U300" s="85">
        <v>1999751.17</v>
      </c>
      <c r="V300" s="85">
        <v>1999751.17</v>
      </c>
      <c r="W300" s="85">
        <v>1999751.17</v>
      </c>
    </row>
    <row r="301" spans="1:23">
      <c r="A301" s="84">
        <v>0</v>
      </c>
      <c r="B301" s="84">
        <v>2013</v>
      </c>
      <c r="C301" s="84">
        <v>1200</v>
      </c>
      <c r="D301" s="84">
        <v>187624</v>
      </c>
      <c r="E301" s="84" t="str">
        <f t="shared" si="4"/>
        <v>18238701187624</v>
      </c>
      <c r="F301" s="84" t="str">
        <f>VLOOKUP(E301,zJARS_Allockeys!A:G,7,FALSE)</f>
        <v>NUTIL</v>
      </c>
      <c r="G301" s="84">
        <v>1823870</v>
      </c>
      <c r="H301" s="84">
        <v>1</v>
      </c>
      <c r="I301" s="84">
        <v>187624</v>
      </c>
      <c r="J301" s="84">
        <v>1000</v>
      </c>
      <c r="K301" s="85">
        <v>2846825.24</v>
      </c>
      <c r="L301" s="85">
        <v>2846825.24</v>
      </c>
      <c r="M301" s="85">
        <v>2846825.24</v>
      </c>
      <c r="N301" s="85">
        <v>2846825.24</v>
      </c>
      <c r="O301" s="85">
        <v>2846825.24</v>
      </c>
      <c r="P301" s="85">
        <v>2846825.24</v>
      </c>
      <c r="Q301" s="85">
        <v>2846825.24</v>
      </c>
      <c r="R301" s="85">
        <v>2846825.24</v>
      </c>
      <c r="S301" s="85">
        <v>2846825.24</v>
      </c>
      <c r="T301" s="85">
        <v>2846825.24</v>
      </c>
      <c r="U301" s="85">
        <v>2846825.24</v>
      </c>
      <c r="V301" s="85">
        <v>2846825.24</v>
      </c>
      <c r="W301" s="85">
        <v>2846825.24</v>
      </c>
    </row>
    <row r="302" spans="1:23">
      <c r="A302" s="84">
        <v>0</v>
      </c>
      <c r="B302" s="84">
        <v>2013</v>
      </c>
      <c r="C302" s="84">
        <v>1200</v>
      </c>
      <c r="D302" s="84">
        <v>187627</v>
      </c>
      <c r="E302" s="84" t="str">
        <f t="shared" si="4"/>
        <v>18238701187627</v>
      </c>
      <c r="F302" s="84" t="str">
        <f>VLOOKUP(E302,zJARS_Allockeys!A:G,7,FALSE)</f>
        <v>NUTIL</v>
      </c>
      <c r="G302" s="84">
        <v>1823870</v>
      </c>
      <c r="H302" s="84">
        <v>1</v>
      </c>
      <c r="I302" s="84">
        <v>187627</v>
      </c>
      <c r="J302" s="84">
        <v>1000</v>
      </c>
      <c r="K302" s="85">
        <v>174205.76</v>
      </c>
      <c r="L302" s="85">
        <v>174205.76</v>
      </c>
      <c r="M302" s="85">
        <v>174205.76</v>
      </c>
      <c r="N302" s="85">
        <v>174205.76</v>
      </c>
      <c r="O302" s="85">
        <v>174205.76</v>
      </c>
      <c r="P302" s="85">
        <v>174205.76</v>
      </c>
      <c r="Q302" s="85">
        <v>174205.76</v>
      </c>
      <c r="R302" s="85">
        <v>174205.76</v>
      </c>
      <c r="S302" s="85">
        <v>174205.76</v>
      </c>
      <c r="T302" s="85">
        <v>174205.76</v>
      </c>
      <c r="U302" s="85">
        <v>174205.76</v>
      </c>
      <c r="V302" s="85">
        <v>174205.76</v>
      </c>
      <c r="W302" s="85">
        <v>174205.76</v>
      </c>
    </row>
    <row r="303" spans="1:23">
      <c r="A303" s="84">
        <v>0</v>
      </c>
      <c r="B303" s="84">
        <v>2013</v>
      </c>
      <c r="C303" s="84">
        <v>1200</v>
      </c>
      <c r="D303" s="84">
        <v>280328</v>
      </c>
      <c r="E303" s="84" t="str">
        <f t="shared" si="4"/>
        <v>22834000</v>
      </c>
      <c r="F303" s="84" t="e">
        <f>VLOOKUP(E303,zJARS_Allockeys!A:G,7,FALSE)</f>
        <v>#N/A</v>
      </c>
      <c r="G303" s="84">
        <v>2283400</v>
      </c>
      <c r="H303" s="84">
        <v>0</v>
      </c>
      <c r="I303" s="84"/>
      <c r="J303" s="84">
        <v>1000</v>
      </c>
      <c r="K303" s="85">
        <v>2753875.33</v>
      </c>
      <c r="L303" s="85">
        <v>2753875.33</v>
      </c>
      <c r="M303" s="85">
        <v>2753875.33</v>
      </c>
      <c r="N303" s="85">
        <v>2753875.33</v>
      </c>
      <c r="O303" s="85">
        <v>2753875.33</v>
      </c>
      <c r="P303" s="85">
        <v>2753875.33</v>
      </c>
      <c r="Q303" s="85">
        <v>2753875.33</v>
      </c>
      <c r="R303" s="85">
        <v>2753875.33</v>
      </c>
      <c r="S303" s="85">
        <v>2753875.33</v>
      </c>
      <c r="T303" s="85">
        <v>2753875.33</v>
      </c>
      <c r="U303" s="85">
        <v>2753875.33</v>
      </c>
      <c r="V303" s="85">
        <v>2753875.33</v>
      </c>
      <c r="W303" s="85">
        <v>2753875.33</v>
      </c>
    </row>
    <row r="304" spans="1:23">
      <c r="A304" s="84">
        <v>0</v>
      </c>
      <c r="B304" s="84">
        <v>2013</v>
      </c>
      <c r="C304" s="84">
        <v>1200</v>
      </c>
      <c r="D304" s="84">
        <v>280328</v>
      </c>
      <c r="E304" s="84" t="str">
        <f t="shared" si="4"/>
        <v>22834000280328</v>
      </c>
      <c r="F304" s="84" t="e">
        <f>VLOOKUP(E304,zJARS_Allockeys!A:G,7,FALSE)</f>
        <v>#N/A</v>
      </c>
      <c r="G304" s="84">
        <v>2283400</v>
      </c>
      <c r="H304" s="84">
        <v>0</v>
      </c>
      <c r="I304" s="84">
        <v>280328</v>
      </c>
      <c r="J304" s="84">
        <v>1000</v>
      </c>
      <c r="K304" s="85">
        <v>182433</v>
      </c>
      <c r="L304" s="85">
        <v>182433</v>
      </c>
      <c r="M304" s="85">
        <v>182433</v>
      </c>
      <c r="N304" s="85">
        <v>182433</v>
      </c>
      <c r="O304" s="85">
        <v>182433</v>
      </c>
      <c r="P304" s="85">
        <v>182433</v>
      </c>
      <c r="Q304" s="85">
        <v>182433</v>
      </c>
      <c r="R304" s="85">
        <v>182433</v>
      </c>
      <c r="S304" s="85">
        <v>182433</v>
      </c>
      <c r="T304" s="85">
        <v>182433</v>
      </c>
      <c r="U304" s="85">
        <v>182433</v>
      </c>
      <c r="V304" s="85">
        <v>182433</v>
      </c>
      <c r="W304" s="85">
        <v>182433</v>
      </c>
    </row>
    <row r="305" spans="1:23">
      <c r="A305" s="84">
        <v>0</v>
      </c>
      <c r="B305" s="84">
        <v>2013</v>
      </c>
      <c r="C305" s="84">
        <v>1200</v>
      </c>
      <c r="D305" s="84">
        <v>280328</v>
      </c>
      <c r="E305" s="84" t="str">
        <f t="shared" si="4"/>
        <v>22834001280328</v>
      </c>
      <c r="F305" s="84" t="str">
        <f>VLOOKUP(E305,zJARS_Allockeys!A:G,7,FALSE)</f>
        <v>NUTIL</v>
      </c>
      <c r="G305" s="84">
        <v>2283400</v>
      </c>
      <c r="H305" s="84">
        <v>1</v>
      </c>
      <c r="I305" s="84">
        <v>280328</v>
      </c>
      <c r="J305" s="84">
        <v>1000</v>
      </c>
      <c r="K305" s="85">
        <v>67753.06</v>
      </c>
      <c r="L305" s="85">
        <v>67753.06</v>
      </c>
      <c r="M305" s="85">
        <v>67753.06</v>
      </c>
      <c r="N305" s="85">
        <v>67753.06</v>
      </c>
      <c r="O305" s="85">
        <v>67753.06</v>
      </c>
      <c r="P305" s="85">
        <v>67753.06</v>
      </c>
      <c r="Q305" s="85">
        <v>67753.06</v>
      </c>
      <c r="R305" s="85">
        <v>67753.06</v>
      </c>
      <c r="S305" s="85">
        <v>67753.06</v>
      </c>
      <c r="T305" s="85">
        <v>67753.06</v>
      </c>
      <c r="U305" s="85">
        <v>67753.06</v>
      </c>
      <c r="V305" s="85">
        <v>67753.06</v>
      </c>
      <c r="W305" s="85">
        <v>67753.06</v>
      </c>
    </row>
    <row r="306" spans="1:23">
      <c r="A306" s="84">
        <v>0</v>
      </c>
      <c r="B306" s="84">
        <v>2013</v>
      </c>
      <c r="C306" s="84">
        <v>1200</v>
      </c>
      <c r="D306" s="84">
        <v>280328</v>
      </c>
      <c r="E306" s="84" t="str">
        <f t="shared" si="4"/>
        <v>22834001280328</v>
      </c>
      <c r="F306" s="84" t="str">
        <f>VLOOKUP(E306,zJARS_Allockeys!A:G,7,FALSE)</f>
        <v>NUTIL</v>
      </c>
      <c r="G306" s="84">
        <v>2283400</v>
      </c>
      <c r="H306" s="84">
        <v>1</v>
      </c>
      <c r="I306" s="84">
        <v>280328</v>
      </c>
      <c r="J306" s="84">
        <v>1000</v>
      </c>
      <c r="K306" s="85">
        <v>68149590.010000005</v>
      </c>
      <c r="L306" s="85">
        <v>68149590.010000005</v>
      </c>
      <c r="M306" s="85">
        <v>69393704.190000013</v>
      </c>
      <c r="N306" s="85">
        <v>69977558.24000001</v>
      </c>
      <c r="O306" s="85">
        <v>70590305.250000015</v>
      </c>
      <c r="P306" s="85">
        <v>71143681.88000001</v>
      </c>
      <c r="Q306" s="85">
        <v>71762755.080000013</v>
      </c>
      <c r="R306" s="85">
        <v>72332329.980000019</v>
      </c>
      <c r="S306" s="85">
        <v>72913446.690000013</v>
      </c>
      <c r="T306" s="85">
        <v>73475666.550000012</v>
      </c>
      <c r="U306" s="85">
        <v>74040092.770000011</v>
      </c>
      <c r="V306" s="85">
        <v>74040092.770000011</v>
      </c>
      <c r="W306" s="85">
        <v>74040092.770000011</v>
      </c>
    </row>
    <row r="307" spans="1:23">
      <c r="A307" s="84">
        <v>0</v>
      </c>
      <c r="B307" s="84">
        <v>2013</v>
      </c>
      <c r="C307" s="84">
        <v>1200</v>
      </c>
      <c r="D307" s="84">
        <v>280328</v>
      </c>
      <c r="E307" s="84" t="str">
        <f t="shared" si="4"/>
        <v>2283400122092280328</v>
      </c>
      <c r="F307" s="84" t="str">
        <f>VLOOKUP(E307,zJARS_Allockeys!A:G,7,FALSE)</f>
        <v>NUTIL</v>
      </c>
      <c r="G307" s="84">
        <v>2283400</v>
      </c>
      <c r="H307" s="84">
        <v>122092</v>
      </c>
      <c r="I307" s="84">
        <v>280328</v>
      </c>
      <c r="J307" s="84">
        <v>1000</v>
      </c>
      <c r="K307" s="85">
        <v>11566.21</v>
      </c>
      <c r="L307" s="85">
        <v>11566.21</v>
      </c>
      <c r="M307" s="85">
        <v>11566.21</v>
      </c>
      <c r="N307" s="85">
        <v>11566.21</v>
      </c>
      <c r="O307" s="85">
        <v>11566.21</v>
      </c>
      <c r="P307" s="85">
        <v>11566.21</v>
      </c>
      <c r="Q307" s="85">
        <v>11566.21</v>
      </c>
      <c r="R307" s="85">
        <v>11566.21</v>
      </c>
      <c r="S307" s="85">
        <v>11566.21</v>
      </c>
      <c r="T307" s="85">
        <v>11566.21</v>
      </c>
      <c r="U307" s="85">
        <v>11566.21</v>
      </c>
      <c r="V307" s="85">
        <v>11566.21</v>
      </c>
      <c r="W307" s="85">
        <v>11566.21</v>
      </c>
    </row>
    <row r="308" spans="1:23">
      <c r="A308" s="84">
        <v>0</v>
      </c>
      <c r="B308" s="84">
        <v>2013</v>
      </c>
      <c r="C308" s="84">
        <v>1200</v>
      </c>
      <c r="D308" s="84">
        <v>280328</v>
      </c>
      <c r="E308" s="84" t="str">
        <f t="shared" si="4"/>
        <v>2283400122092280328</v>
      </c>
      <c r="F308" s="84" t="str">
        <f>VLOOKUP(E308,zJARS_Allockeys!A:G,7,FALSE)</f>
        <v>NUTIL</v>
      </c>
      <c r="G308" s="84">
        <v>2283400</v>
      </c>
      <c r="H308" s="84">
        <v>122092</v>
      </c>
      <c r="I308" s="84">
        <v>280328</v>
      </c>
      <c r="J308" s="84">
        <v>1000</v>
      </c>
      <c r="K308" s="85">
        <v>162492.54999999999</v>
      </c>
      <c r="L308" s="85">
        <v>162492.54999999999</v>
      </c>
      <c r="M308" s="85">
        <v>162492.54999999999</v>
      </c>
      <c r="N308" s="85">
        <v>162492.54999999999</v>
      </c>
      <c r="O308" s="85">
        <v>162492.54999999999</v>
      </c>
      <c r="P308" s="85">
        <v>162492.54999999999</v>
      </c>
      <c r="Q308" s="85">
        <v>162492.54999999999</v>
      </c>
      <c r="R308" s="85">
        <v>162492.54999999999</v>
      </c>
      <c r="S308" s="85">
        <v>162492.54999999999</v>
      </c>
      <c r="T308" s="85">
        <v>162492.54999999999</v>
      </c>
      <c r="U308" s="85">
        <v>162492.54999999999</v>
      </c>
      <c r="V308" s="85">
        <v>162492.54999999999</v>
      </c>
      <c r="W308" s="85">
        <v>162492.54999999999</v>
      </c>
    </row>
    <row r="309" spans="1:23">
      <c r="A309" s="84">
        <v>0</v>
      </c>
      <c r="B309" s="84">
        <v>2013</v>
      </c>
      <c r="C309" s="84">
        <v>1200</v>
      </c>
      <c r="D309" s="84">
        <v>280328</v>
      </c>
      <c r="E309" s="84" t="str">
        <f t="shared" si="4"/>
        <v>22840000</v>
      </c>
      <c r="F309" s="84" t="e">
        <f>VLOOKUP(E309,zJARS_Allockeys!A:G,7,FALSE)</f>
        <v>#N/A</v>
      </c>
      <c r="G309" s="84">
        <v>2284000</v>
      </c>
      <c r="H309" s="84">
        <v>0</v>
      </c>
      <c r="I309" s="84"/>
      <c r="J309" s="84">
        <v>1000</v>
      </c>
      <c r="K309" s="85">
        <v>12312.58</v>
      </c>
      <c r="L309" s="85">
        <v>12312.58</v>
      </c>
      <c r="M309" s="85">
        <v>12312.58</v>
      </c>
      <c r="N309" s="85">
        <v>12312.58</v>
      </c>
      <c r="O309" s="85">
        <v>12312.58</v>
      </c>
      <c r="P309" s="85">
        <v>12312.58</v>
      </c>
      <c r="Q309" s="85">
        <v>12312.58</v>
      </c>
      <c r="R309" s="85">
        <v>12312.58</v>
      </c>
      <c r="S309" s="85">
        <v>12312.58</v>
      </c>
      <c r="T309" s="85">
        <v>12312.58</v>
      </c>
      <c r="U309" s="85">
        <v>12312.58</v>
      </c>
      <c r="V309" s="85">
        <v>12312.58</v>
      </c>
      <c r="W309" s="85">
        <v>12312.58</v>
      </c>
    </row>
    <row r="310" spans="1:23">
      <c r="A310" s="84">
        <v>0</v>
      </c>
      <c r="B310" s="84">
        <v>2013</v>
      </c>
      <c r="C310" s="84">
        <v>1200</v>
      </c>
      <c r="D310" s="84">
        <v>280329</v>
      </c>
      <c r="E310" s="84" t="str">
        <f t="shared" si="4"/>
        <v>22834001280329</v>
      </c>
      <c r="F310" s="84" t="str">
        <f>VLOOKUP(E310,zJARS_Allockeys!A:G,7,FALSE)</f>
        <v>NUTIL</v>
      </c>
      <c r="G310" s="84">
        <v>2283400</v>
      </c>
      <c r="H310" s="84">
        <v>1</v>
      </c>
      <c r="I310" s="84">
        <v>280329</v>
      </c>
      <c r="J310" s="84">
        <v>1000</v>
      </c>
      <c r="K310" s="85">
        <v>106416000</v>
      </c>
      <c r="L310" s="85">
        <v>106416000</v>
      </c>
      <c r="M310" s="85">
        <v>106416000</v>
      </c>
      <c r="N310" s="85">
        <v>106416000</v>
      </c>
      <c r="O310" s="85">
        <v>106416000</v>
      </c>
      <c r="P310" s="85">
        <v>106416000</v>
      </c>
      <c r="Q310" s="85">
        <v>106416000</v>
      </c>
      <c r="R310" s="85">
        <v>106416000</v>
      </c>
      <c r="S310" s="85">
        <v>106416000</v>
      </c>
      <c r="T310" s="85">
        <v>106416000</v>
      </c>
      <c r="U310" s="85">
        <v>106416000</v>
      </c>
      <c r="V310" s="85">
        <v>106416000</v>
      </c>
      <c r="W310" s="85">
        <v>106416000</v>
      </c>
    </row>
    <row r="311" spans="1:23">
      <c r="A311" s="84">
        <v>0</v>
      </c>
      <c r="B311" s="84">
        <v>2013</v>
      </c>
      <c r="C311" s="84">
        <v>1200</v>
      </c>
      <c r="D311" s="84">
        <v>280355</v>
      </c>
      <c r="E311" s="84" t="str">
        <f t="shared" si="4"/>
        <v>22835001280355</v>
      </c>
      <c r="F311" s="84" t="str">
        <f>VLOOKUP(E311,zJARS_Allockeys!A:G,7,FALSE)</f>
        <v>NUTIL</v>
      </c>
      <c r="G311" s="84">
        <v>2283500</v>
      </c>
      <c r="H311" s="84">
        <v>1</v>
      </c>
      <c r="I311" s="84">
        <v>280355</v>
      </c>
      <c r="J311" s="84">
        <v>1000</v>
      </c>
      <c r="K311" s="85">
        <v>652417859.26999998</v>
      </c>
      <c r="L311" s="85">
        <v>658698603.59000003</v>
      </c>
      <c r="M311" s="85">
        <v>665028454.80000007</v>
      </c>
      <c r="N311" s="85">
        <v>671332288.12000012</v>
      </c>
      <c r="O311" s="85">
        <v>677744121.44000018</v>
      </c>
      <c r="P311" s="85">
        <v>684155954.76000023</v>
      </c>
      <c r="Q311" s="85">
        <v>690567788.08000028</v>
      </c>
      <c r="R311" s="85">
        <v>696979621.40000033</v>
      </c>
      <c r="S311" s="85">
        <v>703464935.04000032</v>
      </c>
      <c r="T311" s="85">
        <v>704216242.53000033</v>
      </c>
      <c r="U311" s="85">
        <v>704970075.87000036</v>
      </c>
      <c r="V311" s="85">
        <v>704970075.87000036</v>
      </c>
      <c r="W311" s="85">
        <v>704970075.87000036</v>
      </c>
    </row>
    <row r="312" spans="1:23">
      <c r="A312" s="84">
        <v>0</v>
      </c>
      <c r="B312" s="84">
        <v>2013</v>
      </c>
      <c r="C312" s="84">
        <v>1200</v>
      </c>
      <c r="D312" s="84">
        <v>280440</v>
      </c>
      <c r="E312" s="84" t="str">
        <f t="shared" si="4"/>
        <v>22834001280440</v>
      </c>
      <c r="F312" s="84" t="str">
        <f>VLOOKUP(E312,zJARS_Allockeys!A:G,7,FALSE)</f>
        <v>NUTIL</v>
      </c>
      <c r="G312" s="84">
        <v>2283400</v>
      </c>
      <c r="H312" s="84">
        <v>1</v>
      </c>
      <c r="I312" s="84">
        <v>280440</v>
      </c>
      <c r="J312" s="84">
        <v>1000</v>
      </c>
      <c r="K312" s="85">
        <v>2608167</v>
      </c>
      <c r="L312" s="85">
        <v>2608167</v>
      </c>
      <c r="M312" s="85">
        <v>2608167</v>
      </c>
      <c r="N312" s="85">
        <v>2608167</v>
      </c>
      <c r="O312" s="85">
        <v>2608167</v>
      </c>
      <c r="P312" s="85">
        <v>2608167</v>
      </c>
      <c r="Q312" s="85">
        <v>2608167</v>
      </c>
      <c r="R312" s="85">
        <v>2608167</v>
      </c>
      <c r="S312" s="85">
        <v>2608167</v>
      </c>
      <c r="T312" s="85">
        <v>2608167</v>
      </c>
      <c r="U312" s="85">
        <v>2608167</v>
      </c>
      <c r="V312" s="85">
        <v>2608167</v>
      </c>
      <c r="W312" s="85">
        <v>2608167</v>
      </c>
    </row>
    <row r="313" spans="1:23">
      <c r="A313" s="84">
        <v>0</v>
      </c>
      <c r="B313" s="84">
        <v>2013</v>
      </c>
      <c r="C313" s="84">
        <v>1200</v>
      </c>
      <c r="D313" s="84">
        <v>280454</v>
      </c>
      <c r="E313" s="84" t="str">
        <f t="shared" si="4"/>
        <v>22834001280454</v>
      </c>
      <c r="F313" s="84" t="str">
        <f>VLOOKUP(E313,zJARS_Allockeys!A:G,7,FALSE)</f>
        <v>NUTIL</v>
      </c>
      <c r="G313" s="84">
        <v>2283400</v>
      </c>
      <c r="H313" s="84">
        <v>1</v>
      </c>
      <c r="I313" s="84">
        <v>280454</v>
      </c>
      <c r="J313" s="84">
        <v>1000</v>
      </c>
      <c r="K313" s="85">
        <v>60248167</v>
      </c>
      <c r="L313" s="85">
        <v>60248167</v>
      </c>
      <c r="M313" s="85">
        <v>60248167</v>
      </c>
      <c r="N313" s="85">
        <v>60248167</v>
      </c>
      <c r="O313" s="85">
        <v>60248167</v>
      </c>
      <c r="P313" s="85">
        <v>60248167</v>
      </c>
      <c r="Q313" s="85">
        <v>60248167</v>
      </c>
      <c r="R313" s="85">
        <v>60248167</v>
      </c>
      <c r="S313" s="85">
        <v>60248167</v>
      </c>
      <c r="T313" s="85">
        <v>60248167</v>
      </c>
      <c r="U313" s="85">
        <v>60248167</v>
      </c>
      <c r="V313" s="85">
        <v>60248167</v>
      </c>
      <c r="W313" s="85">
        <v>60248167</v>
      </c>
    </row>
    <row r="314" spans="1:23">
      <c r="A314" s="84">
        <v>0</v>
      </c>
      <c r="B314" s="84">
        <v>2013</v>
      </c>
      <c r="C314" s="84">
        <v>1200</v>
      </c>
      <c r="D314" s="84">
        <v>280455</v>
      </c>
      <c r="E314" s="84" t="str">
        <f t="shared" si="4"/>
        <v>22834001280455</v>
      </c>
      <c r="F314" s="84" t="str">
        <f>VLOOKUP(E314,zJARS_Allockeys!A:G,7,FALSE)</f>
        <v>NUTIL</v>
      </c>
      <c r="G314" s="84">
        <v>2283400</v>
      </c>
      <c r="H314" s="84">
        <v>1</v>
      </c>
      <c r="I314" s="84">
        <v>280455</v>
      </c>
      <c r="J314" s="84">
        <v>1000</v>
      </c>
      <c r="K314" s="85">
        <v>526716587.38999999</v>
      </c>
      <c r="L314" s="85">
        <v>526876211.08999997</v>
      </c>
      <c r="M314" s="85">
        <v>527002898.35999995</v>
      </c>
      <c r="N314" s="85">
        <v>534661091.72999996</v>
      </c>
      <c r="O314" s="85">
        <v>534775222.05999994</v>
      </c>
      <c r="P314" s="85">
        <v>534873351.73999995</v>
      </c>
      <c r="Q314" s="85">
        <v>537438742.12</v>
      </c>
      <c r="R314" s="85">
        <v>537544493.63</v>
      </c>
      <c r="S314" s="85">
        <v>537738262.33000004</v>
      </c>
      <c r="T314" s="85">
        <v>537878421.30000007</v>
      </c>
      <c r="U314" s="85">
        <v>537992567.01000011</v>
      </c>
      <c r="V314" s="85">
        <v>537994761.45000017</v>
      </c>
      <c r="W314" s="85">
        <v>537994761.45000017</v>
      </c>
    </row>
    <row r="315" spans="1:23">
      <c r="A315" s="84">
        <v>0</v>
      </c>
      <c r="B315" s="84">
        <v>2013</v>
      </c>
      <c r="C315" s="84">
        <v>1200</v>
      </c>
      <c r="D315" s="84">
        <v>280456</v>
      </c>
      <c r="E315" s="84" t="str">
        <f t="shared" si="4"/>
        <v>22834001280456</v>
      </c>
      <c r="F315" s="84" t="str">
        <f>VLOOKUP(E315,zJARS_Allockeys!A:G,7,FALSE)</f>
        <v>NUTIL</v>
      </c>
      <c r="G315" s="84">
        <v>2283400</v>
      </c>
      <c r="H315" s="84">
        <v>1</v>
      </c>
      <c r="I315" s="84">
        <v>280456</v>
      </c>
      <c r="J315" s="84">
        <v>1000</v>
      </c>
      <c r="K315" s="85">
        <v>219269.92</v>
      </c>
      <c r="L315" s="85">
        <v>255964.02000000002</v>
      </c>
      <c r="M315" s="85">
        <v>255964.02000000002</v>
      </c>
      <c r="N315" s="85">
        <v>255964.02000000002</v>
      </c>
      <c r="O315" s="85">
        <v>258843.34000000003</v>
      </c>
      <c r="P315" s="85">
        <v>1006836.75</v>
      </c>
      <c r="Q315" s="85">
        <v>1006836.75</v>
      </c>
      <c r="R315" s="85">
        <v>1006836.76</v>
      </c>
      <c r="S315" s="85">
        <v>1033696.3200000001</v>
      </c>
      <c r="T315" s="85">
        <v>1033696.3200000001</v>
      </c>
      <c r="U315" s="85">
        <v>1057678.6100000001</v>
      </c>
      <c r="V315" s="85">
        <v>1057678.6100000001</v>
      </c>
      <c r="W315" s="85">
        <v>1057678.6100000001</v>
      </c>
    </row>
    <row r="316" spans="1:23">
      <c r="A316" s="84">
        <v>0</v>
      </c>
      <c r="B316" s="84">
        <v>2013</v>
      </c>
      <c r="C316" s="84">
        <v>1200</v>
      </c>
      <c r="D316" s="84">
        <v>280457</v>
      </c>
      <c r="E316" s="84" t="str">
        <f t="shared" si="4"/>
        <v>22834001280457</v>
      </c>
      <c r="F316" s="84" t="str">
        <f>VLOOKUP(E316,zJARS_Allockeys!A:G,7,FALSE)</f>
        <v>NUTIL</v>
      </c>
      <c r="G316" s="84">
        <v>2283400</v>
      </c>
      <c r="H316" s="84">
        <v>1</v>
      </c>
      <c r="I316" s="84">
        <v>280457</v>
      </c>
      <c r="J316" s="84">
        <v>1000</v>
      </c>
      <c r="K316" s="85">
        <v>125925523</v>
      </c>
      <c r="L316" s="85">
        <v>125925523</v>
      </c>
      <c r="M316" s="85">
        <v>125925523</v>
      </c>
      <c r="N316" s="85">
        <v>125925523</v>
      </c>
      <c r="O316" s="85">
        <v>125925523</v>
      </c>
      <c r="P316" s="85">
        <v>125925523</v>
      </c>
      <c r="Q316" s="85">
        <v>125925523</v>
      </c>
      <c r="R316" s="85">
        <v>125925523</v>
      </c>
      <c r="S316" s="85">
        <v>125925523</v>
      </c>
      <c r="T316" s="85">
        <v>125925523</v>
      </c>
      <c r="U316" s="85">
        <v>125925523</v>
      </c>
      <c r="V316" s="85">
        <v>125925523</v>
      </c>
      <c r="W316" s="85">
        <v>125925523</v>
      </c>
    </row>
    <row r="317" spans="1:23">
      <c r="A317" s="84">
        <v>0</v>
      </c>
      <c r="B317" s="84">
        <v>2013</v>
      </c>
      <c r="C317" s="84">
        <v>1200</v>
      </c>
      <c r="D317" s="84">
        <v>280465</v>
      </c>
      <c r="E317" s="84" t="str">
        <f t="shared" si="4"/>
        <v>22835001280465</v>
      </c>
      <c r="F317" s="84" t="str">
        <f>VLOOKUP(E317,zJARS_Allockeys!A:G,7,FALSE)</f>
        <v>NUTIL</v>
      </c>
      <c r="G317" s="84">
        <v>2283500</v>
      </c>
      <c r="H317" s="84">
        <v>1</v>
      </c>
      <c r="I317" s="84">
        <v>280465</v>
      </c>
      <c r="J317" s="84">
        <v>1000</v>
      </c>
      <c r="K317" s="85">
        <v>63788922.060000002</v>
      </c>
      <c r="L317" s="85">
        <v>63788922.060000002</v>
      </c>
      <c r="M317" s="85">
        <v>63788922.060000002</v>
      </c>
      <c r="N317" s="85">
        <v>63789401.060000002</v>
      </c>
      <c r="O317" s="85">
        <v>63800330.060000002</v>
      </c>
      <c r="P317" s="85">
        <v>63800330.060000002</v>
      </c>
      <c r="Q317" s="85">
        <v>63801507.060000002</v>
      </c>
      <c r="R317" s="85">
        <v>63801507.060000002</v>
      </c>
      <c r="S317" s="85">
        <v>63801507.060000002</v>
      </c>
      <c r="T317" s="85">
        <v>63807123.060000002</v>
      </c>
      <c r="U317" s="85">
        <v>63807123.060000002</v>
      </c>
      <c r="V317" s="85">
        <v>63807123.060000002</v>
      </c>
      <c r="W317" s="85">
        <v>63807123.060000002</v>
      </c>
    </row>
    <row r="318" spans="1:23">
      <c r="A318" s="84">
        <v>0</v>
      </c>
      <c r="B318" s="84">
        <v>2013</v>
      </c>
      <c r="C318" s="84">
        <v>1200</v>
      </c>
      <c r="D318" s="84">
        <v>280479</v>
      </c>
      <c r="E318" s="84" t="str">
        <f t="shared" si="4"/>
        <v>22835001280479</v>
      </c>
      <c r="F318" s="84" t="str">
        <f>VLOOKUP(E318,zJARS_Allockeys!A:G,7,FALSE)</f>
        <v>NUTIL</v>
      </c>
      <c r="G318" s="84">
        <v>2283500</v>
      </c>
      <c r="H318" s="84">
        <v>1</v>
      </c>
      <c r="I318" s="84">
        <v>280479</v>
      </c>
      <c r="J318" s="84">
        <v>1000</v>
      </c>
      <c r="K318" s="85">
        <v>25000</v>
      </c>
      <c r="L318" s="85">
        <v>25000</v>
      </c>
      <c r="M318" s="85">
        <v>25000</v>
      </c>
      <c r="N318" s="85">
        <v>25000</v>
      </c>
      <c r="O318" s="85">
        <v>25000</v>
      </c>
      <c r="P318" s="85">
        <v>25000</v>
      </c>
      <c r="Q318" s="85">
        <v>25000</v>
      </c>
      <c r="R318" s="85">
        <v>25000</v>
      </c>
      <c r="S318" s="85">
        <v>25000</v>
      </c>
      <c r="T318" s="85">
        <v>25000</v>
      </c>
      <c r="U318" s="85">
        <v>25000</v>
      </c>
      <c r="V318" s="85">
        <v>25000</v>
      </c>
      <c r="W318" s="85">
        <v>25000</v>
      </c>
    </row>
    <row r="319" spans="1:23">
      <c r="A319" s="84">
        <v>0</v>
      </c>
      <c r="B319" s="84">
        <v>2013</v>
      </c>
      <c r="C319" s="84">
        <v>1200</v>
      </c>
      <c r="D319" s="84">
        <v>299107</v>
      </c>
      <c r="E319" s="84" t="str">
        <f t="shared" si="4"/>
        <v>219000010</v>
      </c>
      <c r="F319" s="84" t="str">
        <f>VLOOKUP(E319,zJARS_Allockeys!A:G,7,FALSE)</f>
        <v>NUTIL</v>
      </c>
      <c r="G319" s="84">
        <v>2190000</v>
      </c>
      <c r="H319" s="84">
        <v>1</v>
      </c>
      <c r="I319" s="84">
        <v>0</v>
      </c>
      <c r="J319" s="84">
        <v>1000</v>
      </c>
      <c r="K319" s="85">
        <v>28821109.350000001</v>
      </c>
      <c r="L319" s="85">
        <v>28821109.350000001</v>
      </c>
      <c r="M319" s="85">
        <v>28821109.350000001</v>
      </c>
      <c r="N319" s="85">
        <v>28821109.350000001</v>
      </c>
      <c r="O319" s="85">
        <v>28821109.350000001</v>
      </c>
      <c r="P319" s="85">
        <v>28821109.350000001</v>
      </c>
      <c r="Q319" s="85">
        <v>28821109.350000001</v>
      </c>
      <c r="R319" s="85">
        <v>28821109.350000001</v>
      </c>
      <c r="S319" s="85">
        <v>28821109.350000001</v>
      </c>
      <c r="T319" s="85">
        <v>28821109.350000001</v>
      </c>
      <c r="U319" s="85">
        <v>28821109.350000001</v>
      </c>
      <c r="V319" s="85">
        <v>28821109.350000001</v>
      </c>
      <c r="W319" s="85">
        <v>28821109.350000001</v>
      </c>
    </row>
    <row r="320" spans="1:23">
      <c r="A320" s="84">
        <v>0</v>
      </c>
      <c r="B320" s="84">
        <v>2013</v>
      </c>
      <c r="C320" s="84">
        <v>1201</v>
      </c>
      <c r="D320" s="84">
        <v>187621</v>
      </c>
      <c r="E320" s="84" t="str">
        <f t="shared" si="4"/>
        <v>18238701114020</v>
      </c>
      <c r="F320" s="84" t="str">
        <f>VLOOKUP(E320,zJARS_Allockeys!A:G,7,FALSE)</f>
        <v>NUTIL</v>
      </c>
      <c r="G320" s="84">
        <v>1823870</v>
      </c>
      <c r="H320" s="84">
        <v>1</v>
      </c>
      <c r="I320" s="84">
        <v>114020</v>
      </c>
      <c r="J320" s="84">
        <v>1000</v>
      </c>
      <c r="K320" s="85">
        <v>79582204</v>
      </c>
      <c r="L320" s="85">
        <v>79582204</v>
      </c>
      <c r="M320" s="85">
        <v>79582204</v>
      </c>
      <c r="N320" s="85">
        <v>79582204</v>
      </c>
      <c r="O320" s="85">
        <v>79582204</v>
      </c>
      <c r="P320" s="85">
        <v>79582204</v>
      </c>
      <c r="Q320" s="85">
        <v>79582204</v>
      </c>
      <c r="R320" s="85">
        <v>79582204</v>
      </c>
      <c r="S320" s="85">
        <v>79582204</v>
      </c>
      <c r="T320" s="85">
        <v>79582204</v>
      </c>
      <c r="U320" s="85">
        <v>79582204</v>
      </c>
      <c r="V320" s="85">
        <v>79582204</v>
      </c>
      <c r="W320" s="85">
        <v>79582204</v>
      </c>
    </row>
    <row r="321" spans="1:23">
      <c r="A321" s="84">
        <v>0</v>
      </c>
      <c r="B321" s="84">
        <v>2013</v>
      </c>
      <c r="C321" s="84">
        <v>1201</v>
      </c>
      <c r="D321" s="84">
        <v>187621</v>
      </c>
      <c r="E321" s="84" t="str">
        <f t="shared" si="4"/>
        <v>18238701187621</v>
      </c>
      <c r="F321" s="84" t="str">
        <f>VLOOKUP(E321,zJARS_Allockeys!A:G,7,FALSE)</f>
        <v>NUTIL</v>
      </c>
      <c r="G321" s="84">
        <v>1823870</v>
      </c>
      <c r="H321" s="84">
        <v>1</v>
      </c>
      <c r="I321" s="84">
        <v>187621</v>
      </c>
      <c r="J321" s="84">
        <v>1000</v>
      </c>
      <c r="K321" s="85">
        <v>39791102</v>
      </c>
      <c r="L321" s="85">
        <v>39791102</v>
      </c>
      <c r="M321" s="85">
        <v>39791102</v>
      </c>
      <c r="N321" s="85">
        <v>39791102</v>
      </c>
      <c r="O321" s="85">
        <v>39791102</v>
      </c>
      <c r="P321" s="85">
        <v>39791102</v>
      </c>
      <c r="Q321" s="85">
        <v>39791102</v>
      </c>
      <c r="R321" s="85">
        <v>39791102</v>
      </c>
      <c r="S321" s="85">
        <v>39791102</v>
      </c>
      <c r="T321" s="85">
        <v>39791102</v>
      </c>
      <c r="U321" s="85">
        <v>39791102</v>
      </c>
      <c r="V321" s="85">
        <v>39791102</v>
      </c>
      <c r="W321" s="85">
        <v>39791102</v>
      </c>
    </row>
    <row r="322" spans="1:23">
      <c r="A322" s="84">
        <v>0</v>
      </c>
      <c r="B322" s="84">
        <v>2013</v>
      </c>
      <c r="C322" s="84">
        <v>1201</v>
      </c>
      <c r="D322" s="84">
        <v>187626</v>
      </c>
      <c r="E322" s="84" t="str">
        <f t="shared" si="4"/>
        <v>18231091114020</v>
      </c>
      <c r="F322" s="84" t="str">
        <f>VLOOKUP(E322,zJARS_Allockeys!A:G,7,FALSE)</f>
        <v>NUTIL</v>
      </c>
      <c r="G322" s="84">
        <v>1823109</v>
      </c>
      <c r="H322" s="84">
        <v>1</v>
      </c>
      <c r="I322" s="84">
        <v>114020</v>
      </c>
      <c r="J322" s="84">
        <v>1000</v>
      </c>
      <c r="K322" s="85">
        <v>39791102</v>
      </c>
      <c r="L322" s="85">
        <v>39791102</v>
      </c>
      <c r="M322" s="85">
        <v>39791102</v>
      </c>
      <c r="N322" s="85">
        <v>39791102</v>
      </c>
      <c r="O322" s="85">
        <v>39791102</v>
      </c>
      <c r="P322" s="85">
        <v>39791102</v>
      </c>
      <c r="Q322" s="85">
        <v>39791102</v>
      </c>
      <c r="R322" s="85">
        <v>39791102</v>
      </c>
      <c r="S322" s="85">
        <v>39791102</v>
      </c>
      <c r="T322" s="85">
        <v>39791102</v>
      </c>
      <c r="U322" s="85">
        <v>39791102</v>
      </c>
      <c r="V322" s="85">
        <v>39791102</v>
      </c>
      <c r="W322" s="85">
        <v>39791102</v>
      </c>
    </row>
    <row r="323" spans="1:23">
      <c r="A323" s="84">
        <v>0</v>
      </c>
      <c r="B323" s="84">
        <v>2013</v>
      </c>
      <c r="C323" s="84">
        <v>1201</v>
      </c>
      <c r="D323" s="84">
        <v>187626</v>
      </c>
      <c r="E323" s="84" t="str">
        <f t="shared" ref="E323:E337" si="5">+G323&amp;H323&amp;I323</f>
        <v>18231091187626</v>
      </c>
      <c r="F323" s="84" t="str">
        <f>VLOOKUP(E323,zJARS_Allockeys!A:G,7,FALSE)</f>
        <v>NUTIL</v>
      </c>
      <c r="G323" s="84">
        <v>1823109</v>
      </c>
      <c r="H323" s="84">
        <v>1</v>
      </c>
      <c r="I323" s="84">
        <v>187626</v>
      </c>
      <c r="J323" s="84">
        <v>1000</v>
      </c>
      <c r="K323" s="85">
        <v>75470522</v>
      </c>
      <c r="L323" s="85">
        <v>75470522</v>
      </c>
      <c r="M323" s="85">
        <v>75470522</v>
      </c>
      <c r="N323" s="85">
        <v>75470522</v>
      </c>
      <c r="O323" s="85">
        <v>75470522</v>
      </c>
      <c r="P323" s="85">
        <v>75470522</v>
      </c>
      <c r="Q323" s="85">
        <v>75470522</v>
      </c>
      <c r="R323" s="85">
        <v>75470522</v>
      </c>
      <c r="S323" s="85">
        <v>75470522</v>
      </c>
      <c r="T323" s="85">
        <v>75470522</v>
      </c>
      <c r="U323" s="85">
        <v>75470522</v>
      </c>
      <c r="V323" s="85">
        <v>75470522</v>
      </c>
      <c r="W323" s="85">
        <v>75470522</v>
      </c>
    </row>
    <row r="324" spans="1:23">
      <c r="A324" s="84">
        <v>0</v>
      </c>
      <c r="B324" s="84">
        <v>2013</v>
      </c>
      <c r="C324" s="84">
        <v>1283</v>
      </c>
      <c r="D324" s="84">
        <v>280328</v>
      </c>
      <c r="E324" s="84" t="str">
        <f t="shared" si="5"/>
        <v>22830000</v>
      </c>
      <c r="F324" s="84" t="e">
        <f>VLOOKUP(E324,zJARS_Allockeys!A:G,7,FALSE)</f>
        <v>#N/A</v>
      </c>
      <c r="G324" s="84">
        <v>2283000</v>
      </c>
      <c r="H324" s="84">
        <v>0</v>
      </c>
      <c r="I324" s="84"/>
      <c r="J324" s="84">
        <v>1000</v>
      </c>
      <c r="K324" s="85">
        <v>4984523.78</v>
      </c>
      <c r="L324" s="85">
        <v>4984523.78</v>
      </c>
      <c r="M324" s="85">
        <v>4984523.78</v>
      </c>
      <c r="N324" s="85">
        <v>4984523.78</v>
      </c>
      <c r="O324" s="85">
        <v>4984523.78</v>
      </c>
      <c r="P324" s="85">
        <v>4984523.78</v>
      </c>
      <c r="Q324" s="85">
        <v>4984523.78</v>
      </c>
      <c r="R324" s="85">
        <v>4984523.78</v>
      </c>
      <c r="S324" s="85">
        <v>4984523.78</v>
      </c>
      <c r="T324" s="85">
        <v>4984523.78</v>
      </c>
      <c r="U324" s="85">
        <v>4984523.78</v>
      </c>
      <c r="V324" s="85">
        <v>4984523.78</v>
      </c>
      <c r="W324" s="85">
        <v>4984523.78</v>
      </c>
    </row>
    <row r="325" spans="1:23">
      <c r="A325" s="84">
        <v>0</v>
      </c>
      <c r="B325" s="84">
        <v>2013</v>
      </c>
      <c r="C325" s="84">
        <v>1283</v>
      </c>
      <c r="D325" s="84">
        <v>280328</v>
      </c>
      <c r="E325" s="84" t="str">
        <f t="shared" si="5"/>
        <v>2283000122092280328</v>
      </c>
      <c r="F325" s="84" t="str">
        <f>VLOOKUP(E325,zJARS_Allockeys!A:G,7,FALSE)</f>
        <v>NUTIL</v>
      </c>
      <c r="G325" s="84">
        <v>2283000</v>
      </c>
      <c r="H325" s="84">
        <v>122092</v>
      </c>
      <c r="I325" s="84">
        <v>280328</v>
      </c>
      <c r="J325" s="84">
        <v>1000</v>
      </c>
      <c r="K325" s="85">
        <v>4984523.78</v>
      </c>
      <c r="L325" s="85">
        <v>4984523.78</v>
      </c>
      <c r="M325" s="85">
        <v>4984523.78</v>
      </c>
      <c r="N325" s="85">
        <v>4984523.78</v>
      </c>
      <c r="O325" s="85">
        <v>4984523.78</v>
      </c>
      <c r="P325" s="85">
        <v>4984523.78</v>
      </c>
      <c r="Q325" s="85">
        <v>4984523.78</v>
      </c>
      <c r="R325" s="85">
        <v>4984523.78</v>
      </c>
      <c r="S325" s="85">
        <v>4984523.78</v>
      </c>
      <c r="T325" s="85">
        <v>4984523.78</v>
      </c>
      <c r="U325" s="85">
        <v>4984523.78</v>
      </c>
      <c r="V325" s="85">
        <v>4984523.78</v>
      </c>
      <c r="W325" s="85">
        <v>4984523.78</v>
      </c>
    </row>
    <row r="326" spans="1:23">
      <c r="A326" s="84">
        <v>0</v>
      </c>
      <c r="B326" s="84">
        <v>2013</v>
      </c>
      <c r="C326" s="84">
        <v>1283</v>
      </c>
      <c r="D326" s="84">
        <v>280328</v>
      </c>
      <c r="E326" s="84" t="str">
        <f t="shared" si="5"/>
        <v>22834000</v>
      </c>
      <c r="F326" s="84" t="e">
        <f>VLOOKUP(E326,zJARS_Allockeys!A:G,7,FALSE)</f>
        <v>#N/A</v>
      </c>
      <c r="G326" s="84">
        <v>2283400</v>
      </c>
      <c r="H326" s="84">
        <v>0</v>
      </c>
      <c r="I326" s="84"/>
      <c r="J326" s="84">
        <v>1000</v>
      </c>
      <c r="K326" s="85">
        <v>2736626.85</v>
      </c>
      <c r="L326" s="85">
        <v>2736626.85</v>
      </c>
      <c r="M326" s="85">
        <v>2736626.85</v>
      </c>
      <c r="N326" s="85">
        <v>2736626.85</v>
      </c>
      <c r="O326" s="85">
        <v>2736626.85</v>
      </c>
      <c r="P326" s="85">
        <v>2736626.85</v>
      </c>
      <c r="Q326" s="85">
        <v>2736626.85</v>
      </c>
      <c r="R326" s="85">
        <v>2736626.85</v>
      </c>
      <c r="S326" s="85">
        <v>2736626.85</v>
      </c>
      <c r="T326" s="85">
        <v>2736626.85</v>
      </c>
      <c r="U326" s="85">
        <v>2736626.85</v>
      </c>
      <c r="V326" s="85">
        <v>2736626.85</v>
      </c>
      <c r="W326" s="85">
        <v>2736626.85</v>
      </c>
    </row>
    <row r="327" spans="1:23">
      <c r="A327" s="84">
        <v>0</v>
      </c>
      <c r="B327" s="84">
        <v>2013</v>
      </c>
      <c r="C327" s="84">
        <v>1283</v>
      </c>
      <c r="D327" s="84">
        <v>280328</v>
      </c>
      <c r="E327" s="84" t="str">
        <f t="shared" si="5"/>
        <v>22834000280328</v>
      </c>
      <c r="F327" s="84" t="e">
        <f>VLOOKUP(E327,zJARS_Allockeys!A:G,7,FALSE)</f>
        <v>#N/A</v>
      </c>
      <c r="G327" s="84">
        <v>2283400</v>
      </c>
      <c r="H327" s="84">
        <v>0</v>
      </c>
      <c r="I327" s="84">
        <v>280328</v>
      </c>
      <c r="J327" s="84">
        <v>1000</v>
      </c>
      <c r="K327" s="85">
        <v>182433</v>
      </c>
      <c r="L327" s="85">
        <v>182433</v>
      </c>
      <c r="M327" s="85">
        <v>182433</v>
      </c>
      <c r="N327" s="85">
        <v>182433</v>
      </c>
      <c r="O327" s="85">
        <v>182433</v>
      </c>
      <c r="P327" s="85">
        <v>182433</v>
      </c>
      <c r="Q327" s="85">
        <v>182433</v>
      </c>
      <c r="R327" s="85">
        <v>182433</v>
      </c>
      <c r="S327" s="85">
        <v>182433</v>
      </c>
      <c r="T327" s="85">
        <v>182433</v>
      </c>
      <c r="U327" s="85">
        <v>182433</v>
      </c>
      <c r="V327" s="85">
        <v>182433</v>
      </c>
      <c r="W327" s="85">
        <v>182433</v>
      </c>
    </row>
    <row r="328" spans="1:23">
      <c r="A328" s="84">
        <v>0</v>
      </c>
      <c r="B328" s="84">
        <v>2013</v>
      </c>
      <c r="C328" s="84">
        <v>1283</v>
      </c>
      <c r="D328" s="84">
        <v>280328</v>
      </c>
      <c r="E328" s="84" t="str">
        <f t="shared" si="5"/>
        <v>22834001280328</v>
      </c>
      <c r="F328" s="84" t="str">
        <f>VLOOKUP(E328,zJARS_Allockeys!A:G,7,FALSE)</f>
        <v>NUTIL</v>
      </c>
      <c r="G328" s="84">
        <v>2283400</v>
      </c>
      <c r="H328" s="84">
        <v>1</v>
      </c>
      <c r="I328" s="84">
        <v>280328</v>
      </c>
      <c r="J328" s="84">
        <v>1000</v>
      </c>
      <c r="K328" s="85">
        <v>56060.46</v>
      </c>
      <c r="L328" s="85">
        <v>56060.46</v>
      </c>
      <c r="M328" s="85">
        <v>56060.46</v>
      </c>
      <c r="N328" s="85">
        <v>56060.46</v>
      </c>
      <c r="O328" s="85">
        <v>56060.46</v>
      </c>
      <c r="P328" s="85">
        <v>56060.46</v>
      </c>
      <c r="Q328" s="85">
        <v>56060.46</v>
      </c>
      <c r="R328" s="85">
        <v>56060.46</v>
      </c>
      <c r="S328" s="85">
        <v>56060.46</v>
      </c>
      <c r="T328" s="85">
        <v>56060.46</v>
      </c>
      <c r="U328" s="85">
        <v>56060.46</v>
      </c>
      <c r="V328" s="85">
        <v>56060.46</v>
      </c>
      <c r="W328" s="85">
        <v>56060.46</v>
      </c>
    </row>
    <row r="329" spans="1:23">
      <c r="A329" s="84">
        <v>0</v>
      </c>
      <c r="B329" s="84">
        <v>2013</v>
      </c>
      <c r="C329" s="84">
        <v>1283</v>
      </c>
      <c r="D329" s="84">
        <v>280328</v>
      </c>
      <c r="E329" s="84" t="str">
        <f t="shared" si="5"/>
        <v>22834001280328</v>
      </c>
      <c r="F329" s="84" t="str">
        <f>VLOOKUP(E329,zJARS_Allockeys!A:G,7,FALSE)</f>
        <v>NUTIL</v>
      </c>
      <c r="G329" s="84">
        <v>2283400</v>
      </c>
      <c r="H329" s="84">
        <v>1</v>
      </c>
      <c r="I329" s="84">
        <v>280328</v>
      </c>
      <c r="J329" s="84">
        <v>1000</v>
      </c>
      <c r="K329" s="85">
        <v>287234.31</v>
      </c>
      <c r="L329" s="85">
        <v>287234.31</v>
      </c>
      <c r="M329" s="85">
        <v>287234.31</v>
      </c>
      <c r="N329" s="85">
        <v>287234.31</v>
      </c>
      <c r="O329" s="85">
        <v>287234.31</v>
      </c>
      <c r="P329" s="85">
        <v>287234.31</v>
      </c>
      <c r="Q329" s="85">
        <v>287234.31</v>
      </c>
      <c r="R329" s="85">
        <v>287234.31</v>
      </c>
      <c r="S329" s="85">
        <v>287234.31</v>
      </c>
      <c r="T329" s="85">
        <v>287234.31</v>
      </c>
      <c r="U329" s="85">
        <v>287234.31</v>
      </c>
      <c r="V329" s="85">
        <v>287234.31</v>
      </c>
      <c r="W329" s="85">
        <v>287234.31</v>
      </c>
    </row>
    <row r="330" spans="1:23">
      <c r="A330" s="84">
        <v>0</v>
      </c>
      <c r="B330" s="84">
        <v>2013</v>
      </c>
      <c r="C330" s="84">
        <v>1283</v>
      </c>
      <c r="D330" s="84">
        <v>280328</v>
      </c>
      <c r="E330" s="84" t="str">
        <f t="shared" si="5"/>
        <v>2283400122092280328</v>
      </c>
      <c r="F330" s="84" t="str">
        <f>VLOOKUP(E330,zJARS_Allockeys!A:G,7,FALSE)</f>
        <v>NUTIL</v>
      </c>
      <c r="G330" s="84">
        <v>2283400</v>
      </c>
      <c r="H330" s="84">
        <v>122092</v>
      </c>
      <c r="I330" s="84">
        <v>280328</v>
      </c>
      <c r="J330" s="84">
        <v>1000</v>
      </c>
      <c r="K330" s="85">
        <v>120727.86</v>
      </c>
      <c r="L330" s="85">
        <v>120727.86</v>
      </c>
      <c r="M330" s="85">
        <v>120727.86</v>
      </c>
      <c r="N330" s="85">
        <v>120727.86</v>
      </c>
      <c r="O330" s="85">
        <v>120727.86</v>
      </c>
      <c r="P330" s="85">
        <v>120727.86</v>
      </c>
      <c r="Q330" s="85">
        <v>120727.86</v>
      </c>
      <c r="R330" s="85">
        <v>120727.86</v>
      </c>
      <c r="S330" s="85">
        <v>120727.86</v>
      </c>
      <c r="T330" s="85">
        <v>120727.86</v>
      </c>
      <c r="U330" s="85">
        <v>120727.86</v>
      </c>
      <c r="V330" s="85">
        <v>120727.86</v>
      </c>
      <c r="W330" s="85">
        <v>120727.86</v>
      </c>
    </row>
    <row r="331" spans="1:23">
      <c r="A331" s="84">
        <v>0</v>
      </c>
      <c r="B331" s="84">
        <v>2013</v>
      </c>
      <c r="C331" s="84">
        <v>1283</v>
      </c>
      <c r="D331" s="84">
        <v>280328</v>
      </c>
      <c r="E331" s="84" t="str">
        <f t="shared" si="5"/>
        <v>2283400122092280328</v>
      </c>
      <c r="F331" s="84" t="str">
        <f>VLOOKUP(E331,zJARS_Allockeys!A:G,7,FALSE)</f>
        <v>NUTIL</v>
      </c>
      <c r="G331" s="84">
        <v>2283400</v>
      </c>
      <c r="H331" s="84">
        <v>122092</v>
      </c>
      <c r="I331" s="84">
        <v>280328</v>
      </c>
      <c r="J331" s="84">
        <v>1000</v>
      </c>
      <c r="K331" s="85">
        <v>4968644.67</v>
      </c>
      <c r="L331" s="85">
        <v>4968644.67</v>
      </c>
      <c r="M331" s="85">
        <v>4968644.67</v>
      </c>
      <c r="N331" s="85">
        <v>4968644.67</v>
      </c>
      <c r="O331" s="85">
        <v>4968644.67</v>
      </c>
      <c r="P331" s="85">
        <v>4968644.67</v>
      </c>
      <c r="Q331" s="85">
        <v>4968644.67</v>
      </c>
      <c r="R331" s="85">
        <v>4968644.67</v>
      </c>
      <c r="S331" s="85">
        <v>4968644.67</v>
      </c>
      <c r="T331" s="85">
        <v>4968644.67</v>
      </c>
      <c r="U331" s="85">
        <v>4968644.67</v>
      </c>
      <c r="V331" s="85">
        <v>4968644.67</v>
      </c>
      <c r="W331" s="85">
        <v>4968644.67</v>
      </c>
    </row>
    <row r="332" spans="1:23">
      <c r="A332" s="84">
        <v>0</v>
      </c>
      <c r="B332" s="84">
        <v>2013</v>
      </c>
      <c r="C332" s="84">
        <v>1283</v>
      </c>
      <c r="D332" s="84">
        <v>280455</v>
      </c>
      <c r="E332" s="84" t="str">
        <f t="shared" si="5"/>
        <v>22834001280455</v>
      </c>
      <c r="F332" s="84" t="str">
        <f>VLOOKUP(E332,zJARS_Allockeys!A:G,7,FALSE)</f>
        <v>NUTIL</v>
      </c>
      <c r="G332" s="84">
        <v>2283400</v>
      </c>
      <c r="H332" s="84">
        <v>1</v>
      </c>
      <c r="I332" s="84">
        <v>280455</v>
      </c>
      <c r="J332" s="84">
        <v>1000</v>
      </c>
      <c r="K332" s="85">
        <v>579986.66</v>
      </c>
      <c r="L332" s="85">
        <v>579986.66</v>
      </c>
      <c r="M332" s="85">
        <v>579986.66</v>
      </c>
      <c r="N332" s="85">
        <v>579986.66</v>
      </c>
      <c r="O332" s="85">
        <v>579986.66</v>
      </c>
      <c r="P332" s="85">
        <v>579986.66</v>
      </c>
      <c r="Q332" s="85">
        <v>579986.66</v>
      </c>
      <c r="R332" s="85">
        <v>579986.66</v>
      </c>
      <c r="S332" s="85">
        <v>579986.66</v>
      </c>
      <c r="T332" s="85">
        <v>579986.66</v>
      </c>
      <c r="U332" s="85">
        <v>579986.66</v>
      </c>
      <c r="V332" s="85">
        <v>579986.66</v>
      </c>
      <c r="W332" s="85">
        <v>579986.66</v>
      </c>
    </row>
    <row r="333" spans="1:23">
      <c r="A333" s="84">
        <v>0</v>
      </c>
      <c r="B333" s="84">
        <v>2013</v>
      </c>
      <c r="C333" s="84">
        <v>1407</v>
      </c>
      <c r="D333" s="84">
        <v>187624</v>
      </c>
      <c r="E333" s="84" t="str">
        <f t="shared" si="5"/>
        <v>1823870109187624</v>
      </c>
      <c r="F333" s="84" t="str">
        <f>VLOOKUP(E333,zJARS_Allockeys!A:G,7,FALSE)</f>
        <v>NUTIL</v>
      </c>
      <c r="G333" s="84">
        <v>1823870</v>
      </c>
      <c r="H333" s="84">
        <v>109</v>
      </c>
      <c r="I333" s="84">
        <v>187624</v>
      </c>
      <c r="J333" s="84">
        <v>1000</v>
      </c>
      <c r="K333" s="85">
        <v>243815.43</v>
      </c>
      <c r="L333" s="85">
        <v>243815.43</v>
      </c>
      <c r="M333" s="85">
        <v>243815.43</v>
      </c>
      <c r="N333" s="85">
        <v>243815.43</v>
      </c>
      <c r="O333" s="85">
        <v>243815.43</v>
      </c>
      <c r="P333" s="85">
        <v>243815.43</v>
      </c>
      <c r="Q333" s="85">
        <v>243815.43</v>
      </c>
      <c r="R333" s="85">
        <v>243815.43</v>
      </c>
      <c r="S333" s="85">
        <v>243815.43</v>
      </c>
      <c r="T333" s="85">
        <v>243815.43</v>
      </c>
      <c r="U333" s="85">
        <v>243815.43</v>
      </c>
      <c r="V333" s="85">
        <v>243815.43</v>
      </c>
      <c r="W333" s="85">
        <v>243815.43</v>
      </c>
    </row>
    <row r="334" spans="1:23">
      <c r="A334" s="84">
        <v>0</v>
      </c>
      <c r="B334" s="84">
        <v>2013</v>
      </c>
      <c r="C334" s="84">
        <v>1515</v>
      </c>
      <c r="D334" s="84">
        <v>280328</v>
      </c>
      <c r="E334" s="84" t="str">
        <f t="shared" si="5"/>
        <v>22834001280328</v>
      </c>
      <c r="F334" s="84" t="str">
        <f>VLOOKUP(E334,zJARS_Allockeys!A:G,7,FALSE)</f>
        <v>NUTIL</v>
      </c>
      <c r="G334" s="84">
        <v>2283400</v>
      </c>
      <c r="H334" s="84">
        <v>1</v>
      </c>
      <c r="I334" s="84">
        <v>280328</v>
      </c>
      <c r="J334" s="84">
        <v>1000</v>
      </c>
      <c r="K334" s="85">
        <v>8388137.2800000003</v>
      </c>
      <c r="L334" s="85">
        <v>8388137.2800000003</v>
      </c>
      <c r="M334" s="85">
        <v>8388137.2800000003</v>
      </c>
      <c r="N334" s="85">
        <v>8388137.2800000003</v>
      </c>
      <c r="O334" s="85">
        <v>8388137.2800000003</v>
      </c>
      <c r="P334" s="85">
        <v>8388137.2800000003</v>
      </c>
      <c r="Q334" s="85">
        <v>8388137.2800000003</v>
      </c>
      <c r="R334" s="85">
        <v>8388137.2800000003</v>
      </c>
      <c r="S334" s="85">
        <v>8388137.2800000003</v>
      </c>
      <c r="T334" s="85">
        <v>8388137.2800000003</v>
      </c>
      <c r="U334" s="85">
        <v>8388137.2800000003</v>
      </c>
      <c r="V334" s="85">
        <v>8388137.2800000003</v>
      </c>
      <c r="W334" s="85">
        <v>8388137.2800000003</v>
      </c>
    </row>
    <row r="335" spans="1:23">
      <c r="A335" s="84">
        <v>0</v>
      </c>
      <c r="B335" s="84">
        <v>2013</v>
      </c>
      <c r="C335" s="84">
        <v>1515</v>
      </c>
      <c r="D335" s="84">
        <v>280455</v>
      </c>
      <c r="E335" s="84" t="str">
        <f t="shared" si="5"/>
        <v>22834001280455</v>
      </c>
      <c r="F335" s="84" t="str">
        <f>VLOOKUP(E335,zJARS_Allockeys!A:G,7,FALSE)</f>
        <v>NUTIL</v>
      </c>
      <c r="G335" s="84">
        <v>2283400</v>
      </c>
      <c r="H335" s="84">
        <v>1</v>
      </c>
      <c r="I335" s="84">
        <v>280455</v>
      </c>
      <c r="J335" s="84">
        <v>1000</v>
      </c>
      <c r="K335" s="85">
        <v>0</v>
      </c>
      <c r="L335" s="85">
        <v>0</v>
      </c>
      <c r="M335" s="85">
        <v>0</v>
      </c>
      <c r="N335" s="85">
        <v>0</v>
      </c>
      <c r="O335" s="85">
        <v>0</v>
      </c>
      <c r="P335" s="85">
        <v>0</v>
      </c>
      <c r="Q335" s="85">
        <v>275.55</v>
      </c>
      <c r="R335" s="85">
        <v>275.55</v>
      </c>
      <c r="S335" s="85">
        <v>275.55</v>
      </c>
      <c r="T335" s="85">
        <v>275.55</v>
      </c>
      <c r="U335" s="85">
        <v>275.55</v>
      </c>
      <c r="V335" s="85">
        <v>275.55</v>
      </c>
      <c r="W335" s="85">
        <v>275.55</v>
      </c>
    </row>
    <row r="336" spans="1:23">
      <c r="A336" s="84">
        <v>0</v>
      </c>
      <c r="B336" s="84">
        <v>2013</v>
      </c>
      <c r="C336" s="84" t="s">
        <v>255</v>
      </c>
      <c r="D336" s="84">
        <v>187017</v>
      </c>
      <c r="E336" s="84" t="str">
        <f t="shared" si="5"/>
        <v>18238701187017</v>
      </c>
      <c r="F336" s="84" t="str">
        <f>VLOOKUP(E336,zJARS_Allockeys!A:G,7,FALSE)</f>
        <v>NUTIL</v>
      </c>
      <c r="G336" s="84">
        <v>1823870</v>
      </c>
      <c r="H336" s="84">
        <v>1</v>
      </c>
      <c r="I336" s="84">
        <v>187017</v>
      </c>
      <c r="J336" s="84">
        <v>1000</v>
      </c>
      <c r="K336" s="85">
        <v>770306135.48000002</v>
      </c>
      <c r="L336" s="85">
        <v>770306135.48000002</v>
      </c>
      <c r="M336" s="85">
        <v>770306135.48000002</v>
      </c>
      <c r="N336" s="85">
        <v>770306135.48000002</v>
      </c>
      <c r="O336" s="85">
        <v>770306135.48000002</v>
      </c>
      <c r="P336" s="85">
        <v>770306135.48000002</v>
      </c>
      <c r="Q336" s="85">
        <v>770306135.48000002</v>
      </c>
      <c r="R336" s="85">
        <v>770306135.48000002</v>
      </c>
      <c r="S336" s="85">
        <v>770306135.48000002</v>
      </c>
      <c r="T336" s="85">
        <v>770306135.48000002</v>
      </c>
      <c r="U336" s="85">
        <v>770306135.48000002</v>
      </c>
      <c r="V336" s="85">
        <v>770306135.48000002</v>
      </c>
      <c r="W336" s="85">
        <v>770306135.48000002</v>
      </c>
    </row>
    <row r="337" spans="1:23">
      <c r="A337" s="84">
        <v>0</v>
      </c>
      <c r="B337" s="84">
        <v>2013</v>
      </c>
      <c r="C337" s="84" t="s">
        <v>255</v>
      </c>
      <c r="D337" s="84">
        <v>187621</v>
      </c>
      <c r="E337" s="84" t="str">
        <f t="shared" si="5"/>
        <v>18238701187621</v>
      </c>
      <c r="F337" s="84" t="str">
        <f>VLOOKUP(E337,zJARS_Allockeys!A:G,7,FALSE)</f>
        <v>NUTIL</v>
      </c>
      <c r="G337" s="84">
        <v>1823870</v>
      </c>
      <c r="H337" s="84">
        <v>1</v>
      </c>
      <c r="I337" s="84">
        <v>187621</v>
      </c>
      <c r="J337" s="84">
        <v>1000</v>
      </c>
      <c r="K337" s="85">
        <v>146546744.66999999</v>
      </c>
      <c r="L337" s="85">
        <v>146546744.66999999</v>
      </c>
      <c r="M337" s="85">
        <v>146546744.66999999</v>
      </c>
      <c r="N337" s="85">
        <v>146546744.66999999</v>
      </c>
      <c r="O337" s="85">
        <v>146546744.66999999</v>
      </c>
      <c r="P337" s="85">
        <v>146546744.66999999</v>
      </c>
      <c r="Q337" s="85">
        <v>146546744.66999999</v>
      </c>
      <c r="R337" s="85">
        <v>146546744.66999999</v>
      </c>
      <c r="S337" s="85">
        <v>146546744.66999999</v>
      </c>
      <c r="T337" s="85">
        <v>146546744.66999999</v>
      </c>
      <c r="U337" s="85">
        <v>146546744.66999999</v>
      </c>
      <c r="V337" s="85">
        <v>146546744.66999999</v>
      </c>
      <c r="W337" s="85">
        <v>146546744.66999999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Exhibit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2013-02-08T08:00:00+00:00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D6268-E8EE-4DF8-8C83-CA7AD111108F}"/>
</file>

<file path=customXml/itemProps2.xml><?xml version="1.0" encoding="utf-8"?>
<ds:datastoreItem xmlns:ds="http://schemas.openxmlformats.org/officeDocument/2006/customXml" ds:itemID="{B52308AF-2FAB-45A1-BECE-B5CABC7D710C}"/>
</file>

<file path=customXml/itemProps3.xml><?xml version="1.0" encoding="utf-8"?>
<ds:datastoreItem xmlns:ds="http://schemas.openxmlformats.org/officeDocument/2006/customXml" ds:itemID="{FA07C11C-A34D-4C66-AFF9-7A2C3253D2E5}"/>
</file>

<file path=customXml/itemProps4.xml><?xml version="1.0" encoding="utf-8"?>
<ds:datastoreItem xmlns:ds="http://schemas.openxmlformats.org/officeDocument/2006/customXml" ds:itemID="{48759024-FDFD-44A0-B176-248FB18E40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ISWC - with Modifications</vt:lpstr>
      <vt:lpstr>ISWC - As Approved</vt:lpstr>
      <vt:lpstr>Exhibit No.___(DKS-2)</vt:lpstr>
      <vt:lpstr>Accountts 182,186,253,254,283</vt:lpstr>
      <vt:lpstr>GL balances</vt:lpstr>
      <vt:lpstr>FAS 133 Accounts</vt:lpstr>
      <vt:lpstr>Bridger</vt:lpstr>
      <vt:lpstr>ISWC w Pension</vt:lpstr>
      <vt:lpstr>zGLPCT</vt:lpstr>
      <vt:lpstr>zJARS_Allockeys</vt:lpstr>
      <vt:lpstr>'Accountts 182,186,253,254,283'!Print_Area</vt:lpstr>
      <vt:lpstr>'Exhibit No.___(DKS-2)'!Print_Area</vt:lpstr>
      <vt:lpstr>'GL balances'!Print_Area</vt:lpstr>
      <vt:lpstr>'ISWC - As Approved'!Print_Area</vt:lpstr>
      <vt:lpstr>'ISWC - with Modifications'!Print_Area</vt:lpstr>
      <vt:lpstr>'ISWC w Pension'!Print_Area</vt:lpstr>
      <vt:lpstr>'ISWC - As Approved'!Print_Titles</vt:lpstr>
      <vt:lpstr>'ISWC - with Modifications'!Print_Titles</vt:lpstr>
      <vt:lpstr>'ISWC w Pension'!Print_Titles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Craven</dc:creator>
  <cp:lastModifiedBy>Ariel</cp:lastModifiedBy>
  <cp:lastPrinted>2013-01-03T18:23:53Z</cp:lastPrinted>
  <dcterms:created xsi:type="dcterms:W3CDTF">2012-09-26T15:55:55Z</dcterms:created>
  <dcterms:modified xsi:type="dcterms:W3CDTF">2013-02-06T16:34:47Z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